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Proyecto Presupuesto\"/>
    </mc:Choice>
  </mc:AlternateContent>
  <xr:revisionPtr revIDLastSave="0" documentId="13_ncr:1_{3CC1824E-D42D-4C09-B49D-A6878C206CE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PRESUPUESTO 2022" sheetId="1" r:id="rId1"/>
    <sheet name="DIPLOMADOS Y SEMINARIOS 2022" sheetId="17" r:id="rId2"/>
    <sheet name="FORMULA " sheetId="16" r:id="rId3"/>
    <sheet name="REGLA DE 3" sheetId="22" state="hidden" r:id="rId4"/>
    <sheet name="SUELDOS 2017" sheetId="13" state="hidden" r:id="rId5"/>
  </sheets>
  <definedNames>
    <definedName name="_xlnm.Print_Area" localSheetId="1">'DIPLOMADOS Y SEMINARIOS 2022'!$A$1:$Q$202</definedName>
    <definedName name="_xlnm.Print_Area" localSheetId="0">'PRESUPUESTO 2022'!$A$201:$T$1385</definedName>
    <definedName name="_xlnm.Print_Area" localSheetId="4">'SUELDOS 2017'!$A$1:$N$65</definedName>
    <definedName name="_xlnm.Print_Titles" localSheetId="1">'DIPLOMADOS Y SEMINARIOS 2022'!$3:$3</definedName>
    <definedName name="_xlnm.Print_Titles" localSheetId="0">'PRESUPUESTO 2022'!$2:$2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5" i="1" l="1"/>
  <c r="C198" i="1"/>
  <c r="Q426" i="1" l="1"/>
  <c r="T273" i="1"/>
  <c r="V273" i="1" s="1"/>
  <c r="T271" i="1"/>
  <c r="V271" i="1" s="1"/>
  <c r="C1368" i="1"/>
  <c r="C1214" i="1"/>
  <c r="C964" i="1"/>
  <c r="C975" i="1"/>
  <c r="C958" i="1"/>
  <c r="T270" i="1" l="1"/>
  <c r="P1385" i="1"/>
  <c r="T1385" i="1" s="1"/>
  <c r="S1384" i="1"/>
  <c r="R1384" i="1"/>
  <c r="Q1384" i="1"/>
  <c r="O1384" i="1"/>
  <c r="N1384" i="1"/>
  <c r="M1384" i="1"/>
  <c r="L1384" i="1"/>
  <c r="K1384" i="1"/>
  <c r="J1384" i="1"/>
  <c r="I1384" i="1"/>
  <c r="H1384" i="1"/>
  <c r="G1384" i="1"/>
  <c r="N1383" i="1"/>
  <c r="S1382" i="1"/>
  <c r="R1382" i="1"/>
  <c r="Q1382" i="1"/>
  <c r="P1382" i="1"/>
  <c r="O1382" i="1"/>
  <c r="M1382" i="1"/>
  <c r="L1382" i="1"/>
  <c r="K1382" i="1"/>
  <c r="J1382" i="1"/>
  <c r="I1382" i="1"/>
  <c r="H1382" i="1"/>
  <c r="G1382" i="1"/>
  <c r="K1381" i="1"/>
  <c r="T1381" i="1" s="1"/>
  <c r="V1381" i="1" s="1"/>
  <c r="T1380" i="1"/>
  <c r="V1380" i="1" s="1"/>
  <c r="T1379" i="1"/>
  <c r="V1379" i="1" s="1"/>
  <c r="T1378" i="1"/>
  <c r="V1378" i="1" s="1"/>
  <c r="T1377" i="1"/>
  <c r="V1377" i="1" s="1"/>
  <c r="T1376" i="1"/>
  <c r="V1376" i="1" s="1"/>
  <c r="T1375" i="1"/>
  <c r="V1375" i="1" s="1"/>
  <c r="H1374" i="1"/>
  <c r="T1373" i="1"/>
  <c r="V1373" i="1" s="1"/>
  <c r="H1372" i="1"/>
  <c r="T1372" i="1" s="1"/>
  <c r="V1372" i="1" s="1"/>
  <c r="S1371" i="1"/>
  <c r="R1371" i="1"/>
  <c r="Q1371" i="1"/>
  <c r="P1371" i="1"/>
  <c r="O1371" i="1"/>
  <c r="N1371" i="1"/>
  <c r="M1371" i="1"/>
  <c r="L1371" i="1"/>
  <c r="K1371" i="1"/>
  <c r="J1371" i="1"/>
  <c r="I1371" i="1"/>
  <c r="N1369" i="1"/>
  <c r="T1369" i="1" s="1"/>
  <c r="V1369" i="1" s="1"/>
  <c r="T1368" i="1"/>
  <c r="V1368" i="1" s="1"/>
  <c r="T1367" i="1"/>
  <c r="V1367" i="1" s="1"/>
  <c r="T1366" i="1"/>
  <c r="V1366" i="1" s="1"/>
  <c r="Q1365" i="1"/>
  <c r="Q1363" i="1" s="1"/>
  <c r="Q1362" i="1" s="1"/>
  <c r="P1365" i="1"/>
  <c r="T1365" i="1" s="1"/>
  <c r="V1365" i="1" s="1"/>
  <c r="T1364" i="1"/>
  <c r="V1364" i="1" s="1"/>
  <c r="S1363" i="1"/>
  <c r="S1362" i="1" s="1"/>
  <c r="R1363" i="1"/>
  <c r="R1362" i="1" s="1"/>
  <c r="O1363" i="1"/>
  <c r="O1362" i="1" s="1"/>
  <c r="M1363" i="1"/>
  <c r="M1362" i="1" s="1"/>
  <c r="L1363" i="1"/>
  <c r="L1362" i="1" s="1"/>
  <c r="K1363" i="1"/>
  <c r="K1362" i="1" s="1"/>
  <c r="J1363" i="1"/>
  <c r="J1362" i="1" s="1"/>
  <c r="I1363" i="1"/>
  <c r="I1362" i="1" s="1"/>
  <c r="H1363" i="1"/>
  <c r="H1362" i="1" s="1"/>
  <c r="G1363" i="1"/>
  <c r="G1362" i="1" s="1"/>
  <c r="T1361" i="1"/>
  <c r="V1361" i="1" s="1"/>
  <c r="T1360" i="1"/>
  <c r="V1360" i="1" s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T1358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Q1356" i="1"/>
  <c r="Q1352" i="1" s="1"/>
  <c r="N1356" i="1"/>
  <c r="N1352" i="1" s="1"/>
  <c r="L1356" i="1"/>
  <c r="K1356" i="1"/>
  <c r="T1355" i="1"/>
  <c r="V1355" i="1" s="1"/>
  <c r="P1354" i="1"/>
  <c r="R1353" i="1"/>
  <c r="R1352" i="1" s="1"/>
  <c r="M1353" i="1"/>
  <c r="J1353" i="1"/>
  <c r="J1352" i="1" s="1"/>
  <c r="S1352" i="1"/>
  <c r="O1352" i="1"/>
  <c r="M1352" i="1"/>
  <c r="K1352" i="1"/>
  <c r="I1352" i="1"/>
  <c r="H1352" i="1"/>
  <c r="G1352" i="1"/>
  <c r="T1351" i="1"/>
  <c r="V1351" i="1" s="1"/>
  <c r="T1350" i="1"/>
  <c r="T1349" i="1"/>
  <c r="V1349" i="1" s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T1347" i="1"/>
  <c r="V1347" i="1" s="1"/>
  <c r="R1346" i="1"/>
  <c r="K1345" i="1"/>
  <c r="K1343" i="1" s="1"/>
  <c r="J1345" i="1"/>
  <c r="T1345" i="1" s="1"/>
  <c r="V1345" i="1" s="1"/>
  <c r="T1344" i="1"/>
  <c r="V1344" i="1" s="1"/>
  <c r="S1343" i="1"/>
  <c r="Q1343" i="1"/>
  <c r="P1343" i="1"/>
  <c r="O1343" i="1"/>
  <c r="N1343" i="1"/>
  <c r="M1343" i="1"/>
  <c r="L1343" i="1"/>
  <c r="I1343" i="1"/>
  <c r="H1343" i="1"/>
  <c r="G1343" i="1"/>
  <c r="T1341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L1339" i="1"/>
  <c r="T1339" i="1" s="1"/>
  <c r="V1339" i="1" s="1"/>
  <c r="L1338" i="1"/>
  <c r="T1338" i="1" s="1"/>
  <c r="V1338" i="1" s="1"/>
  <c r="T1337" i="1"/>
  <c r="V1337" i="1" s="1"/>
  <c r="T1336" i="1"/>
  <c r="V1336" i="1" s="1"/>
  <c r="P1336" i="1"/>
  <c r="T1335" i="1"/>
  <c r="V1335" i="1" s="1"/>
  <c r="T1334" i="1"/>
  <c r="V1334" i="1" s="1"/>
  <c r="K1333" i="1"/>
  <c r="T1333" i="1" s="1"/>
  <c r="V1333" i="1" s="1"/>
  <c r="M1332" i="1"/>
  <c r="M1328" i="1" s="1"/>
  <c r="L1332" i="1"/>
  <c r="T1331" i="1"/>
  <c r="V1331" i="1" s="1"/>
  <c r="H1330" i="1"/>
  <c r="H1328" i="1" s="1"/>
  <c r="T1329" i="1"/>
  <c r="V1329" i="1" s="1"/>
  <c r="S1328" i="1"/>
  <c r="R1328" i="1"/>
  <c r="Q1328" i="1"/>
  <c r="P1328" i="1"/>
  <c r="O1328" i="1"/>
  <c r="N1328" i="1"/>
  <c r="J1328" i="1"/>
  <c r="I1328" i="1"/>
  <c r="T1327" i="1"/>
  <c r="V1327" i="1" s="1"/>
  <c r="T1326" i="1"/>
  <c r="V1326" i="1" s="1"/>
  <c r="S1325" i="1"/>
  <c r="S1315" i="1" s="1"/>
  <c r="R1325" i="1"/>
  <c r="R1315" i="1" s="1"/>
  <c r="R1314" i="1" s="1"/>
  <c r="Q1325" i="1"/>
  <c r="Q1315" i="1" s="1"/>
  <c r="P1325" i="1"/>
  <c r="P1315" i="1" s="1"/>
  <c r="O1325" i="1"/>
  <c r="N1325" i="1"/>
  <c r="N1315" i="1" s="1"/>
  <c r="M1325" i="1"/>
  <c r="M1315" i="1" s="1"/>
  <c r="L1325" i="1"/>
  <c r="L1315" i="1" s="1"/>
  <c r="K1325" i="1"/>
  <c r="K1315" i="1" s="1"/>
  <c r="J1325" i="1"/>
  <c r="J1315" i="1" s="1"/>
  <c r="I1325" i="1"/>
  <c r="I1315" i="1" s="1"/>
  <c r="H1325" i="1"/>
  <c r="G1325" i="1"/>
  <c r="T1324" i="1"/>
  <c r="V1324" i="1" s="1"/>
  <c r="T1323" i="1"/>
  <c r="V1323" i="1" s="1"/>
  <c r="T1322" i="1"/>
  <c r="V1322" i="1" s="1"/>
  <c r="T1321" i="1"/>
  <c r="V1321" i="1" s="1"/>
  <c r="T1320" i="1"/>
  <c r="V1320" i="1" s="1"/>
  <c r="T1319" i="1"/>
  <c r="V1319" i="1" s="1"/>
  <c r="O1318" i="1"/>
  <c r="O1315" i="1" s="1"/>
  <c r="H1318" i="1"/>
  <c r="T1317" i="1"/>
  <c r="V1317" i="1" s="1"/>
  <c r="T1316" i="1"/>
  <c r="V1316" i="1" s="1"/>
  <c r="G1316" i="1"/>
  <c r="T1313" i="1"/>
  <c r="V1313" i="1" s="1"/>
  <c r="T1312" i="1"/>
  <c r="V1312" i="1" s="1"/>
  <c r="T1311" i="1"/>
  <c r="V1311" i="1" s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T1309" i="1"/>
  <c r="V1309" i="1" s="1"/>
  <c r="R1308" i="1"/>
  <c r="O1308" i="1"/>
  <c r="O1300" i="1" s="1"/>
  <c r="M1308" i="1"/>
  <c r="M1300" i="1" s="1"/>
  <c r="R1307" i="1"/>
  <c r="T1307" i="1" s="1"/>
  <c r="V1307" i="1" s="1"/>
  <c r="T1306" i="1"/>
  <c r="V1306" i="1" s="1"/>
  <c r="J1305" i="1"/>
  <c r="T1305" i="1" s="1"/>
  <c r="V1305" i="1" s="1"/>
  <c r="T1304" i="1"/>
  <c r="V1304" i="1" s="1"/>
  <c r="T1303" i="1"/>
  <c r="V1303" i="1" s="1"/>
  <c r="P1302" i="1"/>
  <c r="P1300" i="1" s="1"/>
  <c r="I1302" i="1"/>
  <c r="T1302" i="1" s="1"/>
  <c r="V1302" i="1" s="1"/>
  <c r="R1301" i="1"/>
  <c r="S1300" i="1"/>
  <c r="S1299" i="1" s="1"/>
  <c r="Q1300" i="1"/>
  <c r="N1300" i="1"/>
  <c r="L1300" i="1"/>
  <c r="K1300" i="1"/>
  <c r="H1300" i="1"/>
  <c r="G1300" i="1"/>
  <c r="T1298" i="1"/>
  <c r="V1298" i="1" s="1"/>
  <c r="T1297" i="1"/>
  <c r="V1297" i="1" s="1"/>
  <c r="T1296" i="1"/>
  <c r="V1296" i="1" s="1"/>
  <c r="T1295" i="1"/>
  <c r="V1295" i="1" s="1"/>
  <c r="T1294" i="1"/>
  <c r="V1294" i="1" s="1"/>
  <c r="T1293" i="1"/>
  <c r="V1293" i="1" s="1"/>
  <c r="T1292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P1290" i="1"/>
  <c r="T1290" i="1" s="1"/>
  <c r="V1290" i="1" s="1"/>
  <c r="T1289" i="1"/>
  <c r="V1289" i="1" s="1"/>
  <c r="T1288" i="1"/>
  <c r="V1288" i="1" s="1"/>
  <c r="G1288" i="1"/>
  <c r="G1285" i="1" s="1"/>
  <c r="T1287" i="1"/>
  <c r="V1287" i="1" s="1"/>
  <c r="T1286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Q1284" i="1"/>
  <c r="Q1283" i="1" s="1"/>
  <c r="L1284" i="1"/>
  <c r="L1283" i="1" s="1"/>
  <c r="S1283" i="1"/>
  <c r="R1283" i="1"/>
  <c r="P1283" i="1"/>
  <c r="O1283" i="1"/>
  <c r="N1283" i="1"/>
  <c r="M1283" i="1"/>
  <c r="K1283" i="1"/>
  <c r="J1283" i="1"/>
  <c r="I1283" i="1"/>
  <c r="H1283" i="1"/>
  <c r="G1283" i="1"/>
  <c r="R1281" i="1"/>
  <c r="L1281" i="1"/>
  <c r="T1281" i="1" s="1"/>
  <c r="V1281" i="1" s="1"/>
  <c r="O1280" i="1"/>
  <c r="O1277" i="1" s="1"/>
  <c r="N1280" i="1"/>
  <c r="N1277" i="1" s="1"/>
  <c r="M1280" i="1"/>
  <c r="M1277" i="1" s="1"/>
  <c r="L1280" i="1"/>
  <c r="K1280" i="1"/>
  <c r="K1277" i="1" s="1"/>
  <c r="J1280" i="1"/>
  <c r="J1277" i="1" s="1"/>
  <c r="I1280" i="1"/>
  <c r="I1277" i="1" s="1"/>
  <c r="H1280" i="1"/>
  <c r="H1277" i="1" s="1"/>
  <c r="T1279" i="1"/>
  <c r="V1279" i="1" s="1"/>
  <c r="T1278" i="1"/>
  <c r="V1278" i="1" s="1"/>
  <c r="S1277" i="1"/>
  <c r="R1277" i="1"/>
  <c r="Q1277" i="1"/>
  <c r="P1277" i="1"/>
  <c r="L1277" i="1"/>
  <c r="G1277" i="1"/>
  <c r="T1276" i="1"/>
  <c r="V1276" i="1" s="1"/>
  <c r="M1275" i="1"/>
  <c r="S1274" i="1"/>
  <c r="R1274" i="1"/>
  <c r="Q1274" i="1"/>
  <c r="P1274" i="1"/>
  <c r="O1274" i="1"/>
  <c r="N1274" i="1"/>
  <c r="L1274" i="1"/>
  <c r="K1274" i="1"/>
  <c r="J1274" i="1"/>
  <c r="I1274" i="1"/>
  <c r="H1274" i="1"/>
  <c r="G1274" i="1"/>
  <c r="H1273" i="1"/>
  <c r="T1272" i="1"/>
  <c r="V1272" i="1" s="1"/>
  <c r="T1271" i="1"/>
  <c r="V1271" i="1" s="1"/>
  <c r="J1270" i="1"/>
  <c r="T1270" i="1" s="1"/>
  <c r="V1270" i="1" s="1"/>
  <c r="S1269" i="1"/>
  <c r="R1269" i="1"/>
  <c r="Q1269" i="1"/>
  <c r="P1269" i="1"/>
  <c r="O1269" i="1"/>
  <c r="N1269" i="1"/>
  <c r="M1269" i="1"/>
  <c r="L1269" i="1"/>
  <c r="K1269" i="1"/>
  <c r="I1269" i="1"/>
  <c r="G1269" i="1"/>
  <c r="T1268" i="1"/>
  <c r="V1268" i="1" s="1"/>
  <c r="G1268" i="1"/>
  <c r="G1267" i="1" s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K1266" i="1"/>
  <c r="T1264" i="1"/>
  <c r="V1264" i="1" s="1"/>
  <c r="T1263" i="1"/>
  <c r="V1263" i="1" s="1"/>
  <c r="T1262" i="1"/>
  <c r="V1262" i="1" s="1"/>
  <c r="G1262" i="1"/>
  <c r="G1260" i="1" s="1"/>
  <c r="T1261" i="1"/>
  <c r="V1261" i="1" s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T1259" i="1"/>
  <c r="V1259" i="1" s="1"/>
  <c r="T1258" i="1"/>
  <c r="V1258" i="1" s="1"/>
  <c r="T1257" i="1"/>
  <c r="V1257" i="1" s="1"/>
  <c r="T1256" i="1"/>
  <c r="V1256" i="1" s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H1254" i="1" s="1"/>
  <c r="G1255" i="1"/>
  <c r="T1253" i="1"/>
  <c r="V1253" i="1" s="1"/>
  <c r="T1252" i="1"/>
  <c r="T1251" i="1"/>
  <c r="V1251" i="1" s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P1248" i="1"/>
  <c r="O1248" i="1"/>
  <c r="L1248" i="1"/>
  <c r="T1247" i="1"/>
  <c r="V1247" i="1" s="1"/>
  <c r="R1246" i="1"/>
  <c r="Q1246" i="1"/>
  <c r="Q1241" i="1" s="1"/>
  <c r="P1246" i="1"/>
  <c r="O1246" i="1"/>
  <c r="N1246" i="1"/>
  <c r="M1246" i="1"/>
  <c r="L1246" i="1"/>
  <c r="K1246" i="1"/>
  <c r="J1246" i="1"/>
  <c r="I1246" i="1"/>
  <c r="H1246" i="1"/>
  <c r="R1245" i="1"/>
  <c r="P1245" i="1"/>
  <c r="N1245" i="1"/>
  <c r="M1245" i="1"/>
  <c r="L1245" i="1"/>
  <c r="J1245" i="1"/>
  <c r="I1245" i="1"/>
  <c r="H1245" i="1"/>
  <c r="P1244" i="1"/>
  <c r="O1244" i="1"/>
  <c r="O1241" i="1" s="1"/>
  <c r="M1244" i="1"/>
  <c r="J1244" i="1"/>
  <c r="I1244" i="1"/>
  <c r="H1244" i="1"/>
  <c r="P1243" i="1"/>
  <c r="N1243" i="1"/>
  <c r="M1243" i="1"/>
  <c r="L1243" i="1"/>
  <c r="J1243" i="1"/>
  <c r="I1243" i="1"/>
  <c r="H1243" i="1"/>
  <c r="T1242" i="1"/>
  <c r="V1242" i="1" s="1"/>
  <c r="Q1242" i="1"/>
  <c r="S1241" i="1"/>
  <c r="R1241" i="1"/>
  <c r="T1240" i="1"/>
  <c r="V1240" i="1" s="1"/>
  <c r="T1239" i="1"/>
  <c r="V1239" i="1" s="1"/>
  <c r="T1238" i="1"/>
  <c r="V1238" i="1" s="1"/>
  <c r="T1237" i="1"/>
  <c r="V1237" i="1" s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T1235" i="1"/>
  <c r="V1235" i="1" s="1"/>
  <c r="T1234" i="1"/>
  <c r="V1234" i="1" s="1"/>
  <c r="T1233" i="1"/>
  <c r="V1233" i="1" s="1"/>
  <c r="T1232" i="1"/>
  <c r="S1231" i="1"/>
  <c r="R1231" i="1"/>
  <c r="Q1231" i="1"/>
  <c r="P1231" i="1"/>
  <c r="O1231" i="1"/>
  <c r="N1231" i="1"/>
  <c r="M1231" i="1"/>
  <c r="M1230" i="1" s="1"/>
  <c r="M1229" i="1" s="1"/>
  <c r="L1231" i="1"/>
  <c r="K1231" i="1"/>
  <c r="J1231" i="1"/>
  <c r="I1231" i="1"/>
  <c r="H1231" i="1"/>
  <c r="G1231" i="1"/>
  <c r="R1228" i="1"/>
  <c r="R1226" i="1" s="1"/>
  <c r="Q1228" i="1"/>
  <c r="Q1226" i="1" s="1"/>
  <c r="J1228" i="1"/>
  <c r="I1228" i="1"/>
  <c r="G1228" i="1"/>
  <c r="N1227" i="1"/>
  <c r="T1227" i="1" s="1"/>
  <c r="V1227" i="1" s="1"/>
  <c r="G1227" i="1"/>
  <c r="S1226" i="1"/>
  <c r="P1226" i="1"/>
  <c r="O1226" i="1"/>
  <c r="M1226" i="1"/>
  <c r="L1226" i="1"/>
  <c r="K1226" i="1"/>
  <c r="J1226" i="1"/>
  <c r="I1226" i="1"/>
  <c r="H1226" i="1"/>
  <c r="T1225" i="1"/>
  <c r="V1225" i="1" s="1"/>
  <c r="T1224" i="1"/>
  <c r="V1224" i="1" s="1"/>
  <c r="P1223" i="1"/>
  <c r="O1223" i="1"/>
  <c r="T1222" i="1"/>
  <c r="V1222" i="1" s="1"/>
  <c r="R1221" i="1"/>
  <c r="R1219" i="1" s="1"/>
  <c r="Q1221" i="1"/>
  <c r="P1221" i="1"/>
  <c r="P1219" i="1" s="1"/>
  <c r="O1221" i="1"/>
  <c r="N1221" i="1"/>
  <c r="M1221" i="1"/>
  <c r="K1221" i="1"/>
  <c r="J1221" i="1"/>
  <c r="H1221" i="1"/>
  <c r="H1219" i="1" s="1"/>
  <c r="Q1220" i="1"/>
  <c r="Q1219" i="1" s="1"/>
  <c r="O1220" i="1"/>
  <c r="N1220" i="1"/>
  <c r="M1220" i="1"/>
  <c r="M1219" i="1" s="1"/>
  <c r="L1220" i="1"/>
  <c r="L1219" i="1" s="1"/>
  <c r="J1220" i="1"/>
  <c r="H1220" i="1"/>
  <c r="S1219" i="1"/>
  <c r="I1219" i="1"/>
  <c r="G1219" i="1"/>
  <c r="G1218" i="1" s="1"/>
  <c r="R1216" i="1"/>
  <c r="R1211" i="1" s="1"/>
  <c r="Q1216" i="1"/>
  <c r="Q1211" i="1" s="1"/>
  <c r="P1216" i="1"/>
  <c r="O1216" i="1"/>
  <c r="O1211" i="1" s="1"/>
  <c r="M1216" i="1"/>
  <c r="M1211" i="1" s="1"/>
  <c r="L1216" i="1"/>
  <c r="K1216" i="1"/>
  <c r="K1211" i="1" s="1"/>
  <c r="H1216" i="1"/>
  <c r="H1211" i="1" s="1"/>
  <c r="T1215" i="1"/>
  <c r="V1215" i="1" s="1"/>
  <c r="T1214" i="1"/>
  <c r="V1214" i="1" s="1"/>
  <c r="L1213" i="1"/>
  <c r="T1212" i="1"/>
  <c r="V1212" i="1" s="1"/>
  <c r="S1211" i="1"/>
  <c r="P1211" i="1"/>
  <c r="N1211" i="1"/>
  <c r="J1211" i="1"/>
  <c r="I1211" i="1"/>
  <c r="G1211" i="1"/>
  <c r="T1210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T1208" i="1"/>
  <c r="G1208" i="1"/>
  <c r="G1206" i="1" s="1"/>
  <c r="T1207" i="1"/>
  <c r="V1207" i="1" s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T1205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T1203" i="1"/>
  <c r="V1203" i="1" s="1"/>
  <c r="G1203" i="1"/>
  <c r="T1202" i="1"/>
  <c r="V1202" i="1" s="1"/>
  <c r="T1201" i="1"/>
  <c r="V1201" i="1" s="1"/>
  <c r="G1201" i="1"/>
  <c r="K1200" i="1"/>
  <c r="K1199" i="1" s="1"/>
  <c r="S1199" i="1"/>
  <c r="R1199" i="1"/>
  <c r="Q1199" i="1"/>
  <c r="P1199" i="1"/>
  <c r="O1199" i="1"/>
  <c r="N1199" i="1"/>
  <c r="M1199" i="1"/>
  <c r="L1199" i="1"/>
  <c r="J1199" i="1"/>
  <c r="I1199" i="1"/>
  <c r="H1199" i="1"/>
  <c r="T1197" i="1"/>
  <c r="V1197" i="1" s="1"/>
  <c r="G1197" i="1"/>
  <c r="T1196" i="1"/>
  <c r="V1196" i="1" s="1"/>
  <c r="T1195" i="1"/>
  <c r="V1195" i="1" s="1"/>
  <c r="G1195" i="1"/>
  <c r="M1194" i="1"/>
  <c r="L1194" i="1"/>
  <c r="K1194" i="1"/>
  <c r="J1194" i="1"/>
  <c r="I1194" i="1"/>
  <c r="G1194" i="1"/>
  <c r="T1193" i="1"/>
  <c r="V1193" i="1" s="1"/>
  <c r="G1193" i="1"/>
  <c r="T1192" i="1"/>
  <c r="V1192" i="1" s="1"/>
  <c r="G1192" i="1"/>
  <c r="R1191" i="1"/>
  <c r="Q1191" i="1"/>
  <c r="M1191" i="1"/>
  <c r="I1191" i="1"/>
  <c r="R1190" i="1"/>
  <c r="Q1190" i="1"/>
  <c r="O1190" i="1"/>
  <c r="J1190" i="1"/>
  <c r="I1190" i="1"/>
  <c r="H1190" i="1"/>
  <c r="T1190" i="1" s="1"/>
  <c r="V1190" i="1" s="1"/>
  <c r="P1189" i="1"/>
  <c r="J1189" i="1"/>
  <c r="I1189" i="1"/>
  <c r="R1188" i="1"/>
  <c r="Q1188" i="1"/>
  <c r="P1188" i="1"/>
  <c r="O1188" i="1"/>
  <c r="N1188" i="1"/>
  <c r="M1188" i="1"/>
  <c r="L1188" i="1"/>
  <c r="K1188" i="1"/>
  <c r="J1188" i="1"/>
  <c r="I1188" i="1"/>
  <c r="G1188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T1185" i="1"/>
  <c r="V1185" i="1" s="1"/>
  <c r="G1185" i="1"/>
  <c r="S1184" i="1"/>
  <c r="O1184" i="1"/>
  <c r="P1183" i="1"/>
  <c r="T1183" i="1" s="1"/>
  <c r="V1183" i="1" s="1"/>
  <c r="Q1182" i="1"/>
  <c r="T1182" i="1" s="1"/>
  <c r="V1182" i="1" s="1"/>
  <c r="Q1181" i="1"/>
  <c r="P1181" i="1"/>
  <c r="P1180" i="1" s="1"/>
  <c r="S1180" i="1"/>
  <c r="S1175" i="1" s="1"/>
  <c r="R1180" i="1"/>
  <c r="O1180" i="1"/>
  <c r="N1180" i="1"/>
  <c r="M1180" i="1"/>
  <c r="L1180" i="1"/>
  <c r="L1175" i="1" s="1"/>
  <c r="K1180" i="1"/>
  <c r="J1180" i="1"/>
  <c r="I1180" i="1"/>
  <c r="H1180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T1178" i="1"/>
  <c r="V1178" i="1" s="1"/>
  <c r="G1178" i="1"/>
  <c r="R1177" i="1"/>
  <c r="Q1177" i="1"/>
  <c r="P1177" i="1"/>
  <c r="O1177" i="1"/>
  <c r="N1177" i="1"/>
  <c r="M1177" i="1"/>
  <c r="L1177" i="1"/>
  <c r="K1177" i="1"/>
  <c r="J1177" i="1"/>
  <c r="I1177" i="1"/>
  <c r="H1177" i="1"/>
  <c r="T1176" i="1"/>
  <c r="V1176" i="1" s="1"/>
  <c r="J1176" i="1"/>
  <c r="G1176" i="1"/>
  <c r="T1174" i="1"/>
  <c r="V1174" i="1" s="1"/>
  <c r="R1173" i="1"/>
  <c r="R1171" i="1" s="1"/>
  <c r="K1173" i="1"/>
  <c r="T1173" i="1" s="1"/>
  <c r="T1172" i="1"/>
  <c r="V1172" i="1" s="1"/>
  <c r="G1172" i="1"/>
  <c r="G1171" i="1" s="1"/>
  <c r="S1171" i="1"/>
  <c r="S1161" i="1" s="1"/>
  <c r="Q1171" i="1"/>
  <c r="P1171" i="1"/>
  <c r="O1171" i="1"/>
  <c r="N1171" i="1"/>
  <c r="M1171" i="1"/>
  <c r="L1171" i="1"/>
  <c r="J1171" i="1"/>
  <c r="I1171" i="1"/>
  <c r="H1171" i="1"/>
  <c r="T1170" i="1"/>
  <c r="V1170" i="1" s="1"/>
  <c r="R1169" i="1"/>
  <c r="Q1169" i="1"/>
  <c r="P1169" i="1"/>
  <c r="O1169" i="1"/>
  <c r="N1169" i="1"/>
  <c r="M1169" i="1"/>
  <c r="L1169" i="1"/>
  <c r="K1169" i="1"/>
  <c r="J1169" i="1"/>
  <c r="I1169" i="1"/>
  <c r="H1169" i="1"/>
  <c r="R1168" i="1"/>
  <c r="Q1168" i="1"/>
  <c r="M1168" i="1"/>
  <c r="L1168" i="1"/>
  <c r="M1167" i="1"/>
  <c r="L1167" i="1"/>
  <c r="K1167" i="1"/>
  <c r="J1167" i="1"/>
  <c r="I1167" i="1"/>
  <c r="H1167" i="1"/>
  <c r="T1166" i="1"/>
  <c r="V1166" i="1" s="1"/>
  <c r="T1165" i="1"/>
  <c r="V1165" i="1" s="1"/>
  <c r="R1164" i="1"/>
  <c r="Q1164" i="1"/>
  <c r="P1164" i="1"/>
  <c r="O1164" i="1"/>
  <c r="N1164" i="1"/>
  <c r="M1164" i="1"/>
  <c r="L1164" i="1"/>
  <c r="K1164" i="1"/>
  <c r="J1164" i="1"/>
  <c r="I1164" i="1"/>
  <c r="T1163" i="1"/>
  <c r="V1163" i="1" s="1"/>
  <c r="T1162" i="1"/>
  <c r="V1162" i="1" s="1"/>
  <c r="G1162" i="1"/>
  <c r="T1160" i="1"/>
  <c r="V1160" i="1" s="1"/>
  <c r="T1159" i="1"/>
  <c r="V1159" i="1" s="1"/>
  <c r="R1158" i="1"/>
  <c r="R1150" i="1" s="1"/>
  <c r="Q1158" i="1"/>
  <c r="T1158" i="1" s="1"/>
  <c r="V1158" i="1" s="1"/>
  <c r="O1157" i="1"/>
  <c r="T1157" i="1" s="1"/>
  <c r="V1157" i="1" s="1"/>
  <c r="Q1156" i="1"/>
  <c r="P1156" i="1"/>
  <c r="P1150" i="1" s="1"/>
  <c r="N1156" i="1"/>
  <c r="N1150" i="1" s="1"/>
  <c r="M1156" i="1"/>
  <c r="L1156" i="1"/>
  <c r="L1150" i="1" s="1"/>
  <c r="P1155" i="1"/>
  <c r="O1155" i="1"/>
  <c r="O1150" i="1" s="1"/>
  <c r="N1155" i="1"/>
  <c r="M1155" i="1"/>
  <c r="L1155" i="1"/>
  <c r="M1154" i="1"/>
  <c r="T1154" i="1" s="1"/>
  <c r="V1154" i="1" s="1"/>
  <c r="T1153" i="1"/>
  <c r="V1153" i="1" s="1"/>
  <c r="H1152" i="1"/>
  <c r="T1152" i="1" s="1"/>
  <c r="V1152" i="1" s="1"/>
  <c r="T1151" i="1"/>
  <c r="V1151" i="1" s="1"/>
  <c r="G1151" i="1"/>
  <c r="S1150" i="1"/>
  <c r="K1150" i="1"/>
  <c r="J1150" i="1"/>
  <c r="I1150" i="1"/>
  <c r="G1150" i="1"/>
  <c r="T1149" i="1"/>
  <c r="V1149" i="1" s="1"/>
  <c r="T1148" i="1"/>
  <c r="V1148" i="1" s="1"/>
  <c r="H1147" i="1"/>
  <c r="G1147" i="1"/>
  <c r="G1145" i="1" s="1"/>
  <c r="T1146" i="1"/>
  <c r="V1146" i="1" s="1"/>
  <c r="S1145" i="1"/>
  <c r="R1145" i="1"/>
  <c r="Q1145" i="1"/>
  <c r="P1145" i="1"/>
  <c r="O1145" i="1"/>
  <c r="N1145" i="1"/>
  <c r="M1145" i="1"/>
  <c r="L1145" i="1"/>
  <c r="K1145" i="1"/>
  <c r="J1145" i="1"/>
  <c r="I1145" i="1"/>
  <c r="T1144" i="1"/>
  <c r="V1144" i="1" s="1"/>
  <c r="O1143" i="1"/>
  <c r="T1143" i="1" s="1"/>
  <c r="V1143" i="1" s="1"/>
  <c r="T1142" i="1"/>
  <c r="V1142" i="1" s="1"/>
  <c r="T1141" i="1"/>
  <c r="V1141" i="1" s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L1139" i="1"/>
  <c r="S1138" i="1"/>
  <c r="S1132" i="1" s="1"/>
  <c r="R1138" i="1"/>
  <c r="R1132" i="1" s="1"/>
  <c r="Q1138" i="1"/>
  <c r="Q1132" i="1" s="1"/>
  <c r="P1138" i="1"/>
  <c r="P1132" i="1" s="1"/>
  <c r="O1138" i="1"/>
  <c r="O1132" i="1" s="1"/>
  <c r="N1138" i="1"/>
  <c r="N1132" i="1" s="1"/>
  <c r="M1138" i="1"/>
  <c r="K1138" i="1"/>
  <c r="K1132" i="1" s="1"/>
  <c r="J1138" i="1"/>
  <c r="J1132" i="1" s="1"/>
  <c r="I1138" i="1"/>
  <c r="I1132" i="1" s="1"/>
  <c r="H1138" i="1"/>
  <c r="H1132" i="1" s="1"/>
  <c r="G1138" i="1"/>
  <c r="G1132" i="1" s="1"/>
  <c r="T1137" i="1"/>
  <c r="V1137" i="1" s="1"/>
  <c r="T1136" i="1"/>
  <c r="V1136" i="1" s="1"/>
  <c r="T1135" i="1"/>
  <c r="V1135" i="1" s="1"/>
  <c r="T1134" i="1"/>
  <c r="V1134" i="1" s="1"/>
  <c r="M1133" i="1"/>
  <c r="T1133" i="1" s="1"/>
  <c r="V1133" i="1" s="1"/>
  <c r="T1130" i="1"/>
  <c r="V1130" i="1" s="1"/>
  <c r="T1129" i="1"/>
  <c r="V1129" i="1" s="1"/>
  <c r="T1128" i="1"/>
  <c r="V1128" i="1" s="1"/>
  <c r="T1127" i="1"/>
  <c r="V1127" i="1" s="1"/>
  <c r="T1126" i="1"/>
  <c r="V1126" i="1" s="1"/>
  <c r="T1125" i="1"/>
  <c r="V1125" i="1" s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T1123" i="1"/>
  <c r="V1123" i="1" s="1"/>
  <c r="R1123" i="1"/>
  <c r="T1122" i="1"/>
  <c r="V1122" i="1" s="1"/>
  <c r="R1121" i="1"/>
  <c r="T1121" i="1" s="1"/>
  <c r="V1121" i="1" s="1"/>
  <c r="T1120" i="1"/>
  <c r="V1120" i="1" s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T1118" i="1"/>
  <c r="V1118" i="1" s="1"/>
  <c r="H1118" i="1"/>
  <c r="M1117" i="1"/>
  <c r="T1117" i="1" s="1"/>
  <c r="S1116" i="1"/>
  <c r="R1116" i="1"/>
  <c r="Q1116" i="1"/>
  <c r="P1116" i="1"/>
  <c r="O1116" i="1"/>
  <c r="N1116" i="1"/>
  <c r="L1116" i="1"/>
  <c r="K1116" i="1"/>
  <c r="J1116" i="1"/>
  <c r="I1116" i="1"/>
  <c r="H1116" i="1"/>
  <c r="G1116" i="1"/>
  <c r="T1115" i="1"/>
  <c r="V1115" i="1" s="1"/>
  <c r="M1114" i="1"/>
  <c r="T1114" i="1" s="1"/>
  <c r="V1114" i="1" s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T1111" i="1"/>
  <c r="V1111" i="1" s="1"/>
  <c r="G1111" i="1"/>
  <c r="G1103" i="1" s="1"/>
  <c r="T1110" i="1"/>
  <c r="V1110" i="1" s="1"/>
  <c r="T1109" i="1"/>
  <c r="V1109" i="1" s="1"/>
  <c r="T1108" i="1"/>
  <c r="V1108" i="1" s="1"/>
  <c r="T1107" i="1"/>
  <c r="V1107" i="1" s="1"/>
  <c r="T1106" i="1"/>
  <c r="V1106" i="1" s="1"/>
  <c r="R1105" i="1"/>
  <c r="Q1105" i="1"/>
  <c r="Q1103" i="1" s="1"/>
  <c r="P1105" i="1"/>
  <c r="O1105" i="1"/>
  <c r="O1103" i="1" s="1"/>
  <c r="N1105" i="1"/>
  <c r="M1105" i="1"/>
  <c r="L1105" i="1"/>
  <c r="L1103" i="1" s="1"/>
  <c r="J1105" i="1"/>
  <c r="J1103" i="1" s="1"/>
  <c r="I1105" i="1"/>
  <c r="I1103" i="1" s="1"/>
  <c r="H1105" i="1"/>
  <c r="R1104" i="1"/>
  <c r="M1104" i="1"/>
  <c r="S1103" i="1"/>
  <c r="R1103" i="1"/>
  <c r="P1103" i="1"/>
  <c r="N1103" i="1"/>
  <c r="K1103" i="1"/>
  <c r="R1102" i="1"/>
  <c r="Q1102" i="1"/>
  <c r="Q1096" i="1" s="1"/>
  <c r="P1102" i="1"/>
  <c r="P1096" i="1" s="1"/>
  <c r="N1102" i="1"/>
  <c r="N1096" i="1" s="1"/>
  <c r="J1102" i="1"/>
  <c r="H1102" i="1"/>
  <c r="T1101" i="1"/>
  <c r="V1101" i="1" s="1"/>
  <c r="G1101" i="1"/>
  <c r="G1096" i="1" s="1"/>
  <c r="T1100" i="1"/>
  <c r="V1100" i="1" s="1"/>
  <c r="O1099" i="1"/>
  <c r="M1099" i="1"/>
  <c r="H1098" i="1"/>
  <c r="T1098" i="1" s="1"/>
  <c r="V1098" i="1" s="1"/>
  <c r="T1097" i="1"/>
  <c r="V1097" i="1" s="1"/>
  <c r="S1096" i="1"/>
  <c r="R1096" i="1"/>
  <c r="O1096" i="1"/>
  <c r="L1096" i="1"/>
  <c r="K1096" i="1"/>
  <c r="J1096" i="1"/>
  <c r="I1096" i="1"/>
  <c r="R1094" i="1"/>
  <c r="T1094" i="1" s="1"/>
  <c r="V1094" i="1" s="1"/>
  <c r="Q1093" i="1"/>
  <c r="Q1087" i="1" s="1"/>
  <c r="P1093" i="1"/>
  <c r="K1093" i="1"/>
  <c r="T1092" i="1"/>
  <c r="V1092" i="1" s="1"/>
  <c r="R1091" i="1"/>
  <c r="R1087" i="1" s="1"/>
  <c r="M1091" i="1"/>
  <c r="M1087" i="1" s="1"/>
  <c r="L1091" i="1"/>
  <c r="L1087" i="1" s="1"/>
  <c r="J1091" i="1"/>
  <c r="H1091" i="1"/>
  <c r="H1087" i="1" s="1"/>
  <c r="H1090" i="1"/>
  <c r="T1090" i="1" s="1"/>
  <c r="V1090" i="1" s="1"/>
  <c r="T1089" i="1"/>
  <c r="V1089" i="1" s="1"/>
  <c r="T1088" i="1"/>
  <c r="V1088" i="1" s="1"/>
  <c r="S1087" i="1"/>
  <c r="P1087" i="1"/>
  <c r="O1087" i="1"/>
  <c r="N1087" i="1"/>
  <c r="I1087" i="1"/>
  <c r="G1087" i="1"/>
  <c r="T1086" i="1"/>
  <c r="V1086" i="1" s="1"/>
  <c r="T1085" i="1"/>
  <c r="V1085" i="1" s="1"/>
  <c r="J1084" i="1"/>
  <c r="J1083" i="1"/>
  <c r="T1083" i="1" s="1"/>
  <c r="V1083" i="1" s="1"/>
  <c r="Q1082" i="1"/>
  <c r="J1082" i="1"/>
  <c r="P1081" i="1"/>
  <c r="P1079" i="1" s="1"/>
  <c r="O1081" i="1"/>
  <c r="O1079" i="1" s="1"/>
  <c r="N1081" i="1"/>
  <c r="Q1080" i="1"/>
  <c r="O1080" i="1"/>
  <c r="N1080" i="1"/>
  <c r="M1080" i="1"/>
  <c r="M1079" i="1" s="1"/>
  <c r="L1080" i="1"/>
  <c r="L1079" i="1" s="1"/>
  <c r="K1080" i="1"/>
  <c r="K1079" i="1" s="1"/>
  <c r="J1080" i="1"/>
  <c r="S1079" i="1"/>
  <c r="R1079" i="1"/>
  <c r="I1079" i="1"/>
  <c r="H1079" i="1"/>
  <c r="G1079" i="1"/>
  <c r="T1078" i="1"/>
  <c r="V1078" i="1" s="1"/>
  <c r="P1077" i="1"/>
  <c r="M1077" i="1"/>
  <c r="L1077" i="1"/>
  <c r="K1077" i="1"/>
  <c r="J1077" i="1"/>
  <c r="I1077" i="1"/>
  <c r="Q1076" i="1"/>
  <c r="P1076" i="1"/>
  <c r="O1076" i="1"/>
  <c r="K1076" i="1"/>
  <c r="J1076" i="1"/>
  <c r="J1074" i="1" s="1"/>
  <c r="H1076" i="1"/>
  <c r="Q1075" i="1"/>
  <c r="P1075" i="1"/>
  <c r="O1075" i="1"/>
  <c r="M1075" i="1"/>
  <c r="K1075" i="1"/>
  <c r="J1075" i="1"/>
  <c r="S1074" i="1"/>
  <c r="R1074" i="1"/>
  <c r="N1074" i="1"/>
  <c r="M1074" i="1"/>
  <c r="L1074" i="1"/>
  <c r="G1074" i="1"/>
  <c r="T1073" i="1"/>
  <c r="V1073" i="1" s="1"/>
  <c r="T1072" i="1"/>
  <c r="V1072" i="1" s="1"/>
  <c r="R1071" i="1"/>
  <c r="R1070" i="1" s="1"/>
  <c r="Q1071" i="1"/>
  <c r="Q1070" i="1" s="1"/>
  <c r="O1071" i="1"/>
  <c r="N1071" i="1"/>
  <c r="M1071" i="1"/>
  <c r="K1071" i="1"/>
  <c r="K1070" i="1" s="1"/>
  <c r="J1071" i="1"/>
  <c r="J1070" i="1" s="1"/>
  <c r="I1071" i="1"/>
  <c r="I1070" i="1" s="1"/>
  <c r="H1071" i="1"/>
  <c r="S1070" i="1"/>
  <c r="P1070" i="1"/>
  <c r="O1070" i="1"/>
  <c r="N1070" i="1"/>
  <c r="M1070" i="1"/>
  <c r="L1070" i="1"/>
  <c r="G1070" i="1"/>
  <c r="T1068" i="1"/>
  <c r="V1068" i="1" s="1"/>
  <c r="T1067" i="1"/>
  <c r="V1067" i="1" s="1"/>
  <c r="R1066" i="1"/>
  <c r="Q1066" i="1"/>
  <c r="P1066" i="1"/>
  <c r="P1065" i="1" s="1"/>
  <c r="O1066" i="1"/>
  <c r="O1065" i="1" s="1"/>
  <c r="N1066" i="1"/>
  <c r="N1065" i="1" s="1"/>
  <c r="M1066" i="1"/>
  <c r="M1065" i="1" s="1"/>
  <c r="L1066" i="1"/>
  <c r="L1065" i="1" s="1"/>
  <c r="K1066" i="1"/>
  <c r="J1066" i="1"/>
  <c r="I1066" i="1"/>
  <c r="I1065" i="1" s="1"/>
  <c r="H1066" i="1"/>
  <c r="H1065" i="1" s="1"/>
  <c r="S1065" i="1"/>
  <c r="R1065" i="1"/>
  <c r="Q1065" i="1"/>
  <c r="K1065" i="1"/>
  <c r="G1065" i="1"/>
  <c r="J1064" i="1"/>
  <c r="I1063" i="1"/>
  <c r="T1063" i="1" s="1"/>
  <c r="V1063" i="1" s="1"/>
  <c r="S1062" i="1"/>
  <c r="R1062" i="1"/>
  <c r="Q1062" i="1"/>
  <c r="P1062" i="1"/>
  <c r="O1062" i="1"/>
  <c r="N1062" i="1"/>
  <c r="M1062" i="1"/>
  <c r="L1062" i="1"/>
  <c r="K1062" i="1"/>
  <c r="I1062" i="1"/>
  <c r="H1062" i="1"/>
  <c r="G1062" i="1"/>
  <c r="Q1061" i="1"/>
  <c r="Q1060" i="1" s="1"/>
  <c r="N1061" i="1"/>
  <c r="S1060" i="1"/>
  <c r="R1060" i="1"/>
  <c r="P1060" i="1"/>
  <c r="O1060" i="1"/>
  <c r="M1060" i="1"/>
  <c r="L1060" i="1"/>
  <c r="K1060" i="1"/>
  <c r="J1060" i="1"/>
  <c r="I1060" i="1"/>
  <c r="H1060" i="1"/>
  <c r="G1060" i="1"/>
  <c r="R1058" i="1"/>
  <c r="R1055" i="1" s="1"/>
  <c r="T1057" i="1"/>
  <c r="V1057" i="1" s="1"/>
  <c r="R1056" i="1"/>
  <c r="Q1056" i="1"/>
  <c r="Q1055" i="1" s="1"/>
  <c r="P1056" i="1"/>
  <c r="O1056" i="1"/>
  <c r="O1055" i="1" s="1"/>
  <c r="N1056" i="1"/>
  <c r="N1055" i="1" s="1"/>
  <c r="M1056" i="1"/>
  <c r="M1055" i="1" s="1"/>
  <c r="L1056" i="1"/>
  <c r="K1056" i="1"/>
  <c r="K1055" i="1" s="1"/>
  <c r="J1056" i="1"/>
  <c r="I1056" i="1"/>
  <c r="I1055" i="1" s="1"/>
  <c r="H1056" i="1"/>
  <c r="H1055" i="1" s="1"/>
  <c r="S1055" i="1"/>
  <c r="P1055" i="1"/>
  <c r="L1055" i="1"/>
  <c r="G1055" i="1"/>
  <c r="T1054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M1052" i="1"/>
  <c r="S1051" i="1"/>
  <c r="R1051" i="1"/>
  <c r="Q1051" i="1"/>
  <c r="P1051" i="1"/>
  <c r="O1051" i="1"/>
  <c r="N1051" i="1"/>
  <c r="L1051" i="1"/>
  <c r="K1051" i="1"/>
  <c r="J1051" i="1"/>
  <c r="I1051" i="1"/>
  <c r="H1051" i="1"/>
  <c r="G1051" i="1"/>
  <c r="T1049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R1047" i="1"/>
  <c r="R1046" i="1" s="1"/>
  <c r="Q1047" i="1"/>
  <c r="Q1046" i="1" s="1"/>
  <c r="P1047" i="1"/>
  <c r="P1046" i="1" s="1"/>
  <c r="O1047" i="1"/>
  <c r="O1046" i="1" s="1"/>
  <c r="S1046" i="1"/>
  <c r="N1046" i="1"/>
  <c r="M1046" i="1"/>
  <c r="L1046" i="1"/>
  <c r="K1046" i="1"/>
  <c r="J1046" i="1"/>
  <c r="I1046" i="1"/>
  <c r="H1046" i="1"/>
  <c r="G1046" i="1"/>
  <c r="T1045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T1043" i="1"/>
  <c r="V1043" i="1" s="1"/>
  <c r="T1042" i="1"/>
  <c r="V1042" i="1" s="1"/>
  <c r="T1041" i="1"/>
  <c r="V1041" i="1" s="1"/>
  <c r="T1040" i="1"/>
  <c r="V1040" i="1" s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J1038" i="1"/>
  <c r="J1037" i="1" s="1"/>
  <c r="S1037" i="1"/>
  <c r="R1037" i="1"/>
  <c r="Q1037" i="1"/>
  <c r="P1037" i="1"/>
  <c r="O1037" i="1"/>
  <c r="N1037" i="1"/>
  <c r="M1037" i="1"/>
  <c r="L1037" i="1"/>
  <c r="K1037" i="1"/>
  <c r="I1037" i="1"/>
  <c r="H1037" i="1"/>
  <c r="G1037" i="1"/>
  <c r="T1033" i="1"/>
  <c r="V1033" i="1" s="1"/>
  <c r="T1032" i="1"/>
  <c r="V1032" i="1" s="1"/>
  <c r="T1031" i="1"/>
  <c r="V1031" i="1" s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T1029" i="1"/>
  <c r="V1029" i="1" s="1"/>
  <c r="Q1028" i="1"/>
  <c r="Q1027" i="1" s="1"/>
  <c r="M1028" i="1"/>
  <c r="M1027" i="1" s="1"/>
  <c r="L1028" i="1"/>
  <c r="S1027" i="1"/>
  <c r="R1027" i="1"/>
  <c r="P1027" i="1"/>
  <c r="O1027" i="1"/>
  <c r="N1027" i="1"/>
  <c r="L1027" i="1"/>
  <c r="K1027" i="1"/>
  <c r="J1027" i="1"/>
  <c r="I1027" i="1"/>
  <c r="H1027" i="1"/>
  <c r="T1026" i="1"/>
  <c r="V1026" i="1" s="1"/>
  <c r="T1025" i="1"/>
  <c r="V1025" i="1" s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T1023" i="1"/>
  <c r="V1023" i="1" s="1"/>
  <c r="M1022" i="1"/>
  <c r="R1021" i="1"/>
  <c r="R1020" i="1" s="1"/>
  <c r="R1019" i="1" s="1"/>
  <c r="Q1021" i="1"/>
  <c r="S1020" i="1"/>
  <c r="S1019" i="1" s="1"/>
  <c r="P1020" i="1"/>
  <c r="P1019" i="1" s="1"/>
  <c r="O1020" i="1"/>
  <c r="O1019" i="1" s="1"/>
  <c r="N1020" i="1"/>
  <c r="N1019" i="1" s="1"/>
  <c r="L1020" i="1"/>
  <c r="L1019" i="1" s="1"/>
  <c r="K1020" i="1"/>
  <c r="K1019" i="1" s="1"/>
  <c r="J1020" i="1"/>
  <c r="J1019" i="1" s="1"/>
  <c r="I1020" i="1"/>
  <c r="I1019" i="1" s="1"/>
  <c r="H1020" i="1"/>
  <c r="H1019" i="1" s="1"/>
  <c r="G1019" i="1"/>
  <c r="G1018" i="1" s="1"/>
  <c r="T1017" i="1"/>
  <c r="V1017" i="1" s="1"/>
  <c r="T1016" i="1"/>
  <c r="V1016" i="1" s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P1014" i="1"/>
  <c r="P1011" i="1" s="1"/>
  <c r="O1014" i="1"/>
  <c r="O1011" i="1" s="1"/>
  <c r="Q1013" i="1"/>
  <c r="T1013" i="1" s="1"/>
  <c r="V1013" i="1" s="1"/>
  <c r="T1012" i="1"/>
  <c r="V1012" i="1" s="1"/>
  <c r="S1011" i="1"/>
  <c r="R1011" i="1"/>
  <c r="N1011" i="1"/>
  <c r="M1011" i="1"/>
  <c r="L1011" i="1"/>
  <c r="K1011" i="1"/>
  <c r="J1011" i="1"/>
  <c r="I1011" i="1"/>
  <c r="H1011" i="1"/>
  <c r="T1010" i="1"/>
  <c r="V1010" i="1" s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T1008" i="1"/>
  <c r="V1008" i="1" s="1"/>
  <c r="Q1007" i="1"/>
  <c r="Q1006" i="1" s="1"/>
  <c r="O1007" i="1"/>
  <c r="O1006" i="1" s="1"/>
  <c r="S1006" i="1"/>
  <c r="R1006" i="1"/>
  <c r="P1006" i="1"/>
  <c r="N1006" i="1"/>
  <c r="M1006" i="1"/>
  <c r="L1006" i="1"/>
  <c r="K1006" i="1"/>
  <c r="J1006" i="1"/>
  <c r="I1006" i="1"/>
  <c r="H1006" i="1"/>
  <c r="G1006" i="1"/>
  <c r="P1005" i="1"/>
  <c r="T1004" i="1"/>
  <c r="V1004" i="1" s="1"/>
  <c r="S1003" i="1"/>
  <c r="R1003" i="1"/>
  <c r="Q1003" i="1"/>
  <c r="O1003" i="1"/>
  <c r="N1003" i="1"/>
  <c r="M1003" i="1"/>
  <c r="L1003" i="1"/>
  <c r="K1003" i="1"/>
  <c r="J1003" i="1"/>
  <c r="I1003" i="1"/>
  <c r="H1003" i="1"/>
  <c r="G1003" i="1"/>
  <c r="T1001" i="1"/>
  <c r="V1001" i="1" s="1"/>
  <c r="R1000" i="1"/>
  <c r="R996" i="1" s="1"/>
  <c r="Q1000" i="1"/>
  <c r="Q996" i="1" s="1"/>
  <c r="M1000" i="1"/>
  <c r="M996" i="1" s="1"/>
  <c r="L1000" i="1"/>
  <c r="L996" i="1" s="1"/>
  <c r="K1000" i="1"/>
  <c r="T999" i="1"/>
  <c r="V999" i="1" s="1"/>
  <c r="N998" i="1"/>
  <c r="T998" i="1" s="1"/>
  <c r="V998" i="1" s="1"/>
  <c r="T997" i="1"/>
  <c r="V997" i="1" s="1"/>
  <c r="S996" i="1"/>
  <c r="P996" i="1"/>
  <c r="O996" i="1"/>
  <c r="N996" i="1"/>
  <c r="J996" i="1"/>
  <c r="I996" i="1"/>
  <c r="H996" i="1"/>
  <c r="T995" i="1"/>
  <c r="V995" i="1" s="1"/>
  <c r="T994" i="1"/>
  <c r="V994" i="1" s="1"/>
  <c r="T993" i="1"/>
  <c r="S992" i="1"/>
  <c r="R992" i="1"/>
  <c r="R991" i="1" s="1"/>
  <c r="Q992" i="1"/>
  <c r="P992" i="1"/>
  <c r="O992" i="1"/>
  <c r="N992" i="1"/>
  <c r="M992" i="1"/>
  <c r="L992" i="1"/>
  <c r="K992" i="1"/>
  <c r="J992" i="1"/>
  <c r="I992" i="1"/>
  <c r="H992" i="1"/>
  <c r="G992" i="1"/>
  <c r="G991" i="1" s="1"/>
  <c r="G990" i="1" s="1"/>
  <c r="O991" i="1"/>
  <c r="T988" i="1"/>
  <c r="V988" i="1" s="1"/>
  <c r="T987" i="1"/>
  <c r="V987" i="1" s="1"/>
  <c r="T986" i="1"/>
  <c r="V986" i="1" s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M983" i="1"/>
  <c r="L983" i="1"/>
  <c r="K983" i="1"/>
  <c r="J983" i="1"/>
  <c r="I983" i="1"/>
  <c r="H983" i="1"/>
  <c r="G983" i="1"/>
  <c r="G978" i="1" s="1"/>
  <c r="R982" i="1"/>
  <c r="Q982" i="1"/>
  <c r="M982" i="1"/>
  <c r="L982" i="1"/>
  <c r="L978" i="1" s="1"/>
  <c r="K982" i="1"/>
  <c r="J982" i="1"/>
  <c r="I982" i="1"/>
  <c r="H982" i="1"/>
  <c r="R981" i="1"/>
  <c r="Q981" i="1"/>
  <c r="P981" i="1"/>
  <c r="P978" i="1" s="1"/>
  <c r="O981" i="1"/>
  <c r="N981" i="1"/>
  <c r="M981" i="1"/>
  <c r="L981" i="1"/>
  <c r="K981" i="1"/>
  <c r="J981" i="1"/>
  <c r="I981" i="1"/>
  <c r="H981" i="1"/>
  <c r="O980" i="1"/>
  <c r="N980" i="1"/>
  <c r="M980" i="1"/>
  <c r="L980" i="1"/>
  <c r="K980" i="1"/>
  <c r="J980" i="1"/>
  <c r="I980" i="1"/>
  <c r="H980" i="1"/>
  <c r="O979" i="1"/>
  <c r="N979" i="1"/>
  <c r="M979" i="1"/>
  <c r="L979" i="1"/>
  <c r="K979" i="1"/>
  <c r="I979" i="1"/>
  <c r="H979" i="1"/>
  <c r="H978" i="1" s="1"/>
  <c r="S978" i="1"/>
  <c r="Q977" i="1"/>
  <c r="N977" i="1"/>
  <c r="T977" i="1" s="1"/>
  <c r="S976" i="1"/>
  <c r="R976" i="1"/>
  <c r="Q976" i="1"/>
  <c r="P976" i="1"/>
  <c r="O976" i="1"/>
  <c r="M976" i="1"/>
  <c r="L976" i="1"/>
  <c r="K976" i="1"/>
  <c r="J976" i="1"/>
  <c r="I976" i="1"/>
  <c r="H976" i="1"/>
  <c r="G976" i="1"/>
  <c r="Q975" i="1"/>
  <c r="Q970" i="1" s="1"/>
  <c r="M974" i="1"/>
  <c r="T973" i="1"/>
  <c r="V973" i="1" s="1"/>
  <c r="T972" i="1"/>
  <c r="V972" i="1" s="1"/>
  <c r="T971" i="1"/>
  <c r="V971" i="1" s="1"/>
  <c r="S970" i="1"/>
  <c r="R970" i="1"/>
  <c r="P970" i="1"/>
  <c r="O970" i="1"/>
  <c r="N970" i="1"/>
  <c r="L970" i="1"/>
  <c r="K970" i="1"/>
  <c r="J970" i="1"/>
  <c r="I970" i="1"/>
  <c r="H970" i="1"/>
  <c r="G970" i="1"/>
  <c r="T969" i="1"/>
  <c r="V969" i="1" s="1"/>
  <c r="K968" i="1"/>
  <c r="T968" i="1" s="1"/>
  <c r="V968" i="1" s="1"/>
  <c r="Q967" i="1"/>
  <c r="P967" i="1"/>
  <c r="Q966" i="1"/>
  <c r="O966" i="1"/>
  <c r="O960" i="1" s="1"/>
  <c r="T965" i="1"/>
  <c r="V965" i="1" s="1"/>
  <c r="Q964" i="1"/>
  <c r="T964" i="1" s="1"/>
  <c r="V964" i="1" s="1"/>
  <c r="R963" i="1"/>
  <c r="R960" i="1" s="1"/>
  <c r="P963" i="1"/>
  <c r="T962" i="1"/>
  <c r="V962" i="1" s="1"/>
  <c r="Q961" i="1"/>
  <c r="P961" i="1"/>
  <c r="N961" i="1"/>
  <c r="N960" i="1" s="1"/>
  <c r="M961" i="1"/>
  <c r="M960" i="1" s="1"/>
  <c r="L961" i="1"/>
  <c r="J961" i="1"/>
  <c r="J960" i="1" s="1"/>
  <c r="I961" i="1"/>
  <c r="I960" i="1" s="1"/>
  <c r="S960" i="1"/>
  <c r="L960" i="1"/>
  <c r="H960" i="1"/>
  <c r="G960" i="1"/>
  <c r="P959" i="1"/>
  <c r="M959" i="1"/>
  <c r="K959" i="1"/>
  <c r="I959" i="1"/>
  <c r="Q958" i="1"/>
  <c r="T958" i="1" s="1"/>
  <c r="V958" i="1" s="1"/>
  <c r="Q957" i="1"/>
  <c r="M957" i="1"/>
  <c r="L957" i="1"/>
  <c r="K957" i="1"/>
  <c r="J957" i="1"/>
  <c r="H957" i="1"/>
  <c r="H956" i="1"/>
  <c r="T956" i="1" s="1"/>
  <c r="V956" i="1" s="1"/>
  <c r="R955" i="1"/>
  <c r="Q955" i="1"/>
  <c r="P955" i="1"/>
  <c r="O955" i="1"/>
  <c r="N955" i="1"/>
  <c r="M955" i="1"/>
  <c r="L955" i="1"/>
  <c r="K955" i="1"/>
  <c r="J955" i="1"/>
  <c r="I955" i="1"/>
  <c r="H955" i="1"/>
  <c r="R954" i="1"/>
  <c r="Q954" i="1"/>
  <c r="P954" i="1"/>
  <c r="N954" i="1"/>
  <c r="N950" i="1" s="1"/>
  <c r="K954" i="1"/>
  <c r="J954" i="1"/>
  <c r="I954" i="1"/>
  <c r="Q953" i="1"/>
  <c r="P953" i="1"/>
  <c r="M953" i="1"/>
  <c r="K953" i="1"/>
  <c r="J953" i="1"/>
  <c r="H953" i="1"/>
  <c r="R952" i="1"/>
  <c r="Q952" i="1"/>
  <c r="P952" i="1"/>
  <c r="O952" i="1"/>
  <c r="L952" i="1"/>
  <c r="I952" i="1"/>
  <c r="R951" i="1"/>
  <c r="Q951" i="1"/>
  <c r="P951" i="1"/>
  <c r="P950" i="1" s="1"/>
  <c r="O951" i="1"/>
  <c r="O950" i="1" s="1"/>
  <c r="N951" i="1"/>
  <c r="M951" i="1"/>
  <c r="K951" i="1"/>
  <c r="J951" i="1"/>
  <c r="I951" i="1"/>
  <c r="H951" i="1"/>
  <c r="S950" i="1"/>
  <c r="G950" i="1"/>
  <c r="P949" i="1"/>
  <c r="O949" i="1"/>
  <c r="T948" i="1"/>
  <c r="V948" i="1" s="1"/>
  <c r="N948" i="1"/>
  <c r="R947" i="1"/>
  <c r="N947" i="1"/>
  <c r="J947" i="1"/>
  <c r="R946" i="1"/>
  <c r="T946" i="1" s="1"/>
  <c r="V946" i="1" s="1"/>
  <c r="T945" i="1"/>
  <c r="V945" i="1" s="1"/>
  <c r="R944" i="1"/>
  <c r="Q944" i="1"/>
  <c r="P944" i="1"/>
  <c r="O944" i="1"/>
  <c r="H944" i="1"/>
  <c r="R943" i="1"/>
  <c r="Q943" i="1"/>
  <c r="Q942" i="1" s="1"/>
  <c r="P943" i="1"/>
  <c r="O943" i="1"/>
  <c r="M943" i="1"/>
  <c r="M942" i="1" s="1"/>
  <c r="L943" i="1"/>
  <c r="L942" i="1" s="1"/>
  <c r="K943" i="1"/>
  <c r="J943" i="1"/>
  <c r="J942" i="1" s="1"/>
  <c r="I943" i="1"/>
  <c r="H943" i="1"/>
  <c r="G943" i="1"/>
  <c r="G942" i="1" s="1"/>
  <c r="S942" i="1"/>
  <c r="K942" i="1"/>
  <c r="I942" i="1"/>
  <c r="R941" i="1"/>
  <c r="Q941" i="1"/>
  <c r="P941" i="1"/>
  <c r="P939" i="1" s="1"/>
  <c r="N941" i="1"/>
  <c r="M941" i="1"/>
  <c r="L941" i="1"/>
  <c r="K941" i="1"/>
  <c r="I941" i="1"/>
  <c r="R940" i="1"/>
  <c r="Q940" i="1"/>
  <c r="Q939" i="1" s="1"/>
  <c r="O940" i="1"/>
  <c r="N940" i="1"/>
  <c r="M940" i="1"/>
  <c r="L940" i="1"/>
  <c r="K940" i="1"/>
  <c r="J940" i="1"/>
  <c r="J939" i="1" s="1"/>
  <c r="I940" i="1"/>
  <c r="H940" i="1"/>
  <c r="H939" i="1" s="1"/>
  <c r="S939" i="1"/>
  <c r="O939" i="1"/>
  <c r="K939" i="1"/>
  <c r="G939" i="1"/>
  <c r="P938" i="1"/>
  <c r="N938" i="1"/>
  <c r="M938" i="1"/>
  <c r="L938" i="1"/>
  <c r="J938" i="1"/>
  <c r="I938" i="1"/>
  <c r="H938" i="1"/>
  <c r="T937" i="1"/>
  <c r="V937" i="1" s="1"/>
  <c r="L937" i="1"/>
  <c r="P936" i="1"/>
  <c r="L936" i="1"/>
  <c r="L935" i="1"/>
  <c r="T935" i="1" s="1"/>
  <c r="V935" i="1" s="1"/>
  <c r="L934" i="1"/>
  <c r="T934" i="1" s="1"/>
  <c r="V934" i="1" s="1"/>
  <c r="R933" i="1"/>
  <c r="P933" i="1"/>
  <c r="L933" i="1"/>
  <c r="I933" i="1"/>
  <c r="R932" i="1"/>
  <c r="R918" i="1" s="1"/>
  <c r="N932" i="1"/>
  <c r="K932" i="1"/>
  <c r="I932" i="1"/>
  <c r="M931" i="1"/>
  <c r="L931" i="1"/>
  <c r="P930" i="1"/>
  <c r="P918" i="1" s="1"/>
  <c r="L930" i="1"/>
  <c r="I930" i="1"/>
  <c r="M929" i="1"/>
  <c r="T929" i="1" s="1"/>
  <c r="V929" i="1" s="1"/>
  <c r="L928" i="1"/>
  <c r="T928" i="1" s="1"/>
  <c r="V928" i="1" s="1"/>
  <c r="T927" i="1"/>
  <c r="V927" i="1" s="1"/>
  <c r="T926" i="1"/>
  <c r="V926" i="1" s="1"/>
  <c r="T925" i="1"/>
  <c r="V925" i="1" s="1"/>
  <c r="K924" i="1"/>
  <c r="J924" i="1"/>
  <c r="H924" i="1"/>
  <c r="K923" i="1"/>
  <c r="T922" i="1"/>
  <c r="V922" i="1" s="1"/>
  <c r="Q922" i="1"/>
  <c r="O921" i="1"/>
  <c r="M921" i="1"/>
  <c r="J921" i="1"/>
  <c r="O920" i="1"/>
  <c r="L920" i="1"/>
  <c r="J920" i="1"/>
  <c r="O919" i="1"/>
  <c r="T919" i="1" s="1"/>
  <c r="V919" i="1" s="1"/>
  <c r="S918" i="1"/>
  <c r="Q918" i="1"/>
  <c r="H918" i="1"/>
  <c r="I915" i="1"/>
  <c r="N914" i="1"/>
  <c r="T914" i="1" s="1"/>
  <c r="V914" i="1" s="1"/>
  <c r="N913" i="1"/>
  <c r="T913" i="1" s="1"/>
  <c r="V913" i="1" s="1"/>
  <c r="T912" i="1"/>
  <c r="V912" i="1" s="1"/>
  <c r="T911" i="1"/>
  <c r="V911" i="1" s="1"/>
  <c r="T910" i="1"/>
  <c r="V910" i="1" s="1"/>
  <c r="R909" i="1"/>
  <c r="Q909" i="1"/>
  <c r="N909" i="1"/>
  <c r="M909" i="1"/>
  <c r="K909" i="1"/>
  <c r="T908" i="1"/>
  <c r="V908" i="1" s="1"/>
  <c r="R907" i="1"/>
  <c r="Q907" i="1"/>
  <c r="N907" i="1"/>
  <c r="N906" i="1" s="1"/>
  <c r="K907" i="1"/>
  <c r="J907" i="1"/>
  <c r="J906" i="1" s="1"/>
  <c r="H907" i="1"/>
  <c r="S906" i="1"/>
  <c r="R906" i="1"/>
  <c r="P906" i="1"/>
  <c r="O906" i="1"/>
  <c r="L906" i="1"/>
  <c r="H906" i="1"/>
  <c r="G906" i="1"/>
  <c r="J905" i="1"/>
  <c r="S904" i="1"/>
  <c r="R904" i="1"/>
  <c r="Q904" i="1"/>
  <c r="P904" i="1"/>
  <c r="O904" i="1"/>
  <c r="N904" i="1"/>
  <c r="M904" i="1"/>
  <c r="L904" i="1"/>
  <c r="K904" i="1"/>
  <c r="I904" i="1"/>
  <c r="H904" i="1"/>
  <c r="G904" i="1"/>
  <c r="T903" i="1"/>
  <c r="V903" i="1" s="1"/>
  <c r="T902" i="1"/>
  <c r="V902" i="1" s="1"/>
  <c r="O902" i="1"/>
  <c r="T901" i="1"/>
  <c r="V901" i="1" s="1"/>
  <c r="T900" i="1"/>
  <c r="V900" i="1" s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R898" i="1"/>
  <c r="R897" i="1" s="1"/>
  <c r="Q898" i="1"/>
  <c r="Q897" i="1" s="1"/>
  <c r="P898" i="1"/>
  <c r="P897" i="1" s="1"/>
  <c r="N898" i="1"/>
  <c r="N897" i="1" s="1"/>
  <c r="M898" i="1"/>
  <c r="M897" i="1" s="1"/>
  <c r="L898" i="1"/>
  <c r="L897" i="1" s="1"/>
  <c r="K898" i="1"/>
  <c r="K897" i="1" s="1"/>
  <c r="I898" i="1"/>
  <c r="I897" i="1" s="1"/>
  <c r="H898" i="1"/>
  <c r="S897" i="1"/>
  <c r="O897" i="1"/>
  <c r="J897" i="1"/>
  <c r="H897" i="1"/>
  <c r="G897" i="1"/>
  <c r="R895" i="1"/>
  <c r="R890" i="1" s="1"/>
  <c r="O895" i="1"/>
  <c r="J895" i="1"/>
  <c r="J890" i="1" s="1"/>
  <c r="T894" i="1"/>
  <c r="V894" i="1" s="1"/>
  <c r="T893" i="1"/>
  <c r="V893" i="1" s="1"/>
  <c r="T892" i="1"/>
  <c r="V892" i="1" s="1"/>
  <c r="T891" i="1"/>
  <c r="V891" i="1" s="1"/>
  <c r="G891" i="1"/>
  <c r="G890" i="1" s="1"/>
  <c r="S890" i="1"/>
  <c r="Q890" i="1"/>
  <c r="P890" i="1"/>
  <c r="O890" i="1"/>
  <c r="N890" i="1"/>
  <c r="M890" i="1"/>
  <c r="L890" i="1"/>
  <c r="K890" i="1"/>
  <c r="I890" i="1"/>
  <c r="H890" i="1"/>
  <c r="T889" i="1"/>
  <c r="V889" i="1" s="1"/>
  <c r="T888" i="1"/>
  <c r="V888" i="1" s="1"/>
  <c r="T887" i="1"/>
  <c r="V887" i="1" s="1"/>
  <c r="T886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T884" i="1"/>
  <c r="V884" i="1" s="1"/>
  <c r="T883" i="1"/>
  <c r="V883" i="1" s="1"/>
  <c r="K882" i="1"/>
  <c r="K880" i="1" s="1"/>
  <c r="T881" i="1"/>
  <c r="S880" i="1"/>
  <c r="R880" i="1"/>
  <c r="Q880" i="1"/>
  <c r="P880" i="1"/>
  <c r="O880" i="1"/>
  <c r="N880" i="1"/>
  <c r="M880" i="1"/>
  <c r="L880" i="1"/>
  <c r="J880" i="1"/>
  <c r="I880" i="1"/>
  <c r="H880" i="1"/>
  <c r="G880" i="1"/>
  <c r="R879" i="1"/>
  <c r="K879" i="1"/>
  <c r="K871" i="1" s="1"/>
  <c r="H879" i="1"/>
  <c r="R878" i="1"/>
  <c r="Q878" i="1"/>
  <c r="Q871" i="1" s="1"/>
  <c r="H878" i="1"/>
  <c r="H871" i="1" s="1"/>
  <c r="T877" i="1"/>
  <c r="V877" i="1" s="1"/>
  <c r="R876" i="1"/>
  <c r="T876" i="1" s="1"/>
  <c r="V876" i="1" s="1"/>
  <c r="T875" i="1"/>
  <c r="V875" i="1" s="1"/>
  <c r="T874" i="1"/>
  <c r="V874" i="1" s="1"/>
  <c r="T873" i="1"/>
  <c r="V873" i="1" s="1"/>
  <c r="T872" i="1"/>
  <c r="V872" i="1" s="1"/>
  <c r="G872" i="1"/>
  <c r="G871" i="1" s="1"/>
  <c r="S871" i="1"/>
  <c r="P871" i="1"/>
  <c r="O871" i="1"/>
  <c r="N871" i="1"/>
  <c r="M871" i="1"/>
  <c r="L871" i="1"/>
  <c r="J871" i="1"/>
  <c r="I871" i="1"/>
  <c r="T869" i="1"/>
  <c r="V869" i="1" s="1"/>
  <c r="T868" i="1"/>
  <c r="V868" i="1" s="1"/>
  <c r="T867" i="1"/>
  <c r="V867" i="1" s="1"/>
  <c r="G867" i="1"/>
  <c r="G866" i="1" s="1"/>
  <c r="S866" i="1"/>
  <c r="R866" i="1"/>
  <c r="Q866" i="1"/>
  <c r="P866" i="1"/>
  <c r="O866" i="1"/>
  <c r="N866" i="1"/>
  <c r="M866" i="1"/>
  <c r="L866" i="1"/>
  <c r="K866" i="1"/>
  <c r="J866" i="1"/>
  <c r="I866" i="1"/>
  <c r="H866" i="1"/>
  <c r="T864" i="1"/>
  <c r="V864" i="1" s="1"/>
  <c r="J863" i="1"/>
  <c r="T863" i="1" s="1"/>
  <c r="V863" i="1" s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R861" i="1"/>
  <c r="T861" i="1" s="1"/>
  <c r="V861" i="1" s="1"/>
  <c r="T860" i="1"/>
  <c r="V860" i="1" s="1"/>
  <c r="T859" i="1"/>
  <c r="V859" i="1" s="1"/>
  <c r="R858" i="1"/>
  <c r="M858" i="1"/>
  <c r="T858" i="1" s="1"/>
  <c r="V858" i="1" s="1"/>
  <c r="Q857" i="1"/>
  <c r="N857" i="1"/>
  <c r="H857" i="1"/>
  <c r="H849" i="1" s="1"/>
  <c r="H848" i="1" s="1"/>
  <c r="K856" i="1"/>
  <c r="J856" i="1"/>
  <c r="Q855" i="1"/>
  <c r="T855" i="1" s="1"/>
  <c r="V855" i="1" s="1"/>
  <c r="P854" i="1"/>
  <c r="T854" i="1" s="1"/>
  <c r="V854" i="1" s="1"/>
  <c r="R853" i="1"/>
  <c r="Q853" i="1"/>
  <c r="R852" i="1"/>
  <c r="M852" i="1"/>
  <c r="R851" i="1"/>
  <c r="Q851" i="1"/>
  <c r="M851" i="1"/>
  <c r="L851" i="1"/>
  <c r="K851" i="1"/>
  <c r="K849" i="1" s="1"/>
  <c r="K848" i="1" s="1"/>
  <c r="R850" i="1"/>
  <c r="Q850" i="1"/>
  <c r="Q849" i="1" s="1"/>
  <c r="Q848" i="1" s="1"/>
  <c r="N850" i="1"/>
  <c r="M850" i="1"/>
  <c r="L850" i="1"/>
  <c r="K850" i="1"/>
  <c r="J850" i="1"/>
  <c r="S849" i="1"/>
  <c r="S848" i="1" s="1"/>
  <c r="O849" i="1"/>
  <c r="O848" i="1" s="1"/>
  <c r="N849" i="1"/>
  <c r="N848" i="1" s="1"/>
  <c r="J849" i="1"/>
  <c r="J848" i="1" s="1"/>
  <c r="I849" i="1"/>
  <c r="I848" i="1" s="1"/>
  <c r="G848" i="1"/>
  <c r="T847" i="1"/>
  <c r="V847" i="1" s="1"/>
  <c r="M846" i="1"/>
  <c r="T846" i="1" s="1"/>
  <c r="V846" i="1" s="1"/>
  <c r="N845" i="1"/>
  <c r="I845" i="1"/>
  <c r="T845" i="1" s="1"/>
  <c r="V845" i="1" s="1"/>
  <c r="M844" i="1"/>
  <c r="T844" i="1" s="1"/>
  <c r="V844" i="1" s="1"/>
  <c r="N843" i="1"/>
  <c r="M843" i="1"/>
  <c r="N842" i="1"/>
  <c r="M842" i="1"/>
  <c r="R841" i="1"/>
  <c r="R840" i="1" s="1"/>
  <c r="Q841" i="1"/>
  <c r="Q840" i="1" s="1"/>
  <c r="P841" i="1"/>
  <c r="O841" i="1"/>
  <c r="O840" i="1" s="1"/>
  <c r="N841" i="1"/>
  <c r="M841" i="1"/>
  <c r="L841" i="1"/>
  <c r="L840" i="1" s="1"/>
  <c r="K841" i="1"/>
  <c r="K840" i="1" s="1"/>
  <c r="J841" i="1"/>
  <c r="I841" i="1"/>
  <c r="S840" i="1"/>
  <c r="P840" i="1"/>
  <c r="N840" i="1"/>
  <c r="J840" i="1"/>
  <c r="H840" i="1"/>
  <c r="G840" i="1"/>
  <c r="K839" i="1"/>
  <c r="T837" i="1"/>
  <c r="V837" i="1" s="1"/>
  <c r="R836" i="1"/>
  <c r="Q836" i="1"/>
  <c r="P836" i="1"/>
  <c r="N836" i="1"/>
  <c r="M836" i="1"/>
  <c r="M824" i="1" s="1"/>
  <c r="L836" i="1"/>
  <c r="L824" i="1" s="1"/>
  <c r="K836" i="1"/>
  <c r="J836" i="1"/>
  <c r="I836" i="1"/>
  <c r="H836" i="1"/>
  <c r="H824" i="1" s="1"/>
  <c r="T835" i="1"/>
  <c r="V835" i="1" s="1"/>
  <c r="T834" i="1"/>
  <c r="V834" i="1" s="1"/>
  <c r="T833" i="1"/>
  <c r="V833" i="1" s="1"/>
  <c r="T832" i="1"/>
  <c r="V832" i="1" s="1"/>
  <c r="N831" i="1"/>
  <c r="T831" i="1" s="1"/>
  <c r="V831" i="1" s="1"/>
  <c r="T830" i="1"/>
  <c r="V830" i="1" s="1"/>
  <c r="R829" i="1"/>
  <c r="Q829" i="1"/>
  <c r="P829" i="1"/>
  <c r="O829" i="1"/>
  <c r="O824" i="1" s="1"/>
  <c r="N829" i="1"/>
  <c r="R828" i="1"/>
  <c r="Q828" i="1"/>
  <c r="T827" i="1"/>
  <c r="V827" i="1" s="1"/>
  <c r="T826" i="1"/>
  <c r="V826" i="1" s="1"/>
  <c r="T825" i="1"/>
  <c r="V825" i="1" s="1"/>
  <c r="S824" i="1"/>
  <c r="P824" i="1"/>
  <c r="K824" i="1"/>
  <c r="I824" i="1"/>
  <c r="G824" i="1"/>
  <c r="T823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T821" i="1"/>
  <c r="V821" i="1" s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T818" i="1"/>
  <c r="V818" i="1" s="1"/>
  <c r="T817" i="1"/>
  <c r="V817" i="1" s="1"/>
  <c r="T816" i="1"/>
  <c r="V816" i="1" s="1"/>
  <c r="T815" i="1"/>
  <c r="V815" i="1" s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I813" i="1"/>
  <c r="T813" i="1" s="1"/>
  <c r="V813" i="1" s="1"/>
  <c r="I812" i="1"/>
  <c r="I809" i="1" s="1"/>
  <c r="I811" i="1"/>
  <c r="T811" i="1" s="1"/>
  <c r="V811" i="1" s="1"/>
  <c r="I810" i="1"/>
  <c r="T810" i="1" s="1"/>
  <c r="V810" i="1" s="1"/>
  <c r="S809" i="1"/>
  <c r="R809" i="1"/>
  <c r="Q809" i="1"/>
  <c r="P809" i="1"/>
  <c r="O809" i="1"/>
  <c r="N809" i="1"/>
  <c r="M809" i="1"/>
  <c r="L809" i="1"/>
  <c r="K809" i="1"/>
  <c r="J809" i="1"/>
  <c r="H809" i="1"/>
  <c r="G809" i="1"/>
  <c r="G808" i="1" s="1"/>
  <c r="T807" i="1"/>
  <c r="V807" i="1" s="1"/>
  <c r="T806" i="1"/>
  <c r="V806" i="1" s="1"/>
  <c r="T805" i="1"/>
  <c r="V805" i="1" s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T803" i="1"/>
  <c r="V803" i="1" s="1"/>
  <c r="T802" i="1"/>
  <c r="V802" i="1" s="1"/>
  <c r="T801" i="1"/>
  <c r="V801" i="1" s="1"/>
  <c r="T800" i="1"/>
  <c r="V800" i="1" s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T798" i="1"/>
  <c r="V798" i="1" s="1"/>
  <c r="T797" i="1"/>
  <c r="V797" i="1" s="1"/>
  <c r="T796" i="1"/>
  <c r="V796" i="1" s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T794" i="1"/>
  <c r="V794" i="1" s="1"/>
  <c r="T793" i="1"/>
  <c r="V793" i="1" s="1"/>
  <c r="T792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T789" i="1"/>
  <c r="V789" i="1" s="1"/>
  <c r="T788" i="1"/>
  <c r="V788" i="1" s="1"/>
  <c r="T787" i="1"/>
  <c r="V787" i="1" s="1"/>
  <c r="T786" i="1"/>
  <c r="V786" i="1" s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T783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T781" i="1"/>
  <c r="V781" i="1" s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T779" i="1"/>
  <c r="V779" i="1" s="1"/>
  <c r="T778" i="1"/>
  <c r="S777" i="1"/>
  <c r="S776" i="1" s="1"/>
  <c r="R777" i="1"/>
  <c r="R776" i="1" s="1"/>
  <c r="Q777" i="1"/>
  <c r="Q776" i="1" s="1"/>
  <c r="P777" i="1"/>
  <c r="P776" i="1" s="1"/>
  <c r="O777" i="1"/>
  <c r="O776" i="1" s="1"/>
  <c r="N777" i="1"/>
  <c r="N776" i="1" s="1"/>
  <c r="M777" i="1"/>
  <c r="M776" i="1" s="1"/>
  <c r="L777" i="1"/>
  <c r="L776" i="1" s="1"/>
  <c r="K777" i="1"/>
  <c r="K776" i="1" s="1"/>
  <c r="J777" i="1"/>
  <c r="J776" i="1" s="1"/>
  <c r="J775" i="1" s="1"/>
  <c r="I777" i="1"/>
  <c r="I776" i="1" s="1"/>
  <c r="H777" i="1"/>
  <c r="H776" i="1" s="1"/>
  <c r="G777" i="1"/>
  <c r="G776" i="1" s="1"/>
  <c r="T774" i="1"/>
  <c r="T773" i="1"/>
  <c r="V773" i="1" s="1"/>
  <c r="S772" i="1"/>
  <c r="R772" i="1"/>
  <c r="Q772" i="1"/>
  <c r="P772" i="1"/>
  <c r="O772" i="1"/>
  <c r="N772" i="1"/>
  <c r="M772" i="1"/>
  <c r="L772" i="1"/>
  <c r="K772" i="1"/>
  <c r="J772" i="1"/>
  <c r="I772" i="1"/>
  <c r="H772" i="1"/>
  <c r="H771" i="1"/>
  <c r="T771" i="1" s="1"/>
  <c r="V771" i="1" s="1"/>
  <c r="H770" i="1"/>
  <c r="S769" i="1"/>
  <c r="R769" i="1"/>
  <c r="Q769" i="1"/>
  <c r="P769" i="1"/>
  <c r="O769" i="1"/>
  <c r="N769" i="1"/>
  <c r="M769" i="1"/>
  <c r="L769" i="1"/>
  <c r="K769" i="1"/>
  <c r="J769" i="1"/>
  <c r="I769" i="1"/>
  <c r="T768" i="1"/>
  <c r="V768" i="1" s="1"/>
  <c r="T767" i="1"/>
  <c r="V767" i="1" s="1"/>
  <c r="S766" i="1"/>
  <c r="R766" i="1"/>
  <c r="Q766" i="1"/>
  <c r="P766" i="1"/>
  <c r="O766" i="1"/>
  <c r="N766" i="1"/>
  <c r="M766" i="1"/>
  <c r="L766" i="1"/>
  <c r="K766" i="1"/>
  <c r="J766" i="1"/>
  <c r="I766" i="1"/>
  <c r="H766" i="1"/>
  <c r="T765" i="1"/>
  <c r="V765" i="1" s="1"/>
  <c r="T764" i="1"/>
  <c r="V764" i="1" s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2" i="1"/>
  <c r="J761" i="1"/>
  <c r="T760" i="1"/>
  <c r="V760" i="1" s="1"/>
  <c r="T759" i="1"/>
  <c r="V759" i="1" s="1"/>
  <c r="S758" i="1"/>
  <c r="R758" i="1"/>
  <c r="Q758" i="1"/>
  <c r="P758" i="1"/>
  <c r="O758" i="1"/>
  <c r="N758" i="1"/>
  <c r="M758" i="1"/>
  <c r="L758" i="1"/>
  <c r="K758" i="1"/>
  <c r="I758" i="1"/>
  <c r="H758" i="1"/>
  <c r="N757" i="1"/>
  <c r="N754" i="1" s="1"/>
  <c r="J757" i="1"/>
  <c r="T756" i="1"/>
  <c r="V756" i="1" s="1"/>
  <c r="H755" i="1"/>
  <c r="T755" i="1" s="1"/>
  <c r="V755" i="1" s="1"/>
  <c r="S754" i="1"/>
  <c r="R754" i="1"/>
  <c r="Q754" i="1"/>
  <c r="P754" i="1"/>
  <c r="O754" i="1"/>
  <c r="M754" i="1"/>
  <c r="L754" i="1"/>
  <c r="K754" i="1"/>
  <c r="I754" i="1"/>
  <c r="T753" i="1"/>
  <c r="V753" i="1" s="1"/>
  <c r="K753" i="1"/>
  <c r="T752" i="1"/>
  <c r="V752" i="1" s="1"/>
  <c r="T751" i="1"/>
  <c r="V751" i="1" s="1"/>
  <c r="S750" i="1"/>
  <c r="R750" i="1"/>
  <c r="Q750" i="1"/>
  <c r="P750" i="1"/>
  <c r="O750" i="1"/>
  <c r="N750" i="1"/>
  <c r="M750" i="1"/>
  <c r="L750" i="1"/>
  <c r="K750" i="1"/>
  <c r="J750" i="1"/>
  <c r="I750" i="1"/>
  <c r="H750" i="1"/>
  <c r="J749" i="1"/>
  <c r="T749" i="1" s="1"/>
  <c r="V749" i="1" s="1"/>
  <c r="T748" i="1"/>
  <c r="V748" i="1" s="1"/>
  <c r="T747" i="1"/>
  <c r="V747" i="1" s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5" i="1"/>
  <c r="T743" i="1"/>
  <c r="L743" i="1"/>
  <c r="L742" i="1" s="1"/>
  <c r="S742" i="1"/>
  <c r="R742" i="1"/>
  <c r="Q742" i="1"/>
  <c r="P742" i="1"/>
  <c r="O742" i="1"/>
  <c r="N742" i="1"/>
  <c r="M742" i="1"/>
  <c r="K742" i="1"/>
  <c r="J742" i="1"/>
  <c r="I742" i="1"/>
  <c r="H742" i="1"/>
  <c r="G742" i="1"/>
  <c r="T741" i="1"/>
  <c r="V741" i="1" s="1"/>
  <c r="S740" i="1"/>
  <c r="S739" i="1" s="1"/>
  <c r="R740" i="1"/>
  <c r="R739" i="1" s="1"/>
  <c r="Q740" i="1"/>
  <c r="Q739" i="1" s="1"/>
  <c r="P740" i="1"/>
  <c r="P739" i="1" s="1"/>
  <c r="O740" i="1"/>
  <c r="O739" i="1" s="1"/>
  <c r="N740" i="1"/>
  <c r="N739" i="1" s="1"/>
  <c r="M740" i="1"/>
  <c r="M739" i="1" s="1"/>
  <c r="L740" i="1"/>
  <c r="L739" i="1" s="1"/>
  <c r="K740" i="1"/>
  <c r="K739" i="1" s="1"/>
  <c r="J740" i="1"/>
  <c r="J739" i="1" s="1"/>
  <c r="I740" i="1"/>
  <c r="I739" i="1" s="1"/>
  <c r="H740" i="1"/>
  <c r="H739" i="1" s="1"/>
  <c r="G740" i="1"/>
  <c r="G739" i="1" s="1"/>
  <c r="T738" i="1"/>
  <c r="V738" i="1" s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T736" i="1"/>
  <c r="V736" i="1" s="1"/>
  <c r="G736" i="1"/>
  <c r="G734" i="1" s="1"/>
  <c r="R735" i="1"/>
  <c r="R734" i="1" s="1"/>
  <c r="Q735" i="1"/>
  <c r="Q734" i="1" s="1"/>
  <c r="P735" i="1"/>
  <c r="P734" i="1" s="1"/>
  <c r="O735" i="1"/>
  <c r="O734" i="1" s="1"/>
  <c r="N735" i="1"/>
  <c r="N734" i="1" s="1"/>
  <c r="M735" i="1"/>
  <c r="M734" i="1" s="1"/>
  <c r="K735" i="1"/>
  <c r="K734" i="1" s="1"/>
  <c r="I735" i="1"/>
  <c r="I734" i="1" s="1"/>
  <c r="S734" i="1"/>
  <c r="L734" i="1"/>
  <c r="J734" i="1"/>
  <c r="H734" i="1"/>
  <c r="I732" i="1"/>
  <c r="T732" i="1" s="1"/>
  <c r="V732" i="1" s="1"/>
  <c r="T731" i="1"/>
  <c r="V731" i="1" s="1"/>
  <c r="N730" i="1"/>
  <c r="T730" i="1" s="1"/>
  <c r="V730" i="1" s="1"/>
  <c r="J730" i="1"/>
  <c r="P729" i="1"/>
  <c r="P728" i="1" s="1"/>
  <c r="N729" i="1"/>
  <c r="J729" i="1"/>
  <c r="I729" i="1"/>
  <c r="S728" i="1"/>
  <c r="R728" i="1"/>
  <c r="Q728" i="1"/>
  <c r="O728" i="1"/>
  <c r="M728" i="1"/>
  <c r="L728" i="1"/>
  <c r="K728" i="1"/>
  <c r="H728" i="1"/>
  <c r="G728" i="1"/>
  <c r="R727" i="1"/>
  <c r="N727" i="1"/>
  <c r="J727" i="1"/>
  <c r="J715" i="1" s="1"/>
  <c r="I727" i="1"/>
  <c r="T727" i="1" s="1"/>
  <c r="V727" i="1" s="1"/>
  <c r="T726" i="1"/>
  <c r="V726" i="1" s="1"/>
  <c r="T725" i="1"/>
  <c r="V725" i="1" s="1"/>
  <c r="T724" i="1"/>
  <c r="V724" i="1" s="1"/>
  <c r="R723" i="1"/>
  <c r="N723" i="1"/>
  <c r="M723" i="1"/>
  <c r="T722" i="1"/>
  <c r="V722" i="1" s="1"/>
  <c r="Q721" i="1"/>
  <c r="K721" i="1"/>
  <c r="T721" i="1" s="1"/>
  <c r="V721" i="1" s="1"/>
  <c r="L720" i="1"/>
  <c r="T720" i="1" s="1"/>
  <c r="V720" i="1" s="1"/>
  <c r="Q719" i="1"/>
  <c r="K719" i="1"/>
  <c r="M718" i="1"/>
  <c r="M715" i="1" s="1"/>
  <c r="L718" i="1"/>
  <c r="R717" i="1"/>
  <c r="Q717" i="1"/>
  <c r="P717" i="1"/>
  <c r="P715" i="1" s="1"/>
  <c r="O717" i="1"/>
  <c r="N717" i="1"/>
  <c r="M717" i="1"/>
  <c r="L717" i="1"/>
  <c r="L715" i="1" s="1"/>
  <c r="K717" i="1"/>
  <c r="H717" i="1"/>
  <c r="H715" i="1" s="1"/>
  <c r="G717" i="1"/>
  <c r="T716" i="1"/>
  <c r="V716" i="1" s="1"/>
  <c r="Q716" i="1"/>
  <c r="S715" i="1"/>
  <c r="O715" i="1"/>
  <c r="I715" i="1"/>
  <c r="G715" i="1"/>
  <c r="T714" i="1"/>
  <c r="V714" i="1" s="1"/>
  <c r="J714" i="1"/>
  <c r="J710" i="1" s="1"/>
  <c r="T713" i="1"/>
  <c r="V713" i="1" s="1"/>
  <c r="T712" i="1"/>
  <c r="T711" i="1"/>
  <c r="V711" i="1" s="1"/>
  <c r="G711" i="1"/>
  <c r="G710" i="1" s="1"/>
  <c r="S710" i="1"/>
  <c r="R710" i="1"/>
  <c r="Q710" i="1"/>
  <c r="P710" i="1"/>
  <c r="O710" i="1"/>
  <c r="N710" i="1"/>
  <c r="M710" i="1"/>
  <c r="L710" i="1"/>
  <c r="K710" i="1"/>
  <c r="I710" i="1"/>
  <c r="H710" i="1"/>
  <c r="T709" i="1"/>
  <c r="V709" i="1" s="1"/>
  <c r="G709" i="1"/>
  <c r="G706" i="1" s="1"/>
  <c r="T708" i="1"/>
  <c r="V708" i="1" s="1"/>
  <c r="R707" i="1"/>
  <c r="R706" i="1" s="1"/>
  <c r="Q707" i="1"/>
  <c r="Q706" i="1" s="1"/>
  <c r="P707" i="1"/>
  <c r="P706" i="1" s="1"/>
  <c r="O707" i="1"/>
  <c r="N707" i="1"/>
  <c r="M707" i="1"/>
  <c r="L707" i="1"/>
  <c r="K707" i="1"/>
  <c r="K706" i="1" s="1"/>
  <c r="J707" i="1"/>
  <c r="J706" i="1" s="1"/>
  <c r="I707" i="1"/>
  <c r="S706" i="1"/>
  <c r="O706" i="1"/>
  <c r="N706" i="1"/>
  <c r="L706" i="1"/>
  <c r="I706" i="1"/>
  <c r="H706" i="1"/>
  <c r="T705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T702" i="1"/>
  <c r="V702" i="1" s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T700" i="1"/>
  <c r="V700" i="1" s="1"/>
  <c r="G700" i="1"/>
  <c r="G696" i="1" s="1"/>
  <c r="T699" i="1"/>
  <c r="V699" i="1" s="1"/>
  <c r="T698" i="1"/>
  <c r="V698" i="1" s="1"/>
  <c r="T697" i="1"/>
  <c r="V697" i="1" s="1"/>
  <c r="S696" i="1"/>
  <c r="R696" i="1"/>
  <c r="Q696" i="1"/>
  <c r="P696" i="1"/>
  <c r="O696" i="1"/>
  <c r="N696" i="1"/>
  <c r="M696" i="1"/>
  <c r="L696" i="1"/>
  <c r="K696" i="1"/>
  <c r="J696" i="1"/>
  <c r="I696" i="1"/>
  <c r="H696" i="1"/>
  <c r="T695" i="1"/>
  <c r="V695" i="1" s="1"/>
  <c r="T694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T691" i="1"/>
  <c r="V691" i="1" s="1"/>
  <c r="T690" i="1"/>
  <c r="G690" i="1"/>
  <c r="T689" i="1"/>
  <c r="V689" i="1" s="1"/>
  <c r="G689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H686" i="1"/>
  <c r="T686" i="1" s="1"/>
  <c r="V686" i="1" s="1"/>
  <c r="H685" i="1"/>
  <c r="T685" i="1" s="1"/>
  <c r="V685" i="1" s="1"/>
  <c r="P684" i="1"/>
  <c r="O684" i="1"/>
  <c r="O681" i="1" s="1"/>
  <c r="H684" i="1"/>
  <c r="T684" i="1" s="1"/>
  <c r="V684" i="1" s="1"/>
  <c r="R683" i="1"/>
  <c r="Q683" i="1"/>
  <c r="Q681" i="1" s="1"/>
  <c r="P683" i="1"/>
  <c r="N683" i="1"/>
  <c r="M683" i="1"/>
  <c r="M681" i="1" s="1"/>
  <c r="L683" i="1"/>
  <c r="L681" i="1" s="1"/>
  <c r="K683" i="1"/>
  <c r="J683" i="1"/>
  <c r="I683" i="1"/>
  <c r="H683" i="1"/>
  <c r="P682" i="1"/>
  <c r="N682" i="1"/>
  <c r="M682" i="1"/>
  <c r="K682" i="1"/>
  <c r="I682" i="1"/>
  <c r="I681" i="1" s="1"/>
  <c r="H682" i="1"/>
  <c r="S681" i="1"/>
  <c r="R681" i="1"/>
  <c r="G681" i="1"/>
  <c r="P680" i="1"/>
  <c r="O680" i="1"/>
  <c r="N680" i="1"/>
  <c r="M680" i="1"/>
  <c r="L680" i="1"/>
  <c r="K680" i="1"/>
  <c r="J680" i="1"/>
  <c r="I680" i="1"/>
  <c r="H680" i="1"/>
  <c r="R679" i="1"/>
  <c r="Q679" i="1"/>
  <c r="P679" i="1"/>
  <c r="N679" i="1"/>
  <c r="M679" i="1"/>
  <c r="M673" i="1" s="1"/>
  <c r="L679" i="1"/>
  <c r="K679" i="1"/>
  <c r="J679" i="1"/>
  <c r="I679" i="1"/>
  <c r="H679" i="1"/>
  <c r="J678" i="1"/>
  <c r="I678" i="1"/>
  <c r="H678" i="1"/>
  <c r="H673" i="1" s="1"/>
  <c r="J677" i="1"/>
  <c r="T677" i="1" s="1"/>
  <c r="V677" i="1" s="1"/>
  <c r="R676" i="1"/>
  <c r="Q676" i="1"/>
  <c r="P676" i="1"/>
  <c r="O676" i="1"/>
  <c r="J676" i="1"/>
  <c r="T675" i="1"/>
  <c r="V675" i="1" s="1"/>
  <c r="N674" i="1"/>
  <c r="L674" i="1"/>
  <c r="S673" i="1"/>
  <c r="O673" i="1"/>
  <c r="G673" i="1"/>
  <c r="R672" i="1"/>
  <c r="T672" i="1" s="1"/>
  <c r="V672" i="1" s="1"/>
  <c r="R671" i="1"/>
  <c r="Q671" i="1"/>
  <c r="Q670" i="1" s="1"/>
  <c r="P671" i="1"/>
  <c r="O671" i="1"/>
  <c r="O670" i="1" s="1"/>
  <c r="N671" i="1"/>
  <c r="N670" i="1" s="1"/>
  <c r="M671" i="1"/>
  <c r="M670" i="1" s="1"/>
  <c r="K671" i="1"/>
  <c r="K670" i="1" s="1"/>
  <c r="J671" i="1"/>
  <c r="J670" i="1" s="1"/>
  <c r="I671" i="1"/>
  <c r="H671" i="1"/>
  <c r="H670" i="1" s="1"/>
  <c r="S670" i="1"/>
  <c r="P670" i="1"/>
  <c r="L670" i="1"/>
  <c r="G670" i="1"/>
  <c r="I668" i="1"/>
  <c r="S667" i="1"/>
  <c r="R667" i="1"/>
  <c r="Q667" i="1"/>
  <c r="P667" i="1"/>
  <c r="O667" i="1"/>
  <c r="N667" i="1"/>
  <c r="M667" i="1"/>
  <c r="L667" i="1"/>
  <c r="K667" i="1"/>
  <c r="J667" i="1"/>
  <c r="H667" i="1"/>
  <c r="G667" i="1"/>
  <c r="T664" i="1"/>
  <c r="V664" i="1" s="1"/>
  <c r="K663" i="1"/>
  <c r="T663" i="1" s="1"/>
  <c r="V663" i="1" s="1"/>
  <c r="T662" i="1"/>
  <c r="V662" i="1" s="1"/>
  <c r="S661" i="1"/>
  <c r="R661" i="1"/>
  <c r="Q661" i="1"/>
  <c r="P661" i="1"/>
  <c r="O661" i="1"/>
  <c r="N661" i="1"/>
  <c r="M661" i="1"/>
  <c r="L661" i="1"/>
  <c r="J661" i="1"/>
  <c r="I661" i="1"/>
  <c r="H661" i="1"/>
  <c r="G661" i="1"/>
  <c r="Q660" i="1"/>
  <c r="T660" i="1" s="1"/>
  <c r="V660" i="1" s="1"/>
  <c r="K659" i="1"/>
  <c r="K657" i="1" s="1"/>
  <c r="K656" i="1" s="1"/>
  <c r="T658" i="1"/>
  <c r="V658" i="1" s="1"/>
  <c r="S657" i="1"/>
  <c r="S656" i="1" s="1"/>
  <c r="R657" i="1"/>
  <c r="R656" i="1" s="1"/>
  <c r="P657" i="1"/>
  <c r="P656" i="1" s="1"/>
  <c r="O657" i="1"/>
  <c r="O656" i="1" s="1"/>
  <c r="N657" i="1"/>
  <c r="N656" i="1" s="1"/>
  <c r="M657" i="1"/>
  <c r="M656" i="1" s="1"/>
  <c r="L657" i="1"/>
  <c r="L656" i="1" s="1"/>
  <c r="J657" i="1"/>
  <c r="J656" i="1" s="1"/>
  <c r="I657" i="1"/>
  <c r="I656" i="1" s="1"/>
  <c r="I655" i="1" s="1"/>
  <c r="H657" i="1"/>
  <c r="H656" i="1" s="1"/>
  <c r="H655" i="1" s="1"/>
  <c r="G657" i="1"/>
  <c r="G656" i="1" s="1"/>
  <c r="P654" i="1"/>
  <c r="T654" i="1" s="1"/>
  <c r="S653" i="1"/>
  <c r="R653" i="1"/>
  <c r="Q653" i="1"/>
  <c r="O653" i="1"/>
  <c r="N653" i="1"/>
  <c r="M653" i="1"/>
  <c r="L653" i="1"/>
  <c r="K653" i="1"/>
  <c r="J653" i="1"/>
  <c r="I653" i="1"/>
  <c r="H653" i="1"/>
  <c r="G653" i="1"/>
  <c r="O652" i="1"/>
  <c r="T652" i="1" s="1"/>
  <c r="S651" i="1"/>
  <c r="R651" i="1"/>
  <c r="Q651" i="1"/>
  <c r="P651" i="1"/>
  <c r="N651" i="1"/>
  <c r="M651" i="1"/>
  <c r="L651" i="1"/>
  <c r="K651" i="1"/>
  <c r="J651" i="1"/>
  <c r="I651" i="1"/>
  <c r="H651" i="1"/>
  <c r="G651" i="1"/>
  <c r="Q650" i="1"/>
  <c r="Q649" i="1" s="1"/>
  <c r="P650" i="1"/>
  <c r="T650" i="1" s="1"/>
  <c r="S649" i="1"/>
  <c r="R649" i="1"/>
  <c r="O649" i="1"/>
  <c r="N649" i="1"/>
  <c r="M649" i="1"/>
  <c r="L649" i="1"/>
  <c r="K649" i="1"/>
  <c r="J649" i="1"/>
  <c r="I649" i="1"/>
  <c r="H649" i="1"/>
  <c r="G649" i="1"/>
  <c r="T648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K646" i="1"/>
  <c r="S645" i="1"/>
  <c r="R645" i="1"/>
  <c r="Q645" i="1"/>
  <c r="P645" i="1"/>
  <c r="O645" i="1"/>
  <c r="N645" i="1"/>
  <c r="M645" i="1"/>
  <c r="L645" i="1"/>
  <c r="J645" i="1"/>
  <c r="I645" i="1"/>
  <c r="H645" i="1"/>
  <c r="G645" i="1"/>
  <c r="R644" i="1"/>
  <c r="R642" i="1" s="1"/>
  <c r="Q644" i="1"/>
  <c r="Q642" i="1" s="1"/>
  <c r="P644" i="1"/>
  <c r="P642" i="1" s="1"/>
  <c r="O644" i="1"/>
  <c r="O642" i="1" s="1"/>
  <c r="M644" i="1"/>
  <c r="L644" i="1"/>
  <c r="L642" i="1" s="1"/>
  <c r="K644" i="1"/>
  <c r="N643" i="1"/>
  <c r="M643" i="1"/>
  <c r="J643" i="1"/>
  <c r="J642" i="1" s="1"/>
  <c r="S642" i="1"/>
  <c r="I642" i="1"/>
  <c r="H642" i="1"/>
  <c r="G642" i="1"/>
  <c r="T641" i="1"/>
  <c r="V641" i="1" s="1"/>
  <c r="O641" i="1"/>
  <c r="O638" i="1" s="1"/>
  <c r="T640" i="1"/>
  <c r="V640" i="1" s="1"/>
  <c r="M639" i="1"/>
  <c r="M638" i="1" s="1"/>
  <c r="J639" i="1"/>
  <c r="S638" i="1"/>
  <c r="R638" i="1"/>
  <c r="Q638" i="1"/>
  <c r="P638" i="1"/>
  <c r="N638" i="1"/>
  <c r="L638" i="1"/>
  <c r="K638" i="1"/>
  <c r="I638" i="1"/>
  <c r="H638" i="1"/>
  <c r="G638" i="1"/>
  <c r="N637" i="1"/>
  <c r="N635" i="1" s="1"/>
  <c r="J637" i="1"/>
  <c r="J635" i="1" s="1"/>
  <c r="H637" i="1"/>
  <c r="H635" i="1" s="1"/>
  <c r="T636" i="1"/>
  <c r="V636" i="1" s="1"/>
  <c r="S635" i="1"/>
  <c r="R635" i="1"/>
  <c r="Q635" i="1"/>
  <c r="P635" i="1"/>
  <c r="O635" i="1"/>
  <c r="M635" i="1"/>
  <c r="L635" i="1"/>
  <c r="K635" i="1"/>
  <c r="I635" i="1"/>
  <c r="G635" i="1"/>
  <c r="T634" i="1"/>
  <c r="V634" i="1" s="1"/>
  <c r="R633" i="1"/>
  <c r="R630" i="1" s="1"/>
  <c r="Q633" i="1"/>
  <c r="Q632" i="1"/>
  <c r="T631" i="1"/>
  <c r="V631" i="1" s="1"/>
  <c r="S630" i="1"/>
  <c r="P630" i="1"/>
  <c r="O630" i="1"/>
  <c r="N630" i="1"/>
  <c r="M630" i="1"/>
  <c r="L630" i="1"/>
  <c r="K630" i="1"/>
  <c r="J630" i="1"/>
  <c r="I630" i="1"/>
  <c r="H630" i="1"/>
  <c r="G630" i="1"/>
  <c r="T629" i="1"/>
  <c r="V629" i="1" s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T627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T623" i="1"/>
  <c r="V623" i="1" s="1"/>
  <c r="T622" i="1"/>
  <c r="V622" i="1" s="1"/>
  <c r="T621" i="1"/>
  <c r="V621" i="1" s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T619" i="1"/>
  <c r="V619" i="1" s="1"/>
  <c r="N618" i="1"/>
  <c r="N614" i="1" s="1"/>
  <c r="L618" i="1"/>
  <c r="L614" i="1" s="1"/>
  <c r="T617" i="1"/>
  <c r="V617" i="1" s="1"/>
  <c r="T616" i="1"/>
  <c r="V616" i="1" s="1"/>
  <c r="T615" i="1"/>
  <c r="V615" i="1" s="1"/>
  <c r="S614" i="1"/>
  <c r="R614" i="1"/>
  <c r="Q614" i="1"/>
  <c r="P614" i="1"/>
  <c r="O614" i="1"/>
  <c r="M614" i="1"/>
  <c r="K614" i="1"/>
  <c r="J614" i="1"/>
  <c r="I614" i="1"/>
  <c r="H614" i="1"/>
  <c r="G614" i="1"/>
  <c r="P613" i="1"/>
  <c r="P612" i="1" s="1"/>
  <c r="O613" i="1"/>
  <c r="O612" i="1" s="1"/>
  <c r="S612" i="1"/>
  <c r="R612" i="1"/>
  <c r="Q612" i="1"/>
  <c r="N612" i="1"/>
  <c r="M612" i="1"/>
  <c r="L612" i="1"/>
  <c r="K612" i="1"/>
  <c r="J612" i="1"/>
  <c r="I612" i="1"/>
  <c r="H612" i="1"/>
  <c r="G612" i="1"/>
  <c r="K611" i="1"/>
  <c r="T610" i="1"/>
  <c r="V610" i="1" s="1"/>
  <c r="S609" i="1"/>
  <c r="R609" i="1"/>
  <c r="Q609" i="1"/>
  <c r="P609" i="1"/>
  <c r="O609" i="1"/>
  <c r="N609" i="1"/>
  <c r="M609" i="1"/>
  <c r="L609" i="1"/>
  <c r="J609" i="1"/>
  <c r="I609" i="1"/>
  <c r="H609" i="1"/>
  <c r="G609" i="1"/>
  <c r="T608" i="1"/>
  <c r="V608" i="1" s="1"/>
  <c r="T607" i="1"/>
  <c r="V607" i="1" s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Q604" i="1"/>
  <c r="K604" i="1"/>
  <c r="H604" i="1"/>
  <c r="R603" i="1"/>
  <c r="Q603" i="1"/>
  <c r="P603" i="1"/>
  <c r="O603" i="1"/>
  <c r="N603" i="1"/>
  <c r="M603" i="1"/>
  <c r="L603" i="1"/>
  <c r="K603" i="1"/>
  <c r="J603" i="1"/>
  <c r="I603" i="1"/>
  <c r="H603" i="1"/>
  <c r="R602" i="1"/>
  <c r="Q602" i="1"/>
  <c r="P602" i="1"/>
  <c r="O602" i="1"/>
  <c r="N602" i="1"/>
  <c r="M602" i="1"/>
  <c r="L602" i="1"/>
  <c r="K602" i="1"/>
  <c r="J602" i="1"/>
  <c r="I602" i="1"/>
  <c r="H602" i="1"/>
  <c r="R601" i="1"/>
  <c r="Q601" i="1"/>
  <c r="P601" i="1"/>
  <c r="O601" i="1"/>
  <c r="N601" i="1"/>
  <c r="M601" i="1"/>
  <c r="L601" i="1"/>
  <c r="L596" i="1" s="1"/>
  <c r="H601" i="1"/>
  <c r="R600" i="1"/>
  <c r="Q600" i="1"/>
  <c r="P600" i="1"/>
  <c r="O600" i="1"/>
  <c r="N600" i="1"/>
  <c r="M600" i="1"/>
  <c r="L600" i="1"/>
  <c r="K600" i="1"/>
  <c r="J600" i="1"/>
  <c r="I600" i="1"/>
  <c r="H600" i="1"/>
  <c r="R599" i="1"/>
  <c r="Q599" i="1"/>
  <c r="P599" i="1"/>
  <c r="O599" i="1"/>
  <c r="N599" i="1"/>
  <c r="M599" i="1"/>
  <c r="L599" i="1"/>
  <c r="K599" i="1"/>
  <c r="J599" i="1"/>
  <c r="I599" i="1"/>
  <c r="H599" i="1"/>
  <c r="R598" i="1"/>
  <c r="R596" i="1" s="1"/>
  <c r="Q598" i="1"/>
  <c r="P598" i="1"/>
  <c r="O598" i="1"/>
  <c r="N598" i="1"/>
  <c r="M598" i="1"/>
  <c r="L598" i="1"/>
  <c r="K598" i="1"/>
  <c r="J598" i="1"/>
  <c r="I598" i="1"/>
  <c r="H598" i="1"/>
  <c r="R597" i="1"/>
  <c r="Q597" i="1"/>
  <c r="P597" i="1"/>
  <c r="O597" i="1"/>
  <c r="N597" i="1"/>
  <c r="M597" i="1"/>
  <c r="L597" i="1"/>
  <c r="K597" i="1"/>
  <c r="J597" i="1"/>
  <c r="I597" i="1"/>
  <c r="H597" i="1"/>
  <c r="S596" i="1"/>
  <c r="G596" i="1"/>
  <c r="L595" i="1"/>
  <c r="T594" i="1"/>
  <c r="V594" i="1" s="1"/>
  <c r="H593" i="1"/>
  <c r="T593" i="1" s="1"/>
  <c r="V593" i="1" s="1"/>
  <c r="M592" i="1"/>
  <c r="J592" i="1"/>
  <c r="I592" i="1"/>
  <c r="R591" i="1"/>
  <c r="L591" i="1"/>
  <c r="J591" i="1"/>
  <c r="I591" i="1"/>
  <c r="I589" i="1" s="1"/>
  <c r="R590" i="1"/>
  <c r="Q590" i="1"/>
  <c r="J590" i="1"/>
  <c r="S589" i="1"/>
  <c r="P589" i="1"/>
  <c r="O589" i="1"/>
  <c r="N589" i="1"/>
  <c r="M589" i="1"/>
  <c r="K589" i="1"/>
  <c r="T588" i="1"/>
  <c r="V588" i="1" s="1"/>
  <c r="P587" i="1"/>
  <c r="J587" i="1"/>
  <c r="J586" i="1" s="1"/>
  <c r="S586" i="1"/>
  <c r="R586" i="1"/>
  <c r="Q586" i="1"/>
  <c r="P586" i="1"/>
  <c r="O586" i="1"/>
  <c r="N586" i="1"/>
  <c r="M586" i="1"/>
  <c r="L586" i="1"/>
  <c r="K586" i="1"/>
  <c r="I586" i="1"/>
  <c r="H586" i="1"/>
  <c r="T585" i="1"/>
  <c r="V585" i="1" s="1"/>
  <c r="T584" i="1"/>
  <c r="V584" i="1" s="1"/>
  <c r="T583" i="1"/>
  <c r="V583" i="1" s="1"/>
  <c r="T582" i="1"/>
  <c r="V582" i="1" s="1"/>
  <c r="T581" i="1"/>
  <c r="V581" i="1" s="1"/>
  <c r="S580" i="1"/>
  <c r="S573" i="1" s="1"/>
  <c r="R580" i="1"/>
  <c r="Q580" i="1"/>
  <c r="P580" i="1"/>
  <c r="O580" i="1"/>
  <c r="N580" i="1"/>
  <c r="N573" i="1" s="1"/>
  <c r="M580" i="1"/>
  <c r="M573" i="1" s="1"/>
  <c r="L580" i="1"/>
  <c r="L573" i="1" s="1"/>
  <c r="K580" i="1"/>
  <c r="J580" i="1"/>
  <c r="I580" i="1"/>
  <c r="I573" i="1" s="1"/>
  <c r="H580" i="1"/>
  <c r="G580" i="1"/>
  <c r="R579" i="1"/>
  <c r="P579" i="1"/>
  <c r="O579" i="1"/>
  <c r="T579" i="1" s="1"/>
  <c r="V579" i="1" s="1"/>
  <c r="K579" i="1"/>
  <c r="T578" i="1"/>
  <c r="V578" i="1" s="1"/>
  <c r="Q577" i="1"/>
  <c r="O577" i="1"/>
  <c r="R576" i="1"/>
  <c r="P576" i="1"/>
  <c r="K576" i="1"/>
  <c r="J576" i="1"/>
  <c r="I576" i="1"/>
  <c r="H576" i="1"/>
  <c r="J575" i="1"/>
  <c r="H574" i="1"/>
  <c r="R572" i="1"/>
  <c r="R567" i="1" s="1"/>
  <c r="Q571" i="1"/>
  <c r="Q567" i="1" s="1"/>
  <c r="I571" i="1"/>
  <c r="T570" i="1"/>
  <c r="V570" i="1" s="1"/>
  <c r="J569" i="1"/>
  <c r="T569" i="1" s="1"/>
  <c r="V569" i="1" s="1"/>
  <c r="T568" i="1"/>
  <c r="V568" i="1" s="1"/>
  <c r="S567" i="1"/>
  <c r="P567" i="1"/>
  <c r="O567" i="1"/>
  <c r="N567" i="1"/>
  <c r="M567" i="1"/>
  <c r="L567" i="1"/>
  <c r="K567" i="1"/>
  <c r="I567" i="1"/>
  <c r="H567" i="1"/>
  <c r="G567" i="1"/>
  <c r="T566" i="1"/>
  <c r="V566" i="1" s="1"/>
  <c r="Q565" i="1"/>
  <c r="O565" i="1"/>
  <c r="N565" i="1"/>
  <c r="K565" i="1"/>
  <c r="T565" i="1" s="1"/>
  <c r="V565" i="1" s="1"/>
  <c r="R564" i="1"/>
  <c r="Q564" i="1"/>
  <c r="J564" i="1"/>
  <c r="T563" i="1"/>
  <c r="V563" i="1" s="1"/>
  <c r="Q562" i="1"/>
  <c r="P562" i="1"/>
  <c r="O562" i="1"/>
  <c r="M562" i="1"/>
  <c r="L562" i="1"/>
  <c r="I562" i="1"/>
  <c r="H562" i="1"/>
  <c r="R561" i="1"/>
  <c r="Q561" i="1"/>
  <c r="P561" i="1"/>
  <c r="O561" i="1"/>
  <c r="N561" i="1"/>
  <c r="M561" i="1"/>
  <c r="L561" i="1"/>
  <c r="K561" i="1"/>
  <c r="I561" i="1"/>
  <c r="N560" i="1"/>
  <c r="M560" i="1"/>
  <c r="R559" i="1"/>
  <c r="Q559" i="1"/>
  <c r="P559" i="1"/>
  <c r="O559" i="1"/>
  <c r="N559" i="1"/>
  <c r="M559" i="1"/>
  <c r="L559" i="1"/>
  <c r="K559" i="1"/>
  <c r="K557" i="1" s="1"/>
  <c r="J559" i="1"/>
  <c r="J557" i="1" s="1"/>
  <c r="I559" i="1"/>
  <c r="H559" i="1"/>
  <c r="H557" i="1" s="1"/>
  <c r="R558" i="1"/>
  <c r="Q558" i="1"/>
  <c r="P558" i="1"/>
  <c r="N558" i="1"/>
  <c r="L558" i="1"/>
  <c r="S557" i="1"/>
  <c r="G557" i="1"/>
  <c r="T555" i="1"/>
  <c r="V555" i="1" s="1"/>
  <c r="K554" i="1"/>
  <c r="K551" i="1" s="1"/>
  <c r="J554" i="1"/>
  <c r="J551" i="1" s="1"/>
  <c r="I554" i="1"/>
  <c r="H554" i="1"/>
  <c r="H551" i="1" s="1"/>
  <c r="M553" i="1"/>
  <c r="T552" i="1"/>
  <c r="V552" i="1" s="1"/>
  <c r="S551" i="1"/>
  <c r="R551" i="1"/>
  <c r="Q551" i="1"/>
  <c r="P551" i="1"/>
  <c r="O551" i="1"/>
  <c r="N551" i="1"/>
  <c r="L551" i="1"/>
  <c r="T550" i="1"/>
  <c r="V550" i="1" s="1"/>
  <c r="T549" i="1"/>
  <c r="V549" i="1" s="1"/>
  <c r="M548" i="1"/>
  <c r="T548" i="1" s="1"/>
  <c r="V548" i="1" s="1"/>
  <c r="O547" i="1"/>
  <c r="T547" i="1" s="1"/>
  <c r="V547" i="1" s="1"/>
  <c r="O546" i="1"/>
  <c r="T546" i="1" s="1"/>
  <c r="V546" i="1" s="1"/>
  <c r="N545" i="1"/>
  <c r="T545" i="1" s="1"/>
  <c r="V545" i="1" s="1"/>
  <c r="N544" i="1"/>
  <c r="T544" i="1" s="1"/>
  <c r="V544" i="1" s="1"/>
  <c r="M543" i="1"/>
  <c r="L543" i="1"/>
  <c r="K543" i="1"/>
  <c r="J543" i="1"/>
  <c r="J541" i="1" s="1"/>
  <c r="I543" i="1"/>
  <c r="I541" i="1" s="1"/>
  <c r="H543" i="1"/>
  <c r="H541" i="1" s="1"/>
  <c r="O542" i="1"/>
  <c r="N542" i="1"/>
  <c r="M542" i="1"/>
  <c r="L542" i="1"/>
  <c r="S541" i="1"/>
  <c r="R541" i="1"/>
  <c r="Q541" i="1"/>
  <c r="P541" i="1"/>
  <c r="P540" i="1" s="1"/>
  <c r="K541" i="1"/>
  <c r="T539" i="1"/>
  <c r="V539" i="1" s="1"/>
  <c r="Q538" i="1"/>
  <c r="T538" i="1" s="1"/>
  <c r="V538" i="1" s="1"/>
  <c r="T537" i="1"/>
  <c r="V537" i="1" s="1"/>
  <c r="T536" i="1"/>
  <c r="V536" i="1" s="1"/>
  <c r="T535" i="1"/>
  <c r="V535" i="1" s="1"/>
  <c r="T534" i="1"/>
  <c r="V534" i="1" s="1"/>
  <c r="K533" i="1"/>
  <c r="K530" i="1" s="1"/>
  <c r="K529" i="1" s="1"/>
  <c r="I533" i="1"/>
  <c r="I530" i="1" s="1"/>
  <c r="I529" i="1" s="1"/>
  <c r="T532" i="1"/>
  <c r="V532" i="1" s="1"/>
  <c r="T531" i="1"/>
  <c r="V531" i="1" s="1"/>
  <c r="S530" i="1"/>
  <c r="S529" i="1" s="1"/>
  <c r="R530" i="1"/>
  <c r="R529" i="1" s="1"/>
  <c r="Q530" i="1"/>
  <c r="Q529" i="1" s="1"/>
  <c r="P530" i="1"/>
  <c r="P529" i="1" s="1"/>
  <c r="O530" i="1"/>
  <c r="O529" i="1" s="1"/>
  <c r="N530" i="1"/>
  <c r="N529" i="1" s="1"/>
  <c r="M530" i="1"/>
  <c r="M529" i="1" s="1"/>
  <c r="L530" i="1"/>
  <c r="L529" i="1" s="1"/>
  <c r="J530" i="1"/>
  <c r="J529" i="1" s="1"/>
  <c r="H530" i="1"/>
  <c r="H529" i="1" s="1"/>
  <c r="G530" i="1"/>
  <c r="R528" i="1"/>
  <c r="R523" i="1" s="1"/>
  <c r="Q528" i="1"/>
  <c r="Q523" i="1" s="1"/>
  <c r="T527" i="1"/>
  <c r="V527" i="1" s="1"/>
  <c r="T526" i="1"/>
  <c r="V526" i="1" s="1"/>
  <c r="T525" i="1"/>
  <c r="V525" i="1" s="1"/>
  <c r="G525" i="1"/>
  <c r="G523" i="1" s="1"/>
  <c r="T524" i="1"/>
  <c r="V524" i="1" s="1"/>
  <c r="S523" i="1"/>
  <c r="P523" i="1"/>
  <c r="O523" i="1"/>
  <c r="N523" i="1"/>
  <c r="M523" i="1"/>
  <c r="L523" i="1"/>
  <c r="K523" i="1"/>
  <c r="J523" i="1"/>
  <c r="I523" i="1"/>
  <c r="H523" i="1"/>
  <c r="T522" i="1"/>
  <c r="V522" i="1" s="1"/>
  <c r="M522" i="1"/>
  <c r="M512" i="1" s="1"/>
  <c r="O521" i="1"/>
  <c r="O512" i="1" s="1"/>
  <c r="H521" i="1"/>
  <c r="T520" i="1"/>
  <c r="V520" i="1" s="1"/>
  <c r="H519" i="1"/>
  <c r="T519" i="1" s="1"/>
  <c r="V519" i="1" s="1"/>
  <c r="T518" i="1"/>
  <c r="V518" i="1" s="1"/>
  <c r="H518" i="1"/>
  <c r="H517" i="1"/>
  <c r="T517" i="1" s="1"/>
  <c r="V517" i="1" s="1"/>
  <c r="T516" i="1"/>
  <c r="V516" i="1" s="1"/>
  <c r="H515" i="1"/>
  <c r="T515" i="1" s="1"/>
  <c r="V515" i="1" s="1"/>
  <c r="J514" i="1"/>
  <c r="H514" i="1"/>
  <c r="H513" i="1"/>
  <c r="T513" i="1" s="1"/>
  <c r="V513" i="1" s="1"/>
  <c r="S512" i="1"/>
  <c r="R512" i="1"/>
  <c r="Q512" i="1"/>
  <c r="P512" i="1"/>
  <c r="N512" i="1"/>
  <c r="L512" i="1"/>
  <c r="K512" i="1"/>
  <c r="I512" i="1"/>
  <c r="J511" i="1"/>
  <c r="I511" i="1"/>
  <c r="T510" i="1"/>
  <c r="V510" i="1" s="1"/>
  <c r="T509" i="1"/>
  <c r="V509" i="1" s="1"/>
  <c r="T508" i="1"/>
  <c r="V508" i="1" s="1"/>
  <c r="T507" i="1"/>
  <c r="V507" i="1" s="1"/>
  <c r="T506" i="1"/>
  <c r="V506" i="1" s="1"/>
  <c r="I505" i="1"/>
  <c r="T504" i="1"/>
  <c r="V504" i="1" s="1"/>
  <c r="H503" i="1"/>
  <c r="T503" i="1" s="1"/>
  <c r="V503" i="1" s="1"/>
  <c r="T502" i="1"/>
  <c r="V502" i="1" s="1"/>
  <c r="T501" i="1"/>
  <c r="V501" i="1" s="1"/>
  <c r="S500" i="1"/>
  <c r="R500" i="1"/>
  <c r="Q500" i="1"/>
  <c r="P500" i="1"/>
  <c r="O500" i="1"/>
  <c r="N500" i="1"/>
  <c r="M500" i="1"/>
  <c r="L500" i="1"/>
  <c r="K500" i="1"/>
  <c r="H500" i="1"/>
  <c r="R499" i="1"/>
  <c r="R496" i="1" s="1"/>
  <c r="M499" i="1"/>
  <c r="Q498" i="1"/>
  <c r="Q496" i="1" s="1"/>
  <c r="T497" i="1"/>
  <c r="V497" i="1" s="1"/>
  <c r="L497" i="1"/>
  <c r="L496" i="1" s="1"/>
  <c r="S496" i="1"/>
  <c r="S493" i="1" s="1"/>
  <c r="P496" i="1"/>
  <c r="O496" i="1"/>
  <c r="O493" i="1" s="1"/>
  <c r="N496" i="1"/>
  <c r="K496" i="1"/>
  <c r="J496" i="1"/>
  <c r="I496" i="1"/>
  <c r="H496" i="1"/>
  <c r="R495" i="1"/>
  <c r="P495" i="1"/>
  <c r="R494" i="1"/>
  <c r="Q494" i="1"/>
  <c r="P494" i="1"/>
  <c r="N494" i="1"/>
  <c r="M494" i="1"/>
  <c r="L494" i="1"/>
  <c r="K494" i="1"/>
  <c r="K493" i="1" s="1"/>
  <c r="J494" i="1"/>
  <c r="I494" i="1"/>
  <c r="H494" i="1"/>
  <c r="G493" i="1"/>
  <c r="R491" i="1"/>
  <c r="R472" i="1" s="1"/>
  <c r="T490" i="1"/>
  <c r="V490" i="1" s="1"/>
  <c r="Q489" i="1"/>
  <c r="P488" i="1"/>
  <c r="T488" i="1" s="1"/>
  <c r="V488" i="1" s="1"/>
  <c r="T487" i="1"/>
  <c r="V487" i="1" s="1"/>
  <c r="O487" i="1"/>
  <c r="O486" i="1"/>
  <c r="T486" i="1" s="1"/>
  <c r="V486" i="1" s="1"/>
  <c r="O485" i="1"/>
  <c r="T485" i="1" s="1"/>
  <c r="V485" i="1" s="1"/>
  <c r="T484" i="1"/>
  <c r="V484" i="1" s="1"/>
  <c r="T483" i="1"/>
  <c r="V483" i="1" s="1"/>
  <c r="T482" i="1"/>
  <c r="V482" i="1" s="1"/>
  <c r="T481" i="1"/>
  <c r="V481" i="1" s="1"/>
  <c r="K480" i="1"/>
  <c r="T480" i="1" s="1"/>
  <c r="V480" i="1" s="1"/>
  <c r="T479" i="1"/>
  <c r="V479" i="1" s="1"/>
  <c r="T478" i="1"/>
  <c r="V478" i="1" s="1"/>
  <c r="T477" i="1"/>
  <c r="V477" i="1" s="1"/>
  <c r="T476" i="1"/>
  <c r="V476" i="1" s="1"/>
  <c r="T475" i="1"/>
  <c r="V475" i="1" s="1"/>
  <c r="T474" i="1"/>
  <c r="V474" i="1" s="1"/>
  <c r="T473" i="1"/>
  <c r="V473" i="1" s="1"/>
  <c r="S472" i="1"/>
  <c r="P472" i="1"/>
  <c r="N472" i="1"/>
  <c r="M472" i="1"/>
  <c r="L472" i="1"/>
  <c r="K472" i="1"/>
  <c r="J472" i="1"/>
  <c r="I472" i="1"/>
  <c r="H472" i="1"/>
  <c r="G472" i="1"/>
  <c r="T471" i="1"/>
  <c r="V471" i="1" s="1"/>
  <c r="T470" i="1"/>
  <c r="V470" i="1" s="1"/>
  <c r="T469" i="1"/>
  <c r="V469" i="1" s="1"/>
  <c r="T468" i="1"/>
  <c r="V468" i="1" s="1"/>
  <c r="K468" i="1"/>
  <c r="T467" i="1"/>
  <c r="V467" i="1" s="1"/>
  <c r="H466" i="1"/>
  <c r="T466" i="1" s="1"/>
  <c r="S465" i="1"/>
  <c r="R465" i="1"/>
  <c r="Q465" i="1"/>
  <c r="P465" i="1"/>
  <c r="O465" i="1"/>
  <c r="N465" i="1"/>
  <c r="M465" i="1"/>
  <c r="L465" i="1"/>
  <c r="K465" i="1"/>
  <c r="J465" i="1"/>
  <c r="I465" i="1"/>
  <c r="G465" i="1"/>
  <c r="T463" i="1"/>
  <c r="V463" i="1" s="1"/>
  <c r="T462" i="1"/>
  <c r="T461" i="1"/>
  <c r="V461" i="1" s="1"/>
  <c r="S460" i="1"/>
  <c r="R460" i="1"/>
  <c r="Q460" i="1"/>
  <c r="P460" i="1"/>
  <c r="O460" i="1"/>
  <c r="N460" i="1"/>
  <c r="M460" i="1"/>
  <c r="L460" i="1"/>
  <c r="K460" i="1"/>
  <c r="J460" i="1"/>
  <c r="I460" i="1"/>
  <c r="H460" i="1"/>
  <c r="T459" i="1"/>
  <c r="V459" i="1" s="1"/>
  <c r="T458" i="1"/>
  <c r="V458" i="1" s="1"/>
  <c r="T457" i="1"/>
  <c r="V457" i="1" s="1"/>
  <c r="T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K454" i="1"/>
  <c r="K453" i="1" s="1"/>
  <c r="S453" i="1"/>
  <c r="R453" i="1"/>
  <c r="Q453" i="1"/>
  <c r="P453" i="1"/>
  <c r="O453" i="1"/>
  <c r="N453" i="1"/>
  <c r="M453" i="1"/>
  <c r="L453" i="1"/>
  <c r="J453" i="1"/>
  <c r="I453" i="1"/>
  <c r="G453" i="1"/>
  <c r="T452" i="1"/>
  <c r="V452" i="1" s="1"/>
  <c r="T451" i="1"/>
  <c r="V451" i="1" s="1"/>
  <c r="T450" i="1"/>
  <c r="V450" i="1" s="1"/>
  <c r="T449" i="1"/>
  <c r="V449" i="1" s="1"/>
  <c r="T448" i="1"/>
  <c r="V448" i="1" s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T446" i="1"/>
  <c r="V446" i="1" s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N441" i="1"/>
  <c r="T441" i="1" s="1"/>
  <c r="V441" i="1" s="1"/>
  <c r="T440" i="1"/>
  <c r="V440" i="1" s="1"/>
  <c r="N440" i="1"/>
  <c r="T439" i="1"/>
  <c r="V439" i="1" s="1"/>
  <c r="N439" i="1"/>
  <c r="S438" i="1"/>
  <c r="R438" i="1"/>
  <c r="Q438" i="1"/>
  <c r="P438" i="1"/>
  <c r="O438" i="1"/>
  <c r="M438" i="1"/>
  <c r="L438" i="1"/>
  <c r="K438" i="1"/>
  <c r="J438" i="1"/>
  <c r="I438" i="1"/>
  <c r="H438" i="1"/>
  <c r="G438" i="1"/>
  <c r="N437" i="1"/>
  <c r="T437" i="1" s="1"/>
  <c r="V437" i="1" s="1"/>
  <c r="T436" i="1"/>
  <c r="V436" i="1" s="1"/>
  <c r="N436" i="1"/>
  <c r="N435" i="1"/>
  <c r="T435" i="1" s="1"/>
  <c r="V435" i="1" s="1"/>
  <c r="S434" i="1"/>
  <c r="R434" i="1"/>
  <c r="Q434" i="1"/>
  <c r="P434" i="1"/>
  <c r="O434" i="1"/>
  <c r="M434" i="1"/>
  <c r="L434" i="1"/>
  <c r="K434" i="1"/>
  <c r="J434" i="1"/>
  <c r="I434" i="1"/>
  <c r="H434" i="1"/>
  <c r="G434" i="1"/>
  <c r="N433" i="1"/>
  <c r="N432" i="1" s="1"/>
  <c r="S432" i="1"/>
  <c r="R432" i="1"/>
  <c r="Q432" i="1"/>
  <c r="P432" i="1"/>
  <c r="O432" i="1"/>
  <c r="M432" i="1"/>
  <c r="L432" i="1"/>
  <c r="K432" i="1"/>
  <c r="J432" i="1"/>
  <c r="I432" i="1"/>
  <c r="H432" i="1"/>
  <c r="G432" i="1"/>
  <c r="N431" i="1"/>
  <c r="T431" i="1" s="1"/>
  <c r="V431" i="1" s="1"/>
  <c r="N430" i="1"/>
  <c r="T430" i="1" s="1"/>
  <c r="V430" i="1" s="1"/>
  <c r="N429" i="1"/>
  <c r="T429" i="1" s="1"/>
  <c r="V429" i="1" s="1"/>
  <c r="N428" i="1"/>
  <c r="N427" i="1"/>
  <c r="T427" i="1" s="1"/>
  <c r="V427" i="1" s="1"/>
  <c r="S426" i="1"/>
  <c r="R426" i="1"/>
  <c r="P426" i="1"/>
  <c r="O426" i="1"/>
  <c r="M426" i="1"/>
  <c r="L426" i="1"/>
  <c r="K426" i="1"/>
  <c r="J426" i="1"/>
  <c r="I426" i="1"/>
  <c r="H426" i="1"/>
  <c r="G426" i="1"/>
  <c r="N425" i="1"/>
  <c r="T425" i="1" s="1"/>
  <c r="V425" i="1" s="1"/>
  <c r="N424" i="1"/>
  <c r="T424" i="1" s="1"/>
  <c r="V424" i="1" s="1"/>
  <c r="N423" i="1"/>
  <c r="T423" i="1" s="1"/>
  <c r="V423" i="1" s="1"/>
  <c r="N422" i="1"/>
  <c r="T422" i="1" s="1"/>
  <c r="V422" i="1" s="1"/>
  <c r="N421" i="1"/>
  <c r="T420" i="1"/>
  <c r="V420" i="1" s="1"/>
  <c r="N420" i="1"/>
  <c r="S419" i="1"/>
  <c r="R419" i="1"/>
  <c r="Q419" i="1"/>
  <c r="P419" i="1"/>
  <c r="O419" i="1"/>
  <c r="M419" i="1"/>
  <c r="L419" i="1"/>
  <c r="K419" i="1"/>
  <c r="J419" i="1"/>
  <c r="I419" i="1"/>
  <c r="H419" i="1"/>
  <c r="G419" i="1"/>
  <c r="N418" i="1"/>
  <c r="T418" i="1" s="1"/>
  <c r="V418" i="1" s="1"/>
  <c r="T417" i="1"/>
  <c r="V417" i="1" s="1"/>
  <c r="N417" i="1"/>
  <c r="N416" i="1"/>
  <c r="T416" i="1" s="1"/>
  <c r="V416" i="1" s="1"/>
  <c r="N415" i="1"/>
  <c r="T415" i="1" s="1"/>
  <c r="V415" i="1" s="1"/>
  <c r="T414" i="1"/>
  <c r="V414" i="1" s="1"/>
  <c r="N414" i="1"/>
  <c r="N413" i="1"/>
  <c r="T413" i="1" s="1"/>
  <c r="V413" i="1" s="1"/>
  <c r="N412" i="1"/>
  <c r="T412" i="1" s="1"/>
  <c r="V412" i="1" s="1"/>
  <c r="T411" i="1"/>
  <c r="V411" i="1" s="1"/>
  <c r="N411" i="1"/>
  <c r="N410" i="1"/>
  <c r="T410" i="1" s="1"/>
  <c r="V410" i="1" s="1"/>
  <c r="N409" i="1"/>
  <c r="T409" i="1" s="1"/>
  <c r="V409" i="1" s="1"/>
  <c r="T408" i="1"/>
  <c r="V408" i="1" s="1"/>
  <c r="N408" i="1"/>
  <c r="N407" i="1"/>
  <c r="T407" i="1" s="1"/>
  <c r="V407" i="1" s="1"/>
  <c r="S406" i="1"/>
  <c r="R406" i="1"/>
  <c r="Q406" i="1"/>
  <c r="P406" i="1"/>
  <c r="O406" i="1"/>
  <c r="M406" i="1"/>
  <c r="L406" i="1"/>
  <c r="K406" i="1"/>
  <c r="J406" i="1"/>
  <c r="I406" i="1"/>
  <c r="H406" i="1"/>
  <c r="G406" i="1"/>
  <c r="N405" i="1"/>
  <c r="T405" i="1" s="1"/>
  <c r="V405" i="1" s="1"/>
  <c r="N404" i="1"/>
  <c r="T404" i="1" s="1"/>
  <c r="V404" i="1" s="1"/>
  <c r="N403" i="1"/>
  <c r="T403" i="1" s="1"/>
  <c r="V403" i="1" s="1"/>
  <c r="N402" i="1"/>
  <c r="T402" i="1" s="1"/>
  <c r="V402" i="1" s="1"/>
  <c r="N401" i="1"/>
  <c r="T401" i="1" s="1"/>
  <c r="V401" i="1" s="1"/>
  <c r="N400" i="1"/>
  <c r="T400" i="1" s="1"/>
  <c r="V400" i="1" s="1"/>
  <c r="N399" i="1"/>
  <c r="T399" i="1" s="1"/>
  <c r="V399" i="1" s="1"/>
  <c r="N398" i="1"/>
  <c r="T398" i="1" s="1"/>
  <c r="V398" i="1" s="1"/>
  <c r="N397" i="1"/>
  <c r="T397" i="1" s="1"/>
  <c r="V397" i="1" s="1"/>
  <c r="N396" i="1"/>
  <c r="T396" i="1" s="1"/>
  <c r="V396" i="1" s="1"/>
  <c r="N395" i="1"/>
  <c r="T395" i="1" s="1"/>
  <c r="V395" i="1" s="1"/>
  <c r="N394" i="1"/>
  <c r="T394" i="1" s="1"/>
  <c r="V394" i="1" s="1"/>
  <c r="S393" i="1"/>
  <c r="R393" i="1"/>
  <c r="Q393" i="1"/>
  <c r="P393" i="1"/>
  <c r="O393" i="1"/>
  <c r="M393" i="1"/>
  <c r="L393" i="1"/>
  <c r="K393" i="1"/>
  <c r="J393" i="1"/>
  <c r="I393" i="1"/>
  <c r="H393" i="1"/>
  <c r="G393" i="1"/>
  <c r="N392" i="1"/>
  <c r="N391" i="1"/>
  <c r="T391" i="1" s="1"/>
  <c r="V391" i="1" s="1"/>
  <c r="N390" i="1"/>
  <c r="T390" i="1" s="1"/>
  <c r="V390" i="1" s="1"/>
  <c r="N389" i="1"/>
  <c r="T389" i="1" s="1"/>
  <c r="V389" i="1" s="1"/>
  <c r="N388" i="1"/>
  <c r="T388" i="1" s="1"/>
  <c r="V388" i="1" s="1"/>
  <c r="S387" i="1"/>
  <c r="R387" i="1"/>
  <c r="Q387" i="1"/>
  <c r="P387" i="1"/>
  <c r="O387" i="1"/>
  <c r="M387" i="1"/>
  <c r="L387" i="1"/>
  <c r="K387" i="1"/>
  <c r="J387" i="1"/>
  <c r="I387" i="1"/>
  <c r="H387" i="1"/>
  <c r="G387" i="1"/>
  <c r="N385" i="1"/>
  <c r="T385" i="1" s="1"/>
  <c r="V385" i="1" s="1"/>
  <c r="N384" i="1"/>
  <c r="T384" i="1" s="1"/>
  <c r="V384" i="1" s="1"/>
  <c r="N383" i="1"/>
  <c r="T383" i="1" s="1"/>
  <c r="V383" i="1" s="1"/>
  <c r="N382" i="1"/>
  <c r="T382" i="1" s="1"/>
  <c r="V382" i="1" s="1"/>
  <c r="T381" i="1"/>
  <c r="V381" i="1" s="1"/>
  <c r="N381" i="1"/>
  <c r="N380" i="1"/>
  <c r="S379" i="1"/>
  <c r="S378" i="1" s="1"/>
  <c r="R379" i="1"/>
  <c r="R378" i="1" s="1"/>
  <c r="Q379" i="1"/>
  <c r="Q378" i="1" s="1"/>
  <c r="P379" i="1"/>
  <c r="P378" i="1" s="1"/>
  <c r="O379" i="1"/>
  <c r="O378" i="1" s="1"/>
  <c r="M379" i="1"/>
  <c r="M378" i="1" s="1"/>
  <c r="L379" i="1"/>
  <c r="L378" i="1" s="1"/>
  <c r="K379" i="1"/>
  <c r="K378" i="1" s="1"/>
  <c r="J379" i="1"/>
  <c r="J378" i="1" s="1"/>
  <c r="I379" i="1"/>
  <c r="I378" i="1" s="1"/>
  <c r="H379" i="1"/>
  <c r="H378" i="1" s="1"/>
  <c r="G379" i="1"/>
  <c r="G378" i="1" s="1"/>
  <c r="N377" i="1"/>
  <c r="T377" i="1" s="1"/>
  <c r="V377" i="1" s="1"/>
  <c r="N376" i="1"/>
  <c r="T376" i="1" s="1"/>
  <c r="V376" i="1" s="1"/>
  <c r="N375" i="1"/>
  <c r="T375" i="1" s="1"/>
  <c r="V375" i="1" s="1"/>
  <c r="N374" i="1"/>
  <c r="T374" i="1" s="1"/>
  <c r="V374" i="1" s="1"/>
  <c r="N373" i="1"/>
  <c r="S372" i="1"/>
  <c r="R372" i="1"/>
  <c r="Q372" i="1"/>
  <c r="P372" i="1"/>
  <c r="O372" i="1"/>
  <c r="M372" i="1"/>
  <c r="L372" i="1"/>
  <c r="K372" i="1"/>
  <c r="J372" i="1"/>
  <c r="I372" i="1"/>
  <c r="H372" i="1"/>
  <c r="G372" i="1"/>
  <c r="N371" i="1"/>
  <c r="T371" i="1" s="1"/>
  <c r="V371" i="1" s="1"/>
  <c r="N370" i="1"/>
  <c r="T370" i="1" s="1"/>
  <c r="V370" i="1" s="1"/>
  <c r="T369" i="1"/>
  <c r="V369" i="1" s="1"/>
  <c r="N369" i="1"/>
  <c r="S368" i="1"/>
  <c r="R368" i="1"/>
  <c r="Q368" i="1"/>
  <c r="P368" i="1"/>
  <c r="O368" i="1"/>
  <c r="M368" i="1"/>
  <c r="L368" i="1"/>
  <c r="K368" i="1"/>
  <c r="J368" i="1"/>
  <c r="I368" i="1"/>
  <c r="H368" i="1"/>
  <c r="G368" i="1"/>
  <c r="N367" i="1"/>
  <c r="T367" i="1" s="1"/>
  <c r="V367" i="1" s="1"/>
  <c r="N366" i="1"/>
  <c r="T366" i="1" s="1"/>
  <c r="V366" i="1" s="1"/>
  <c r="N365" i="1"/>
  <c r="T365" i="1" s="1"/>
  <c r="V365" i="1" s="1"/>
  <c r="S364" i="1"/>
  <c r="R364" i="1"/>
  <c r="Q364" i="1"/>
  <c r="P364" i="1"/>
  <c r="O364" i="1"/>
  <c r="M364" i="1"/>
  <c r="L364" i="1"/>
  <c r="K364" i="1"/>
  <c r="J364" i="1"/>
  <c r="I364" i="1"/>
  <c r="H364" i="1"/>
  <c r="G364" i="1"/>
  <c r="N362" i="1"/>
  <c r="T362" i="1" s="1"/>
  <c r="V362" i="1" s="1"/>
  <c r="S361" i="1"/>
  <c r="R361" i="1"/>
  <c r="Q361" i="1"/>
  <c r="P361" i="1"/>
  <c r="O361" i="1"/>
  <c r="M361" i="1"/>
  <c r="L361" i="1"/>
  <c r="K361" i="1"/>
  <c r="J361" i="1"/>
  <c r="I361" i="1"/>
  <c r="H361" i="1"/>
  <c r="G361" i="1"/>
  <c r="N360" i="1"/>
  <c r="N359" i="1" s="1"/>
  <c r="S359" i="1"/>
  <c r="R359" i="1"/>
  <c r="Q359" i="1"/>
  <c r="P359" i="1"/>
  <c r="O359" i="1"/>
  <c r="M359" i="1"/>
  <c r="L359" i="1"/>
  <c r="K359" i="1"/>
  <c r="J359" i="1"/>
  <c r="I359" i="1"/>
  <c r="H359" i="1"/>
  <c r="G359" i="1"/>
  <c r="N358" i="1"/>
  <c r="T358" i="1" s="1"/>
  <c r="S357" i="1"/>
  <c r="R357" i="1"/>
  <c r="Q357" i="1"/>
  <c r="P357" i="1"/>
  <c r="O357" i="1"/>
  <c r="M357" i="1"/>
  <c r="L357" i="1"/>
  <c r="K357" i="1"/>
  <c r="J357" i="1"/>
  <c r="I357" i="1"/>
  <c r="H357" i="1"/>
  <c r="G357" i="1"/>
  <c r="N356" i="1"/>
  <c r="T356" i="1" s="1"/>
  <c r="V356" i="1" s="1"/>
  <c r="N355" i="1"/>
  <c r="S354" i="1"/>
  <c r="R354" i="1"/>
  <c r="Q354" i="1"/>
  <c r="P354" i="1"/>
  <c r="O354" i="1"/>
  <c r="M354" i="1"/>
  <c r="L354" i="1"/>
  <c r="K354" i="1"/>
  <c r="J354" i="1"/>
  <c r="I354" i="1"/>
  <c r="H354" i="1"/>
  <c r="G354" i="1"/>
  <c r="N353" i="1"/>
  <c r="T353" i="1" s="1"/>
  <c r="V353" i="1" s="1"/>
  <c r="T352" i="1"/>
  <c r="V352" i="1" s="1"/>
  <c r="N352" i="1"/>
  <c r="T351" i="1"/>
  <c r="V351" i="1" s="1"/>
  <c r="N351" i="1"/>
  <c r="N350" i="1"/>
  <c r="T350" i="1" s="1"/>
  <c r="V350" i="1" s="1"/>
  <c r="N349" i="1"/>
  <c r="T349" i="1" s="1"/>
  <c r="V349" i="1" s="1"/>
  <c r="S348" i="1"/>
  <c r="R348" i="1"/>
  <c r="Q348" i="1"/>
  <c r="P348" i="1"/>
  <c r="O348" i="1"/>
  <c r="M348" i="1"/>
  <c r="L348" i="1"/>
  <c r="K348" i="1"/>
  <c r="J348" i="1"/>
  <c r="I348" i="1"/>
  <c r="H348" i="1"/>
  <c r="G348" i="1"/>
  <c r="N347" i="1"/>
  <c r="T347" i="1" s="1"/>
  <c r="V347" i="1" s="1"/>
  <c r="N346" i="1"/>
  <c r="T346" i="1" s="1"/>
  <c r="V346" i="1" s="1"/>
  <c r="S345" i="1"/>
  <c r="R345" i="1"/>
  <c r="Q345" i="1"/>
  <c r="P345" i="1"/>
  <c r="O345" i="1"/>
  <c r="M345" i="1"/>
  <c r="L345" i="1"/>
  <c r="K345" i="1"/>
  <c r="J345" i="1"/>
  <c r="I345" i="1"/>
  <c r="H345" i="1"/>
  <c r="G345" i="1"/>
  <c r="N342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N340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N338" i="1"/>
  <c r="T338" i="1" s="1"/>
  <c r="V338" i="1" s="1"/>
  <c r="N337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N335" i="1"/>
  <c r="T335" i="1" s="1"/>
  <c r="V335" i="1" s="1"/>
  <c r="N334" i="1"/>
  <c r="T334" i="1" s="1"/>
  <c r="V334" i="1" s="1"/>
  <c r="N333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N331" i="1"/>
  <c r="T331" i="1" s="1"/>
  <c r="V331" i="1" s="1"/>
  <c r="N330" i="1"/>
  <c r="S329" i="1"/>
  <c r="R329" i="1"/>
  <c r="Q329" i="1"/>
  <c r="P329" i="1"/>
  <c r="O329" i="1"/>
  <c r="M329" i="1"/>
  <c r="L329" i="1"/>
  <c r="K329" i="1"/>
  <c r="J329" i="1"/>
  <c r="I329" i="1"/>
  <c r="H329" i="1"/>
  <c r="G329" i="1"/>
  <c r="N328" i="1"/>
  <c r="T328" i="1" s="1"/>
  <c r="V328" i="1" s="1"/>
  <c r="N327" i="1"/>
  <c r="N326" i="1" s="1"/>
  <c r="S326" i="1"/>
  <c r="R326" i="1"/>
  <c r="Q326" i="1"/>
  <c r="P326" i="1"/>
  <c r="O326" i="1"/>
  <c r="M326" i="1"/>
  <c r="L326" i="1"/>
  <c r="K326" i="1"/>
  <c r="J326" i="1"/>
  <c r="I326" i="1"/>
  <c r="H326" i="1"/>
  <c r="G326" i="1"/>
  <c r="T325" i="1"/>
  <c r="N325" i="1"/>
  <c r="N324" i="1" s="1"/>
  <c r="S324" i="1"/>
  <c r="R324" i="1"/>
  <c r="Q324" i="1"/>
  <c r="P324" i="1"/>
  <c r="O324" i="1"/>
  <c r="M324" i="1"/>
  <c r="L324" i="1"/>
  <c r="K324" i="1"/>
  <c r="J324" i="1"/>
  <c r="I324" i="1"/>
  <c r="H324" i="1"/>
  <c r="G324" i="1"/>
  <c r="N323" i="1"/>
  <c r="T323" i="1" s="1"/>
  <c r="V323" i="1" s="1"/>
  <c r="N322" i="1"/>
  <c r="T322" i="1" s="1"/>
  <c r="V322" i="1" s="1"/>
  <c r="N321" i="1"/>
  <c r="T321" i="1" s="1"/>
  <c r="V321" i="1" s="1"/>
  <c r="N320" i="1"/>
  <c r="T320" i="1" s="1"/>
  <c r="V320" i="1" s="1"/>
  <c r="N319" i="1"/>
  <c r="T319" i="1" s="1"/>
  <c r="V319" i="1" s="1"/>
  <c r="N318" i="1"/>
  <c r="T318" i="1" s="1"/>
  <c r="V318" i="1" s="1"/>
  <c r="N317" i="1"/>
  <c r="T317" i="1" s="1"/>
  <c r="V317" i="1" s="1"/>
  <c r="S316" i="1"/>
  <c r="R316" i="1"/>
  <c r="Q316" i="1"/>
  <c r="P316" i="1"/>
  <c r="O316" i="1"/>
  <c r="M316" i="1"/>
  <c r="L316" i="1"/>
  <c r="K316" i="1"/>
  <c r="J316" i="1"/>
  <c r="I316" i="1"/>
  <c r="H316" i="1"/>
  <c r="G316" i="1"/>
  <c r="T315" i="1"/>
  <c r="V315" i="1" s="1"/>
  <c r="N314" i="1"/>
  <c r="T314" i="1" s="1"/>
  <c r="V314" i="1" s="1"/>
  <c r="N313" i="1"/>
  <c r="T313" i="1" s="1"/>
  <c r="V313" i="1" s="1"/>
  <c r="N312" i="1"/>
  <c r="T312" i="1" s="1"/>
  <c r="V312" i="1" s="1"/>
  <c r="N311" i="1"/>
  <c r="T311" i="1" s="1"/>
  <c r="V311" i="1" s="1"/>
  <c r="N310" i="1"/>
  <c r="T310" i="1" s="1"/>
  <c r="V310" i="1" s="1"/>
  <c r="T309" i="1"/>
  <c r="V309" i="1" s="1"/>
  <c r="N308" i="1"/>
  <c r="T308" i="1" s="1"/>
  <c r="V308" i="1" s="1"/>
  <c r="T307" i="1"/>
  <c r="V307" i="1" s="1"/>
  <c r="N307" i="1"/>
  <c r="T306" i="1"/>
  <c r="V306" i="1" s="1"/>
  <c r="N305" i="1"/>
  <c r="T305" i="1" s="1"/>
  <c r="V305" i="1" s="1"/>
  <c r="N304" i="1"/>
  <c r="T304" i="1" s="1"/>
  <c r="V304" i="1" s="1"/>
  <c r="N303" i="1"/>
  <c r="T303" i="1" s="1"/>
  <c r="V303" i="1" s="1"/>
  <c r="N302" i="1"/>
  <c r="T302" i="1" s="1"/>
  <c r="V302" i="1" s="1"/>
  <c r="N301" i="1"/>
  <c r="T301" i="1" s="1"/>
  <c r="V301" i="1" s="1"/>
  <c r="N300" i="1"/>
  <c r="T300" i="1" s="1"/>
  <c r="V300" i="1" s="1"/>
  <c r="N299" i="1"/>
  <c r="T299" i="1" s="1"/>
  <c r="V299" i="1" s="1"/>
  <c r="N298" i="1"/>
  <c r="T298" i="1" s="1"/>
  <c r="V298" i="1" s="1"/>
  <c r="N297" i="1"/>
  <c r="T297" i="1" s="1"/>
  <c r="V297" i="1" s="1"/>
  <c r="N296" i="1"/>
  <c r="T296" i="1" s="1"/>
  <c r="V296" i="1" s="1"/>
  <c r="S295" i="1"/>
  <c r="R295" i="1"/>
  <c r="Q295" i="1"/>
  <c r="P295" i="1"/>
  <c r="O295" i="1"/>
  <c r="M295" i="1"/>
  <c r="L295" i="1"/>
  <c r="K295" i="1"/>
  <c r="J295" i="1"/>
  <c r="I295" i="1"/>
  <c r="H295" i="1"/>
  <c r="G295" i="1"/>
  <c r="N294" i="1"/>
  <c r="T294" i="1" s="1"/>
  <c r="V294" i="1" s="1"/>
  <c r="N293" i="1"/>
  <c r="T293" i="1" s="1"/>
  <c r="S292" i="1"/>
  <c r="R292" i="1"/>
  <c r="Q292" i="1"/>
  <c r="P292" i="1"/>
  <c r="O292" i="1"/>
  <c r="M292" i="1"/>
  <c r="L292" i="1"/>
  <c r="K292" i="1"/>
  <c r="J292" i="1"/>
  <c r="I292" i="1"/>
  <c r="H292" i="1"/>
  <c r="G292" i="1"/>
  <c r="G290" i="1"/>
  <c r="I289" i="1"/>
  <c r="I288" i="1"/>
  <c r="T288" i="1" s="1"/>
  <c r="V288" i="1" s="1"/>
  <c r="S287" i="1"/>
  <c r="R287" i="1"/>
  <c r="Q287" i="1"/>
  <c r="P287" i="1"/>
  <c r="O287" i="1"/>
  <c r="N287" i="1"/>
  <c r="M287" i="1"/>
  <c r="L287" i="1"/>
  <c r="K287" i="1"/>
  <c r="J287" i="1"/>
  <c r="H287" i="1"/>
  <c r="G287" i="1"/>
  <c r="T286" i="1"/>
  <c r="V286" i="1" s="1"/>
  <c r="N285" i="1"/>
  <c r="I285" i="1"/>
  <c r="I284" i="1"/>
  <c r="T284" i="1" s="1"/>
  <c r="V284" i="1" s="1"/>
  <c r="H283" i="1"/>
  <c r="T283" i="1" s="1"/>
  <c r="V283" i="1" s="1"/>
  <c r="N282" i="1"/>
  <c r="T282" i="1" s="1"/>
  <c r="V282" i="1" s="1"/>
  <c r="L281" i="1"/>
  <c r="L280" i="1" s="1"/>
  <c r="H281" i="1"/>
  <c r="T281" i="1" s="1"/>
  <c r="S280" i="1"/>
  <c r="R280" i="1"/>
  <c r="Q280" i="1"/>
  <c r="P280" i="1"/>
  <c r="O280" i="1"/>
  <c r="M280" i="1"/>
  <c r="K280" i="1"/>
  <c r="J280" i="1"/>
  <c r="G280" i="1"/>
  <c r="L278" i="1"/>
  <c r="T278" i="1" s="1"/>
  <c r="T277" i="1"/>
  <c r="V277" i="1" s="1"/>
  <c r="S276" i="1"/>
  <c r="R276" i="1"/>
  <c r="Q276" i="1"/>
  <c r="P276" i="1"/>
  <c r="O276" i="1"/>
  <c r="N276" i="1"/>
  <c r="M276" i="1"/>
  <c r="K276" i="1"/>
  <c r="J276" i="1"/>
  <c r="I276" i="1"/>
  <c r="H276" i="1"/>
  <c r="G276" i="1"/>
  <c r="R275" i="1"/>
  <c r="R272" i="1" s="1"/>
  <c r="M275" i="1"/>
  <c r="K275" i="1"/>
  <c r="K272" i="1" s="1"/>
  <c r="J275" i="1"/>
  <c r="J274" i="1"/>
  <c r="T274" i="1" s="1"/>
  <c r="V274" i="1" s="1"/>
  <c r="S272" i="1"/>
  <c r="Q272" i="1"/>
  <c r="P272" i="1"/>
  <c r="O272" i="1"/>
  <c r="N272" i="1"/>
  <c r="M272" i="1"/>
  <c r="L272" i="1"/>
  <c r="J272" i="1"/>
  <c r="I272" i="1"/>
  <c r="H272" i="1"/>
  <c r="G272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T269" i="1"/>
  <c r="V269" i="1" s="1"/>
  <c r="T268" i="1"/>
  <c r="V268" i="1" s="1"/>
  <c r="R267" i="1"/>
  <c r="Q267" i="1"/>
  <c r="P267" i="1"/>
  <c r="O267" i="1"/>
  <c r="N267" i="1"/>
  <c r="M267" i="1"/>
  <c r="L267" i="1"/>
  <c r="K267" i="1"/>
  <c r="J267" i="1"/>
  <c r="I267" i="1"/>
  <c r="H267" i="1"/>
  <c r="T266" i="1"/>
  <c r="V266" i="1" s="1"/>
  <c r="R265" i="1"/>
  <c r="Q265" i="1"/>
  <c r="P265" i="1"/>
  <c r="P264" i="1" s="1"/>
  <c r="O265" i="1"/>
  <c r="O264" i="1" s="1"/>
  <c r="N265" i="1"/>
  <c r="N264" i="1" s="1"/>
  <c r="M265" i="1"/>
  <c r="L265" i="1"/>
  <c r="L264" i="1" s="1"/>
  <c r="K265" i="1"/>
  <c r="K264" i="1" s="1"/>
  <c r="J265" i="1"/>
  <c r="I265" i="1"/>
  <c r="H265" i="1"/>
  <c r="S264" i="1"/>
  <c r="R264" i="1"/>
  <c r="Q264" i="1"/>
  <c r="J264" i="1"/>
  <c r="G264" i="1"/>
  <c r="G261" i="1"/>
  <c r="R260" i="1"/>
  <c r="Q260" i="1"/>
  <c r="P260" i="1"/>
  <c r="O260" i="1"/>
  <c r="N260" i="1"/>
  <c r="M260" i="1"/>
  <c r="L260" i="1"/>
  <c r="K260" i="1"/>
  <c r="J260" i="1"/>
  <c r="I260" i="1"/>
  <c r="R259" i="1"/>
  <c r="Q259" i="1"/>
  <c r="P259" i="1"/>
  <c r="O259" i="1"/>
  <c r="N259" i="1"/>
  <c r="M259" i="1"/>
  <c r="L259" i="1"/>
  <c r="K259" i="1"/>
  <c r="J259" i="1"/>
  <c r="I259" i="1"/>
  <c r="R258" i="1"/>
  <c r="P258" i="1"/>
  <c r="O258" i="1"/>
  <c r="N258" i="1"/>
  <c r="M258" i="1"/>
  <c r="L258" i="1"/>
  <c r="K258" i="1"/>
  <c r="J258" i="1"/>
  <c r="I258" i="1"/>
  <c r="R257" i="1"/>
  <c r="R256" i="1" s="1"/>
  <c r="Q257" i="1"/>
  <c r="P257" i="1"/>
  <c r="O257" i="1"/>
  <c r="N257" i="1"/>
  <c r="M257" i="1"/>
  <c r="M256" i="1" s="1"/>
  <c r="L257" i="1"/>
  <c r="L256" i="1" s="1"/>
  <c r="K257" i="1"/>
  <c r="J257" i="1"/>
  <c r="I257" i="1"/>
  <c r="S256" i="1"/>
  <c r="H256" i="1"/>
  <c r="G256" i="1"/>
  <c r="Q255" i="1"/>
  <c r="P255" i="1"/>
  <c r="P251" i="1" s="1"/>
  <c r="O255" i="1"/>
  <c r="N255" i="1"/>
  <c r="N251" i="1" s="1"/>
  <c r="M255" i="1"/>
  <c r="K255" i="1"/>
  <c r="Q254" i="1"/>
  <c r="T254" i="1" s="1"/>
  <c r="K254" i="1"/>
  <c r="Q253" i="1"/>
  <c r="K253" i="1"/>
  <c r="J253" i="1"/>
  <c r="I253" i="1"/>
  <c r="H253" i="1"/>
  <c r="H251" i="1" s="1"/>
  <c r="Q252" i="1"/>
  <c r="O252" i="1"/>
  <c r="O251" i="1" s="1"/>
  <c r="N252" i="1"/>
  <c r="M252" i="1"/>
  <c r="M251" i="1" s="1"/>
  <c r="K252" i="1"/>
  <c r="J252" i="1"/>
  <c r="I252" i="1"/>
  <c r="S251" i="1"/>
  <c r="R251" i="1"/>
  <c r="L251" i="1"/>
  <c r="G251" i="1"/>
  <c r="T250" i="1"/>
  <c r="M249" i="1"/>
  <c r="K249" i="1"/>
  <c r="J249" i="1"/>
  <c r="I249" i="1"/>
  <c r="H249" i="1"/>
  <c r="M248" i="1"/>
  <c r="K248" i="1"/>
  <c r="J248" i="1"/>
  <c r="T247" i="1"/>
  <c r="K247" i="1"/>
  <c r="T246" i="1"/>
  <c r="K245" i="1"/>
  <c r="H245" i="1"/>
  <c r="T245" i="1" s="1"/>
  <c r="T244" i="1"/>
  <c r="R243" i="1"/>
  <c r="Q243" i="1"/>
  <c r="P243" i="1"/>
  <c r="P241" i="1" s="1"/>
  <c r="O243" i="1"/>
  <c r="N243" i="1"/>
  <c r="N241" i="1" s="1"/>
  <c r="M243" i="1"/>
  <c r="L243" i="1"/>
  <c r="L241" i="1" s="1"/>
  <c r="K243" i="1"/>
  <c r="I243" i="1"/>
  <c r="I241" i="1" s="1"/>
  <c r="H243" i="1"/>
  <c r="T242" i="1"/>
  <c r="S241" i="1"/>
  <c r="R241" i="1"/>
  <c r="Q241" i="1"/>
  <c r="O241" i="1"/>
  <c r="J241" i="1"/>
  <c r="G241" i="1"/>
  <c r="N240" i="1"/>
  <c r="I240" i="1"/>
  <c r="T240" i="1" s="1"/>
  <c r="K239" i="1"/>
  <c r="I239" i="1"/>
  <c r="K238" i="1"/>
  <c r="T238" i="1" s="1"/>
  <c r="I238" i="1"/>
  <c r="K237" i="1"/>
  <c r="I237" i="1"/>
  <c r="S236" i="1"/>
  <c r="R236" i="1"/>
  <c r="Q236" i="1"/>
  <c r="P236" i="1"/>
  <c r="O236" i="1"/>
  <c r="N236" i="1"/>
  <c r="M236" i="1"/>
  <c r="L236" i="1"/>
  <c r="J236" i="1"/>
  <c r="H236" i="1"/>
  <c r="G236" i="1"/>
  <c r="K234" i="1"/>
  <c r="H234" i="1"/>
  <c r="T234" i="1" s="1"/>
  <c r="O233" i="1"/>
  <c r="K233" i="1"/>
  <c r="J233" i="1"/>
  <c r="I233" i="1"/>
  <c r="H233" i="1"/>
  <c r="P232" i="1"/>
  <c r="O232" i="1"/>
  <c r="K232" i="1"/>
  <c r="J232" i="1"/>
  <c r="I232" i="1"/>
  <c r="H232" i="1"/>
  <c r="O231" i="1"/>
  <c r="K231" i="1"/>
  <c r="O230" i="1"/>
  <c r="K230" i="1"/>
  <c r="J230" i="1"/>
  <c r="T229" i="1"/>
  <c r="R228" i="1"/>
  <c r="Q228" i="1"/>
  <c r="P228" i="1"/>
  <c r="P223" i="1" s="1"/>
  <c r="O228" i="1"/>
  <c r="N228" i="1"/>
  <c r="L228" i="1"/>
  <c r="L223" i="1" s="1"/>
  <c r="K228" i="1"/>
  <c r="J228" i="1"/>
  <c r="I228" i="1"/>
  <c r="H228" i="1"/>
  <c r="O227" i="1"/>
  <c r="K227" i="1"/>
  <c r="O226" i="1"/>
  <c r="K226" i="1"/>
  <c r="J226" i="1"/>
  <c r="J223" i="1" s="1"/>
  <c r="I226" i="1"/>
  <c r="H226" i="1"/>
  <c r="O225" i="1"/>
  <c r="K225" i="1"/>
  <c r="J225" i="1"/>
  <c r="I225" i="1"/>
  <c r="T225" i="1" s="1"/>
  <c r="H225" i="1"/>
  <c r="O224" i="1"/>
  <c r="T224" i="1" s="1"/>
  <c r="K224" i="1"/>
  <c r="S223" i="1"/>
  <c r="R223" i="1"/>
  <c r="Q223" i="1"/>
  <c r="N223" i="1"/>
  <c r="M223" i="1"/>
  <c r="G223" i="1"/>
  <c r="R222" i="1"/>
  <c r="Q222" i="1"/>
  <c r="Q218" i="1" s="1"/>
  <c r="N222" i="1"/>
  <c r="N218" i="1" s="1"/>
  <c r="M222" i="1"/>
  <c r="M218" i="1" s="1"/>
  <c r="L222" i="1"/>
  <c r="L218" i="1" s="1"/>
  <c r="T221" i="1"/>
  <c r="J220" i="1"/>
  <c r="T220" i="1" s="1"/>
  <c r="I220" i="1"/>
  <c r="H220" i="1"/>
  <c r="H218" i="1" s="1"/>
  <c r="T219" i="1"/>
  <c r="S218" i="1"/>
  <c r="R218" i="1"/>
  <c r="P218" i="1"/>
  <c r="O218" i="1"/>
  <c r="K218" i="1"/>
  <c r="I218" i="1"/>
  <c r="G218" i="1"/>
  <c r="Q217" i="1"/>
  <c r="Q213" i="1" s="1"/>
  <c r="P217" i="1"/>
  <c r="P213" i="1" s="1"/>
  <c r="T216" i="1"/>
  <c r="T215" i="1"/>
  <c r="T214" i="1"/>
  <c r="S213" i="1"/>
  <c r="S201" i="1" s="1"/>
  <c r="R213" i="1"/>
  <c r="R201" i="1" s="1"/>
  <c r="O213" i="1"/>
  <c r="N213" i="1"/>
  <c r="M213" i="1"/>
  <c r="L213" i="1"/>
  <c r="K213" i="1"/>
  <c r="J213" i="1"/>
  <c r="I213" i="1"/>
  <c r="H213" i="1"/>
  <c r="G213" i="1"/>
  <c r="G201" i="1" s="1"/>
  <c r="T212" i="1"/>
  <c r="O211" i="1"/>
  <c r="T211" i="1" s="1"/>
  <c r="P210" i="1"/>
  <c r="P209" i="1"/>
  <c r="T209" i="1" s="1"/>
  <c r="O208" i="1"/>
  <c r="N208" i="1"/>
  <c r="M208" i="1"/>
  <c r="L208" i="1"/>
  <c r="K208" i="1"/>
  <c r="J208" i="1"/>
  <c r="I208" i="1"/>
  <c r="H208" i="1"/>
  <c r="T207" i="1"/>
  <c r="T206" i="1"/>
  <c r="T205" i="1"/>
  <c r="Q204" i="1"/>
  <c r="T204" i="1" s="1"/>
  <c r="T203" i="1"/>
  <c r="O202" i="1"/>
  <c r="N202" i="1"/>
  <c r="M202" i="1"/>
  <c r="L202" i="1"/>
  <c r="K202" i="1"/>
  <c r="J202" i="1"/>
  <c r="J201" i="1" s="1"/>
  <c r="H201" i="1"/>
  <c r="P200" i="1"/>
  <c r="T200" i="1" s="1"/>
  <c r="T199" i="1"/>
  <c r="P198" i="1"/>
  <c r="T198" i="1" s="1"/>
  <c r="P197" i="1"/>
  <c r="O196" i="1"/>
  <c r="O195" i="1" s="1"/>
  <c r="N196" i="1"/>
  <c r="N195" i="1" s="1"/>
  <c r="M196" i="1"/>
  <c r="M195" i="1" s="1"/>
  <c r="L196" i="1"/>
  <c r="L195" i="1" s="1"/>
  <c r="S195" i="1"/>
  <c r="R195" i="1"/>
  <c r="Q195" i="1"/>
  <c r="K195" i="1"/>
  <c r="J195" i="1"/>
  <c r="I195" i="1"/>
  <c r="H195" i="1"/>
  <c r="T194" i="1"/>
  <c r="T193" i="1"/>
  <c r="R192" i="1"/>
  <c r="R189" i="1" s="1"/>
  <c r="R188" i="1" s="1"/>
  <c r="Q192" i="1"/>
  <c r="Q189" i="1" s="1"/>
  <c r="L192" i="1"/>
  <c r="L189" i="1" s="1"/>
  <c r="T191" i="1"/>
  <c r="H190" i="1"/>
  <c r="H189" i="1" s="1"/>
  <c r="S189" i="1"/>
  <c r="P189" i="1"/>
  <c r="O189" i="1"/>
  <c r="N189" i="1"/>
  <c r="M189" i="1"/>
  <c r="K189" i="1"/>
  <c r="J189" i="1"/>
  <c r="I189" i="1"/>
  <c r="T187" i="1"/>
  <c r="T186" i="1"/>
  <c r="S185" i="1"/>
  <c r="S184" i="1" s="1"/>
  <c r="S183" i="1" s="1"/>
  <c r="S182" i="1" s="1"/>
  <c r="R185" i="1"/>
  <c r="R184" i="1" s="1"/>
  <c r="R183" i="1" s="1"/>
  <c r="R182" i="1" s="1"/>
  <c r="Q185" i="1"/>
  <c r="Q184" i="1" s="1"/>
  <c r="Q183" i="1" s="1"/>
  <c r="Q182" i="1" s="1"/>
  <c r="P185" i="1"/>
  <c r="P184" i="1" s="1"/>
  <c r="P183" i="1" s="1"/>
  <c r="P182" i="1" s="1"/>
  <c r="O185" i="1"/>
  <c r="O184" i="1" s="1"/>
  <c r="O183" i="1" s="1"/>
  <c r="O182" i="1" s="1"/>
  <c r="N185" i="1"/>
  <c r="N184" i="1" s="1"/>
  <c r="N183" i="1" s="1"/>
  <c r="N182" i="1" s="1"/>
  <c r="M185" i="1"/>
  <c r="M184" i="1" s="1"/>
  <c r="M183" i="1" s="1"/>
  <c r="M182" i="1" s="1"/>
  <c r="L185" i="1"/>
  <c r="L184" i="1" s="1"/>
  <c r="L183" i="1" s="1"/>
  <c r="L182" i="1" s="1"/>
  <c r="K185" i="1"/>
  <c r="K184" i="1" s="1"/>
  <c r="K183" i="1" s="1"/>
  <c r="K182" i="1" s="1"/>
  <c r="J185" i="1"/>
  <c r="J184" i="1" s="1"/>
  <c r="J183" i="1" s="1"/>
  <c r="J182" i="1" s="1"/>
  <c r="I185" i="1"/>
  <c r="I184" i="1" s="1"/>
  <c r="I183" i="1" s="1"/>
  <c r="I182" i="1" s="1"/>
  <c r="H185" i="1"/>
  <c r="H184" i="1" s="1"/>
  <c r="H183" i="1" s="1"/>
  <c r="H182" i="1" s="1"/>
  <c r="G185" i="1"/>
  <c r="G184" i="1" s="1"/>
  <c r="G183" i="1" s="1"/>
  <c r="T181" i="1"/>
  <c r="T180" i="1"/>
  <c r="S179" i="1"/>
  <c r="R179" i="1"/>
  <c r="Q179" i="1"/>
  <c r="P179" i="1"/>
  <c r="O179" i="1"/>
  <c r="N179" i="1"/>
  <c r="M179" i="1"/>
  <c r="K179" i="1"/>
  <c r="J179" i="1"/>
  <c r="I179" i="1"/>
  <c r="H179" i="1"/>
  <c r="G179" i="1"/>
  <c r="T178" i="1"/>
  <c r="T177" i="1"/>
  <c r="T176" i="1"/>
  <c r="N175" i="1"/>
  <c r="N173" i="1" s="1"/>
  <c r="J175" i="1"/>
  <c r="O174" i="1"/>
  <c r="J174" i="1"/>
  <c r="S173" i="1"/>
  <c r="R173" i="1"/>
  <c r="Q173" i="1"/>
  <c r="P173" i="1"/>
  <c r="O173" i="1"/>
  <c r="M173" i="1"/>
  <c r="L173" i="1"/>
  <c r="K173" i="1"/>
  <c r="I173" i="1"/>
  <c r="H173" i="1"/>
  <c r="G173" i="1"/>
  <c r="T172" i="1"/>
  <c r="T171" i="1"/>
  <c r="T170" i="1"/>
  <c r="R169" i="1"/>
  <c r="L169" i="1"/>
  <c r="T168" i="1"/>
  <c r="R168" i="1"/>
  <c r="S167" i="1"/>
  <c r="Q167" i="1"/>
  <c r="P167" i="1"/>
  <c r="O167" i="1"/>
  <c r="N167" i="1"/>
  <c r="M167" i="1"/>
  <c r="K167" i="1"/>
  <c r="J167" i="1"/>
  <c r="I167" i="1"/>
  <c r="H167" i="1"/>
  <c r="G167" i="1"/>
  <c r="T166" i="1"/>
  <c r="T165" i="1"/>
  <c r="T164" i="1"/>
  <c r="T163" i="1"/>
  <c r="T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T160" i="1"/>
  <c r="T159" i="1"/>
  <c r="T158" i="1"/>
  <c r="T157" i="1"/>
  <c r="T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T154" i="1"/>
  <c r="T153" i="1"/>
  <c r="T152" i="1"/>
  <c r="T151" i="1"/>
  <c r="T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T148" i="1"/>
  <c r="T147" i="1"/>
  <c r="T146" i="1"/>
  <c r="T145" i="1"/>
  <c r="T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T142" i="1"/>
  <c r="T141" i="1"/>
  <c r="T140" i="1"/>
  <c r="M139" i="1"/>
  <c r="T139" i="1" s="1"/>
  <c r="T138" i="1"/>
  <c r="S137" i="1"/>
  <c r="R137" i="1"/>
  <c r="Q137" i="1"/>
  <c r="P137" i="1"/>
  <c r="O137" i="1"/>
  <c r="N137" i="1"/>
  <c r="L137" i="1"/>
  <c r="K137" i="1"/>
  <c r="J137" i="1"/>
  <c r="I137" i="1"/>
  <c r="H137" i="1"/>
  <c r="G137" i="1"/>
  <c r="T136" i="1"/>
  <c r="T135" i="1"/>
  <c r="T134" i="1"/>
  <c r="T133" i="1"/>
  <c r="T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T130" i="1"/>
  <c r="T129" i="1"/>
  <c r="T128" i="1"/>
  <c r="T127" i="1"/>
  <c r="G127" i="1"/>
  <c r="T126" i="1"/>
  <c r="G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T124" i="1"/>
  <c r="T123" i="1"/>
  <c r="T122" i="1"/>
  <c r="J121" i="1"/>
  <c r="G121" i="1"/>
  <c r="J120" i="1"/>
  <c r="T120" i="1" s="1"/>
  <c r="G120" i="1"/>
  <c r="G119" i="1" s="1"/>
  <c r="S119" i="1"/>
  <c r="R119" i="1"/>
  <c r="Q119" i="1"/>
  <c r="P119" i="1"/>
  <c r="O119" i="1"/>
  <c r="N119" i="1"/>
  <c r="M119" i="1"/>
  <c r="L119" i="1"/>
  <c r="K119" i="1"/>
  <c r="I119" i="1"/>
  <c r="H119" i="1"/>
  <c r="T118" i="1"/>
  <c r="T117" i="1"/>
  <c r="T116" i="1"/>
  <c r="T115" i="1"/>
  <c r="G115" i="1"/>
  <c r="T114" i="1"/>
  <c r="G114" i="1"/>
  <c r="G113" i="1" s="1"/>
  <c r="S113" i="1"/>
  <c r="R113" i="1"/>
  <c r="Q113" i="1"/>
  <c r="P113" i="1"/>
  <c r="O113" i="1"/>
  <c r="N113" i="1"/>
  <c r="M113" i="1"/>
  <c r="L113" i="1"/>
  <c r="K113" i="1"/>
  <c r="J113" i="1"/>
  <c r="I113" i="1"/>
  <c r="H113" i="1"/>
  <c r="H100" i="1"/>
  <c r="H99" i="1" s="1"/>
  <c r="P100" i="1"/>
  <c r="P99" i="1" s="1"/>
  <c r="S100" i="1"/>
  <c r="S99" i="1" s="1"/>
  <c r="G100" i="1"/>
  <c r="G99" i="1" s="1"/>
  <c r="T98" i="1"/>
  <c r="T97" i="1"/>
  <c r="T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T94" i="1"/>
  <c r="T93" i="1"/>
  <c r="T92" i="1"/>
  <c r="T91" i="1"/>
  <c r="S90" i="1"/>
  <c r="R90" i="1"/>
  <c r="Q90" i="1"/>
  <c r="P90" i="1"/>
  <c r="O90" i="1"/>
  <c r="O89" i="1" s="1"/>
  <c r="N90" i="1"/>
  <c r="N89" i="1" s="1"/>
  <c r="M90" i="1"/>
  <c r="L90" i="1"/>
  <c r="K90" i="1"/>
  <c r="J90" i="1"/>
  <c r="I90" i="1"/>
  <c r="H90" i="1"/>
  <c r="G90" i="1"/>
  <c r="T88" i="1"/>
  <c r="T87" i="1" s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K86" i="1"/>
  <c r="K85" i="1" s="1"/>
  <c r="S85" i="1"/>
  <c r="R85" i="1"/>
  <c r="Q85" i="1"/>
  <c r="P85" i="1"/>
  <c r="O85" i="1"/>
  <c r="N85" i="1"/>
  <c r="M85" i="1"/>
  <c r="L85" i="1"/>
  <c r="J85" i="1"/>
  <c r="I85" i="1"/>
  <c r="H85" i="1"/>
  <c r="G85" i="1"/>
  <c r="K84" i="1"/>
  <c r="K83" i="1" s="1"/>
  <c r="S83" i="1"/>
  <c r="R83" i="1"/>
  <c r="Q83" i="1"/>
  <c r="P83" i="1"/>
  <c r="O83" i="1"/>
  <c r="N83" i="1"/>
  <c r="M83" i="1"/>
  <c r="L83" i="1"/>
  <c r="J83" i="1"/>
  <c r="I83" i="1"/>
  <c r="H83" i="1"/>
  <c r="G83" i="1"/>
  <c r="T81" i="1"/>
  <c r="T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T78" i="1"/>
  <c r="L77" i="1"/>
  <c r="L76" i="1" s="1"/>
  <c r="J77" i="1"/>
  <c r="I77" i="1"/>
  <c r="S76" i="1"/>
  <c r="R76" i="1"/>
  <c r="Q76" i="1"/>
  <c r="P76" i="1"/>
  <c r="O76" i="1"/>
  <c r="N76" i="1"/>
  <c r="M76" i="1"/>
  <c r="K76" i="1"/>
  <c r="I76" i="1"/>
  <c r="H76" i="1"/>
  <c r="G76" i="1"/>
  <c r="T75" i="1"/>
  <c r="R74" i="1"/>
  <c r="R73" i="1" s="1"/>
  <c r="L74" i="1"/>
  <c r="J74" i="1"/>
  <c r="J73" i="1" s="1"/>
  <c r="I74" i="1"/>
  <c r="S73" i="1"/>
  <c r="Q73" i="1"/>
  <c r="P73" i="1"/>
  <c r="O73" i="1"/>
  <c r="N73" i="1"/>
  <c r="M73" i="1"/>
  <c r="L73" i="1"/>
  <c r="K73" i="1"/>
  <c r="I73" i="1"/>
  <c r="H73" i="1"/>
  <c r="G73" i="1"/>
  <c r="T71" i="1"/>
  <c r="T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T68" i="1"/>
  <c r="K67" i="1"/>
  <c r="K66" i="1" s="1"/>
  <c r="I67" i="1"/>
  <c r="S66" i="1"/>
  <c r="R66" i="1"/>
  <c r="Q66" i="1"/>
  <c r="P66" i="1"/>
  <c r="O66" i="1"/>
  <c r="N66" i="1"/>
  <c r="M66" i="1"/>
  <c r="L66" i="1"/>
  <c r="J66" i="1"/>
  <c r="H66" i="1"/>
  <c r="G66" i="1"/>
  <c r="T65" i="1"/>
  <c r="K64" i="1"/>
  <c r="K63" i="1" s="1"/>
  <c r="I64" i="1"/>
  <c r="T64" i="1" s="1"/>
  <c r="S63" i="1"/>
  <c r="R63" i="1"/>
  <c r="Q63" i="1"/>
  <c r="P63" i="1"/>
  <c r="O63" i="1"/>
  <c r="N63" i="1"/>
  <c r="M63" i="1"/>
  <c r="L63" i="1"/>
  <c r="J63" i="1"/>
  <c r="H63" i="1"/>
  <c r="G63" i="1"/>
  <c r="T61" i="1"/>
  <c r="T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T58" i="1"/>
  <c r="K57" i="1"/>
  <c r="K56" i="1" s="1"/>
  <c r="I57" i="1"/>
  <c r="I56" i="1" s="1"/>
  <c r="S56" i="1"/>
  <c r="R56" i="1"/>
  <c r="Q56" i="1"/>
  <c r="P56" i="1"/>
  <c r="O56" i="1"/>
  <c r="N56" i="1"/>
  <c r="M56" i="1"/>
  <c r="L56" i="1"/>
  <c r="J56" i="1"/>
  <c r="H56" i="1"/>
  <c r="G56" i="1"/>
  <c r="T55" i="1"/>
  <c r="K54" i="1"/>
  <c r="K53" i="1" s="1"/>
  <c r="I54" i="1"/>
  <c r="I53" i="1" s="1"/>
  <c r="S53" i="1"/>
  <c r="R53" i="1"/>
  <c r="Q53" i="1"/>
  <c r="P53" i="1"/>
  <c r="O53" i="1"/>
  <c r="N53" i="1"/>
  <c r="M53" i="1"/>
  <c r="L53" i="1"/>
  <c r="J53" i="1"/>
  <c r="H53" i="1"/>
  <c r="G53" i="1"/>
  <c r="C1327" i="1"/>
  <c r="C1182" i="1"/>
  <c r="C1094" i="1"/>
  <c r="C1092" i="1"/>
  <c r="C1078" i="1"/>
  <c r="C853" i="1"/>
  <c r="C859" i="1"/>
  <c r="C860" i="1"/>
  <c r="C861" i="1"/>
  <c r="C664" i="1"/>
  <c r="C578" i="1"/>
  <c r="C572" i="1"/>
  <c r="C538" i="1"/>
  <c r="C526" i="1"/>
  <c r="C527" i="1"/>
  <c r="C528" i="1"/>
  <c r="C498" i="1"/>
  <c r="C489" i="1"/>
  <c r="C490" i="1"/>
  <c r="C491" i="1"/>
  <c r="C471" i="1"/>
  <c r="C315" i="1"/>
  <c r="C309" i="1"/>
  <c r="C306" i="1"/>
  <c r="C216" i="1"/>
  <c r="S89" i="1" l="1"/>
  <c r="R89" i="1"/>
  <c r="T780" i="1"/>
  <c r="I1282" i="1"/>
  <c r="Q279" i="1"/>
  <c r="M52" i="1"/>
  <c r="M1254" i="1"/>
  <c r="M655" i="1"/>
  <c r="M1218" i="1"/>
  <c r="M1217" i="1" s="1"/>
  <c r="L344" i="1"/>
  <c r="I808" i="1"/>
  <c r="M1002" i="1"/>
  <c r="P464" i="1"/>
  <c r="P896" i="1"/>
  <c r="J991" i="1"/>
  <c r="G819" i="1"/>
  <c r="P573" i="1"/>
  <c r="O655" i="1"/>
  <c r="O1254" i="1"/>
  <c r="G1370" i="1"/>
  <c r="P991" i="1"/>
  <c r="I493" i="1"/>
  <c r="T79" i="1"/>
  <c r="P808" i="1"/>
  <c r="Q1218" i="1"/>
  <c r="L1230" i="1"/>
  <c r="L1229" i="1" s="1"/>
  <c r="R72" i="1"/>
  <c r="Q808" i="1"/>
  <c r="N896" i="1"/>
  <c r="K1002" i="1"/>
  <c r="G444" i="1"/>
  <c r="G443" i="1" s="1"/>
  <c r="J464" i="1"/>
  <c r="K464" i="1"/>
  <c r="Q1265" i="1"/>
  <c r="P235" i="1"/>
  <c r="P1254" i="1"/>
  <c r="P1249" i="1" s="1"/>
  <c r="H89" i="1"/>
  <c r="T179" i="1"/>
  <c r="G1059" i="1"/>
  <c r="L808" i="1"/>
  <c r="S808" i="1"/>
  <c r="O1002" i="1"/>
  <c r="H1299" i="1"/>
  <c r="M808" i="1"/>
  <c r="T740" i="1"/>
  <c r="T739" i="1" s="1"/>
  <c r="V739" i="1" s="1"/>
  <c r="N808" i="1"/>
  <c r="I1342" i="1"/>
  <c r="M1370" i="1"/>
  <c r="M89" i="1"/>
  <c r="G775" i="1"/>
  <c r="S775" i="1"/>
  <c r="S1059" i="1"/>
  <c r="H1230" i="1"/>
  <c r="H1229" i="1" s="1"/>
  <c r="N1299" i="1"/>
  <c r="O1314" i="1"/>
  <c r="O52" i="1"/>
  <c r="T63" i="1"/>
  <c r="O82" i="1"/>
  <c r="J1230" i="1"/>
  <c r="J1229" i="1" s="1"/>
  <c r="I89" i="1"/>
  <c r="Q1050" i="1"/>
  <c r="R1230" i="1"/>
  <c r="R1229" i="1" s="1"/>
  <c r="H62" i="1"/>
  <c r="R82" i="1"/>
  <c r="H363" i="1"/>
  <c r="J444" i="1"/>
  <c r="J443" i="1" s="1"/>
  <c r="I605" i="1"/>
  <c r="S1370" i="1"/>
  <c r="J733" i="1"/>
  <c r="L82" i="1"/>
  <c r="R279" i="1"/>
  <c r="R263" i="1" s="1"/>
  <c r="R262" i="1" s="1"/>
  <c r="K291" i="1"/>
  <c r="S344" i="1"/>
  <c r="Q344" i="1"/>
  <c r="I344" i="1"/>
  <c r="K692" i="1"/>
  <c r="P819" i="1"/>
  <c r="M870" i="1"/>
  <c r="I991" i="1"/>
  <c r="Q1254" i="1"/>
  <c r="Q1249" i="1" s="1"/>
  <c r="L1370" i="1"/>
  <c r="Q1299" i="1"/>
  <c r="Q52" i="1"/>
  <c r="I464" i="1"/>
  <c r="J692" i="1"/>
  <c r="J687" i="1" s="1"/>
  <c r="N1230" i="1"/>
  <c r="N1229" i="1" s="1"/>
  <c r="T1267" i="1"/>
  <c r="V1267" i="1" s="1"/>
  <c r="N1314" i="1"/>
  <c r="O1299" i="1"/>
  <c r="R1059" i="1"/>
  <c r="I1112" i="1"/>
  <c r="S1254" i="1"/>
  <c r="S1249" i="1" s="1"/>
  <c r="S1265" i="1"/>
  <c r="L1282" i="1"/>
  <c r="J62" i="1"/>
  <c r="S52" i="1"/>
  <c r="L62" i="1"/>
  <c r="R62" i="1"/>
  <c r="K89" i="1"/>
  <c r="N605" i="1"/>
  <c r="S896" i="1"/>
  <c r="S1112" i="1"/>
  <c r="N1131" i="1"/>
  <c r="S1218" i="1"/>
  <c r="P1299" i="1"/>
  <c r="J386" i="1"/>
  <c r="M775" i="1"/>
  <c r="P870" i="1"/>
  <c r="P865" i="1" s="1"/>
  <c r="O1050" i="1"/>
  <c r="G1131" i="1"/>
  <c r="J89" i="1"/>
  <c r="N62" i="1"/>
  <c r="G82" i="1"/>
  <c r="Q82" i="1"/>
  <c r="N235" i="1"/>
  <c r="K279" i="1"/>
  <c r="K263" i="1" s="1"/>
  <c r="K262" i="1" s="1"/>
  <c r="H573" i="1"/>
  <c r="N762" i="1"/>
  <c r="S819" i="1"/>
  <c r="K1018" i="1"/>
  <c r="O1036" i="1"/>
  <c r="Q1036" i="1"/>
  <c r="O1112" i="1"/>
  <c r="O62" i="1"/>
  <c r="L279" i="1"/>
  <c r="N464" i="1"/>
  <c r="P745" i="1"/>
  <c r="J819" i="1"/>
  <c r="H819" i="1"/>
  <c r="J838" i="1"/>
  <c r="S870" i="1"/>
  <c r="S865" i="1" s="1"/>
  <c r="L1018" i="1"/>
  <c r="S1230" i="1"/>
  <c r="S1229" i="1" s="1"/>
  <c r="O1282" i="1"/>
  <c r="S655" i="1"/>
  <c r="K819" i="1"/>
  <c r="Q1112" i="1"/>
  <c r="J52" i="1"/>
  <c r="R235" i="1"/>
  <c r="L52" i="1"/>
  <c r="J82" i="1"/>
  <c r="S235" i="1"/>
  <c r="S692" i="1"/>
  <c r="S687" i="1" s="1"/>
  <c r="P733" i="1"/>
  <c r="P775" i="1"/>
  <c r="O1265" i="1"/>
  <c r="T357" i="1"/>
  <c r="V358" i="1"/>
  <c r="Q838" i="1"/>
  <c r="G989" i="1"/>
  <c r="T647" i="1"/>
  <c r="V647" i="1" s="1"/>
  <c r="V648" i="1"/>
  <c r="T812" i="1"/>
  <c r="V812" i="1" s="1"/>
  <c r="T885" i="1"/>
  <c r="V885" i="1" s="1"/>
  <c r="V886" i="1"/>
  <c r="T1044" i="1"/>
  <c r="V1044" i="1" s="1"/>
  <c r="V1045" i="1"/>
  <c r="J1161" i="1"/>
  <c r="T1206" i="1"/>
  <c r="V1206" i="1" s="1"/>
  <c r="V1208" i="1"/>
  <c r="K1370" i="1"/>
  <c r="N52" i="1"/>
  <c r="S188" i="1"/>
  <c r="K188" i="1"/>
  <c r="G279" i="1"/>
  <c r="G263" i="1" s="1"/>
  <c r="P363" i="1"/>
  <c r="K363" i="1"/>
  <c r="T533" i="1"/>
  <c r="V533" i="1" s="1"/>
  <c r="Q540" i="1"/>
  <c r="T577" i="1"/>
  <c r="V577" i="1" s="1"/>
  <c r="J589" i="1"/>
  <c r="T626" i="1"/>
  <c r="V626" i="1" s="1"/>
  <c r="V627" i="1"/>
  <c r="T643" i="1"/>
  <c r="V643" i="1" s="1"/>
  <c r="J655" i="1"/>
  <c r="J673" i="1"/>
  <c r="L819" i="1"/>
  <c r="N824" i="1"/>
  <c r="Q1002" i="1"/>
  <c r="G1199" i="1"/>
  <c r="T1209" i="1"/>
  <c r="V1209" i="1" s="1"/>
  <c r="V1210" i="1"/>
  <c r="L1241" i="1"/>
  <c r="T1357" i="1"/>
  <c r="V1357" i="1" s="1"/>
  <c r="V1358" i="1"/>
  <c r="T276" i="1"/>
  <c r="V278" i="1"/>
  <c r="N316" i="1"/>
  <c r="T460" i="1"/>
  <c r="V460" i="1" s="1"/>
  <c r="V462" i="1"/>
  <c r="T936" i="1"/>
  <c r="V936" i="1" s="1"/>
  <c r="P942" i="1"/>
  <c r="T975" i="1"/>
  <c r="V975" i="1" s="1"/>
  <c r="T1250" i="1"/>
  <c r="V1250" i="1" s="1"/>
  <c r="V1252" i="1"/>
  <c r="K1342" i="1"/>
  <c r="T90" i="1"/>
  <c r="P89" i="1"/>
  <c r="Q188" i="1"/>
  <c r="L235" i="1"/>
  <c r="J251" i="1"/>
  <c r="T259" i="1"/>
  <c r="H280" i="1"/>
  <c r="H279" i="1" s="1"/>
  <c r="Q363" i="1"/>
  <c r="O386" i="1"/>
  <c r="N444" i="1"/>
  <c r="N443" i="1" s="1"/>
  <c r="K444" i="1"/>
  <c r="K443" i="1" s="1"/>
  <c r="R444" i="1"/>
  <c r="R443" i="1" s="1"/>
  <c r="T558" i="1"/>
  <c r="V558" i="1" s="1"/>
  <c r="T651" i="1"/>
  <c r="V652" i="1"/>
  <c r="T688" i="1"/>
  <c r="V688" i="1" s="1"/>
  <c r="V690" i="1"/>
  <c r="O692" i="1"/>
  <c r="O687" i="1" s="1"/>
  <c r="O669" i="1" s="1"/>
  <c r="O666" i="1" s="1"/>
  <c r="T742" i="1"/>
  <c r="V742" i="1" s="1"/>
  <c r="V743" i="1"/>
  <c r="R745" i="1"/>
  <c r="V780" i="1"/>
  <c r="K790" i="1"/>
  <c r="T941" i="1"/>
  <c r="V941" i="1" s="1"/>
  <c r="L950" i="1"/>
  <c r="T976" i="1"/>
  <c r="V977" i="1"/>
  <c r="T981" i="1"/>
  <c r="V981" i="1" s="1"/>
  <c r="Q978" i="1"/>
  <c r="H1150" i="1"/>
  <c r="O1161" i="1"/>
  <c r="P1161" i="1"/>
  <c r="I1198" i="1"/>
  <c r="J1343" i="1"/>
  <c r="J1342" i="1" s="1"/>
  <c r="J218" i="1"/>
  <c r="T791" i="1"/>
  <c r="V791" i="1" s="1"/>
  <c r="V792" i="1"/>
  <c r="T822" i="1"/>
  <c r="V822" i="1" s="1"/>
  <c r="V823" i="1"/>
  <c r="L991" i="1"/>
  <c r="T1058" i="1"/>
  <c r="V1058" i="1" s="1"/>
  <c r="J1184" i="1"/>
  <c r="T1285" i="1"/>
  <c r="V1285" i="1" s="1"/>
  <c r="V1286" i="1"/>
  <c r="G72" i="1"/>
  <c r="Q89" i="1"/>
  <c r="T175" i="1"/>
  <c r="T185" i="1"/>
  <c r="T184" i="1" s="1"/>
  <c r="T183" i="1" s="1"/>
  <c r="T182" i="1" s="1"/>
  <c r="T190" i="1"/>
  <c r="T208" i="1"/>
  <c r="T361" i="1"/>
  <c r="R464" i="1"/>
  <c r="L493" i="1"/>
  <c r="M605" i="1"/>
  <c r="T628" i="1"/>
  <c r="V628" i="1" s="1"/>
  <c r="T653" i="1"/>
  <c r="V654" i="1"/>
  <c r="N673" i="1"/>
  <c r="T679" i="1"/>
  <c r="V679" i="1" s="1"/>
  <c r="T701" i="1"/>
  <c r="V701" i="1" s="1"/>
  <c r="O808" i="1"/>
  <c r="N819" i="1"/>
  <c r="M939" i="1"/>
  <c r="T959" i="1"/>
  <c r="V959" i="1" s="1"/>
  <c r="S1018" i="1"/>
  <c r="T1048" i="1"/>
  <c r="V1048" i="1" s="1"/>
  <c r="V1049" i="1"/>
  <c r="I1131" i="1"/>
  <c r="T1168" i="1"/>
  <c r="V1168" i="1" s="1"/>
  <c r="R1175" i="1"/>
  <c r="I1230" i="1"/>
  <c r="I1229" i="1" s="1"/>
  <c r="N1254" i="1"/>
  <c r="T772" i="1"/>
  <c r="V772" i="1" s="1"/>
  <c r="V774" i="1"/>
  <c r="T777" i="1"/>
  <c r="V778" i="1"/>
  <c r="N256" i="1"/>
  <c r="V281" i="1"/>
  <c r="G790" i="1"/>
  <c r="G784" i="1" s="1"/>
  <c r="T292" i="1"/>
  <c r="V293" i="1"/>
  <c r="T498" i="1"/>
  <c r="V498" i="1" s="1"/>
  <c r="T228" i="1"/>
  <c r="J808" i="1"/>
  <c r="R52" i="1"/>
  <c r="L89" i="1"/>
  <c r="G89" i="1"/>
  <c r="T149" i="1"/>
  <c r="M279" i="1"/>
  <c r="T285" i="1"/>
  <c r="V285" i="1" s="1"/>
  <c r="N357" i="1"/>
  <c r="P386" i="1"/>
  <c r="T454" i="1"/>
  <c r="T465" i="1"/>
  <c r="V466" i="1"/>
  <c r="L464" i="1"/>
  <c r="Q557" i="1"/>
  <c r="O605" i="1"/>
  <c r="T710" i="1"/>
  <c r="V710" i="1" s="1"/>
  <c r="V712" i="1"/>
  <c r="S733" i="1"/>
  <c r="T737" i="1"/>
  <c r="V737" i="1" s="1"/>
  <c r="J762" i="1"/>
  <c r="T766" i="1"/>
  <c r="V766" i="1" s="1"/>
  <c r="J790" i="1"/>
  <c r="K808" i="1"/>
  <c r="M819" i="1"/>
  <c r="R824" i="1"/>
  <c r="L849" i="1"/>
  <c r="L848" i="1" s="1"/>
  <c r="L838" i="1" s="1"/>
  <c r="V881" i="1"/>
  <c r="I870" i="1"/>
  <c r="I865" i="1" s="1"/>
  <c r="S991" i="1"/>
  <c r="R1018" i="1"/>
  <c r="S1050" i="1"/>
  <c r="N1050" i="1"/>
  <c r="I1175" i="1"/>
  <c r="P1230" i="1"/>
  <c r="P1229" i="1" s="1"/>
  <c r="K1230" i="1"/>
  <c r="K1229" i="1" s="1"/>
  <c r="J1300" i="1"/>
  <c r="J1299" i="1" s="1"/>
  <c r="T1348" i="1"/>
  <c r="V1348" i="1" s="1"/>
  <c r="V1350" i="1"/>
  <c r="N1363" i="1"/>
  <c r="N1362" i="1" s="1"/>
  <c r="R1370" i="1"/>
  <c r="T324" i="1"/>
  <c r="V324" i="1" s="1"/>
  <c r="V325" i="1"/>
  <c r="T723" i="1"/>
  <c r="V723" i="1" s="1"/>
  <c r="R715" i="1"/>
  <c r="R703" i="1" s="1"/>
  <c r="I363" i="1"/>
  <c r="P444" i="1"/>
  <c r="P443" i="1" s="1"/>
  <c r="N541" i="1"/>
  <c r="N540" i="1" s="1"/>
  <c r="N838" i="1"/>
  <c r="I188" i="1"/>
  <c r="T249" i="1"/>
  <c r="I264" i="1"/>
  <c r="S279" i="1"/>
  <c r="S263" i="1" s="1"/>
  <c r="S262" i="1" s="1"/>
  <c r="Q386" i="1"/>
  <c r="K386" i="1"/>
  <c r="O444" i="1"/>
  <c r="O443" i="1" s="1"/>
  <c r="R573" i="1"/>
  <c r="M596" i="1"/>
  <c r="G692" i="1"/>
  <c r="Q692" i="1"/>
  <c r="Q687" i="1" s="1"/>
  <c r="T704" i="1"/>
  <c r="V704" i="1" s="1"/>
  <c r="V705" i="1"/>
  <c r="I733" i="1"/>
  <c r="S745" i="1"/>
  <c r="R808" i="1"/>
  <c r="K906" i="1"/>
  <c r="K896" i="1" s="1"/>
  <c r="I1002" i="1"/>
  <c r="O1018" i="1"/>
  <c r="T1053" i="1"/>
  <c r="V1053" i="1" s="1"/>
  <c r="V1054" i="1"/>
  <c r="L1059" i="1"/>
  <c r="J1079" i="1"/>
  <c r="H1112" i="1"/>
  <c r="N1226" i="1"/>
  <c r="I1254" i="1"/>
  <c r="K1299" i="1"/>
  <c r="N681" i="1"/>
  <c r="T782" i="1"/>
  <c r="V782" i="1" s="1"/>
  <c r="V783" i="1"/>
  <c r="I52" i="1"/>
  <c r="I82" i="1"/>
  <c r="H82" i="1"/>
  <c r="R167" i="1"/>
  <c r="R112" i="1" s="1"/>
  <c r="R111" i="1" s="1"/>
  <c r="N188" i="1"/>
  <c r="L201" i="1"/>
  <c r="H223" i="1"/>
  <c r="T275" i="1"/>
  <c r="V275" i="1" s="1"/>
  <c r="T455" i="1"/>
  <c r="V455" i="1" s="1"/>
  <c r="V456" i="1"/>
  <c r="T491" i="1"/>
  <c r="V491" i="1" s="1"/>
  <c r="S556" i="1"/>
  <c r="Q657" i="1"/>
  <c r="Q656" i="1" s="1"/>
  <c r="Q655" i="1" s="1"/>
  <c r="T693" i="1"/>
  <c r="V693" i="1" s="1"/>
  <c r="V694" i="1"/>
  <c r="N728" i="1"/>
  <c r="R819" i="1"/>
  <c r="T882" i="1"/>
  <c r="V882" i="1" s="1"/>
  <c r="R939" i="1"/>
  <c r="M950" i="1"/>
  <c r="N978" i="1"/>
  <c r="I1036" i="1"/>
  <c r="T1084" i="1"/>
  <c r="V1084" i="1" s="1"/>
  <c r="M1132" i="1"/>
  <c r="K1131" i="1"/>
  <c r="H1161" i="1"/>
  <c r="T1171" i="1"/>
  <c r="V1173" i="1"/>
  <c r="T1204" i="1"/>
  <c r="V1204" i="1" s="1"/>
  <c r="V1205" i="1"/>
  <c r="J1254" i="1"/>
  <c r="T1291" i="1"/>
  <c r="V1291" i="1" s="1"/>
  <c r="V1292" i="1"/>
  <c r="P1363" i="1"/>
  <c r="P1362" i="1" s="1"/>
  <c r="T1384" i="1"/>
  <c r="V1385" i="1"/>
  <c r="Q62" i="1"/>
  <c r="M642" i="1"/>
  <c r="M625" i="1" s="1"/>
  <c r="I1265" i="1"/>
  <c r="O112" i="1"/>
  <c r="O111" i="1" s="1"/>
  <c r="H112" i="1"/>
  <c r="H111" i="1" s="1"/>
  <c r="O188" i="1"/>
  <c r="G235" i="1"/>
  <c r="T237" i="1"/>
  <c r="T258" i="1"/>
  <c r="Q256" i="1"/>
  <c r="H444" i="1"/>
  <c r="H443" i="1" s="1"/>
  <c r="T445" i="1"/>
  <c r="V445" i="1" s="1"/>
  <c r="Q444" i="1"/>
  <c r="Q443" i="1" s="1"/>
  <c r="G492" i="1"/>
  <c r="G442" i="1" s="1"/>
  <c r="R493" i="1"/>
  <c r="T620" i="1"/>
  <c r="V620" i="1" s="1"/>
  <c r="Q673" i="1"/>
  <c r="N715" i="1"/>
  <c r="M733" i="1"/>
  <c r="Q745" i="1"/>
  <c r="Q775" i="1"/>
  <c r="Q790" i="1"/>
  <c r="I840" i="1"/>
  <c r="I838" i="1" s="1"/>
  <c r="L896" i="1"/>
  <c r="N918" i="1"/>
  <c r="N939" i="1"/>
  <c r="N976" i="1"/>
  <c r="O978" i="1"/>
  <c r="H991" i="1"/>
  <c r="T992" i="1"/>
  <c r="V992" i="1" s="1"/>
  <c r="V993" i="1"/>
  <c r="I1018" i="1"/>
  <c r="N1079" i="1"/>
  <c r="N1069" i="1" s="1"/>
  <c r="G1112" i="1"/>
  <c r="T1116" i="1"/>
  <c r="V1117" i="1"/>
  <c r="I1161" i="1"/>
  <c r="R1161" i="1"/>
  <c r="K1254" i="1"/>
  <c r="K1249" i="1" s="1"/>
  <c r="R1282" i="1"/>
  <c r="M1299" i="1"/>
  <c r="S291" i="1"/>
  <c r="T649" i="1"/>
  <c r="V650" i="1"/>
  <c r="S790" i="1"/>
  <c r="S784" i="1" s="1"/>
  <c r="G625" i="1"/>
  <c r="G624" i="1" s="1"/>
  <c r="L918" i="1"/>
  <c r="I1314" i="1"/>
  <c r="H52" i="1"/>
  <c r="T67" i="1"/>
  <c r="T66" i="1" s="1"/>
  <c r="L72" i="1"/>
  <c r="T169" i="1"/>
  <c r="T167" i="1" s="1"/>
  <c r="M188" i="1"/>
  <c r="O201" i="1"/>
  <c r="J279" i="1"/>
  <c r="I287" i="1"/>
  <c r="N361" i="1"/>
  <c r="G556" i="1"/>
  <c r="S605" i="1"/>
  <c r="N642" i="1"/>
  <c r="N625" i="1" s="1"/>
  <c r="O651" i="1"/>
  <c r="O625" i="1" s="1"/>
  <c r="O624" i="1" s="1"/>
  <c r="R670" i="1"/>
  <c r="T820" i="1"/>
  <c r="Q819" i="1"/>
  <c r="L870" i="1"/>
  <c r="L865" i="1" s="1"/>
  <c r="K950" i="1"/>
  <c r="I950" i="1"/>
  <c r="H1002" i="1"/>
  <c r="T1009" i="1"/>
  <c r="V1009" i="1" s="1"/>
  <c r="P1050" i="1"/>
  <c r="T1076" i="1"/>
  <c r="V1076" i="1" s="1"/>
  <c r="K1112" i="1"/>
  <c r="N1175" i="1"/>
  <c r="J1198" i="1"/>
  <c r="T1231" i="1"/>
  <c r="V1231" i="1" s="1"/>
  <c r="V1232" i="1"/>
  <c r="O1230" i="1"/>
  <c r="O1229" i="1" s="1"/>
  <c r="T1340" i="1"/>
  <c r="V1340" i="1" s="1"/>
  <c r="V1341" i="1"/>
  <c r="S1342" i="1"/>
  <c r="J1370" i="1"/>
  <c r="V270" i="1"/>
  <c r="T905" i="1"/>
  <c r="J904" i="1"/>
  <c r="J896" i="1" s="1"/>
  <c r="P52" i="1"/>
  <c r="T59" i="1"/>
  <c r="M72" i="1"/>
  <c r="S72" i="1"/>
  <c r="N72" i="1"/>
  <c r="I72" i="1"/>
  <c r="O72" i="1"/>
  <c r="I112" i="1"/>
  <c r="I111" i="1" s="1"/>
  <c r="M137" i="1"/>
  <c r="M112" i="1" s="1"/>
  <c r="M111" i="1" s="1"/>
  <c r="K112" i="1"/>
  <c r="K111" i="1" s="1"/>
  <c r="H188" i="1"/>
  <c r="P195" i="1"/>
  <c r="P188" i="1" s="1"/>
  <c r="T233" i="1"/>
  <c r="I236" i="1"/>
  <c r="I235" i="1" s="1"/>
  <c r="I251" i="1"/>
  <c r="K256" i="1"/>
  <c r="J256" i="1"/>
  <c r="P256" i="1"/>
  <c r="I280" i="1"/>
  <c r="M291" i="1"/>
  <c r="T316" i="1"/>
  <c r="H344" i="1"/>
  <c r="H343" i="1" s="1"/>
  <c r="N345" i="1"/>
  <c r="T345" i="1"/>
  <c r="I386" i="1"/>
  <c r="T406" i="1"/>
  <c r="N426" i="1"/>
  <c r="T426" i="1" s="1"/>
  <c r="V426" i="1" s="1"/>
  <c r="T428" i="1"/>
  <c r="V428" i="1" s="1"/>
  <c r="H605" i="1"/>
  <c r="I625" i="1"/>
  <c r="I624" i="1" s="1"/>
  <c r="Q733" i="1"/>
  <c r="H775" i="1"/>
  <c r="T1077" i="1"/>
  <c r="V1077" i="1" s="1"/>
  <c r="I1074" i="1"/>
  <c r="I1069" i="1" s="1"/>
  <c r="O235" i="1"/>
  <c r="T57" i="1"/>
  <c r="T56" i="1" s="1"/>
  <c r="M62" i="1"/>
  <c r="S62" i="1"/>
  <c r="I66" i="1"/>
  <c r="H72" i="1"/>
  <c r="T77" i="1"/>
  <c r="T76" i="1" s="1"/>
  <c r="P82" i="1"/>
  <c r="T95" i="1"/>
  <c r="T89" i="1" s="1"/>
  <c r="Q112" i="1"/>
  <c r="Q111" i="1" s="1"/>
  <c r="J119" i="1"/>
  <c r="J112" i="1" s="1"/>
  <c r="G125" i="1"/>
  <c r="G112" i="1" s="1"/>
  <c r="G111" i="1" s="1"/>
  <c r="S112" i="1"/>
  <c r="S111" i="1" s="1"/>
  <c r="J173" i="1"/>
  <c r="L188" i="1"/>
  <c r="M201" i="1"/>
  <c r="K223" i="1"/>
  <c r="T231" i="1"/>
  <c r="J235" i="1"/>
  <c r="Q263" i="1"/>
  <c r="Q262" i="1" s="1"/>
  <c r="Q291" i="1"/>
  <c r="J363" i="1"/>
  <c r="T489" i="1"/>
  <c r="V489" i="1" s="1"/>
  <c r="Q472" i="1"/>
  <c r="Q464" i="1" s="1"/>
  <c r="T707" i="1"/>
  <c r="M706" i="1"/>
  <c r="M703" i="1" s="1"/>
  <c r="M745" i="1"/>
  <c r="G386" i="1"/>
  <c r="G62" i="1"/>
  <c r="N82" i="1"/>
  <c r="Q100" i="1"/>
  <c r="Q99" i="1" s="1"/>
  <c r="T143" i="1"/>
  <c r="J188" i="1"/>
  <c r="T253" i="1"/>
  <c r="T272" i="1"/>
  <c r="V272" i="1" s="1"/>
  <c r="L276" i="1"/>
  <c r="J291" i="1"/>
  <c r="P291" i="1"/>
  <c r="P344" i="1"/>
  <c r="G344" i="1"/>
  <c r="G343" i="1" s="1"/>
  <c r="M344" i="1"/>
  <c r="J344" i="1"/>
  <c r="R386" i="1"/>
  <c r="T646" i="1"/>
  <c r="K645" i="1"/>
  <c r="Q201" i="1"/>
  <c r="M386" i="1"/>
  <c r="P72" i="1"/>
  <c r="K72" i="1"/>
  <c r="Q72" i="1"/>
  <c r="N100" i="1"/>
  <c r="N99" i="1" s="1"/>
  <c r="T131" i="1"/>
  <c r="T155" i="1"/>
  <c r="P201" i="1"/>
  <c r="O223" i="1"/>
  <c r="T232" i="1"/>
  <c r="T255" i="1"/>
  <c r="J263" i="1"/>
  <c r="J262" i="1" s="1"/>
  <c r="T267" i="1"/>
  <c r="V267" i="1" s="1"/>
  <c r="P279" i="1"/>
  <c r="P263" i="1" s="1"/>
  <c r="P262" i="1" s="1"/>
  <c r="O291" i="1"/>
  <c r="N336" i="1"/>
  <c r="T360" i="1"/>
  <c r="R344" i="1"/>
  <c r="R363" i="1"/>
  <c r="G363" i="1"/>
  <c r="N372" i="1"/>
  <c r="L444" i="1"/>
  <c r="L443" i="1" s="1"/>
  <c r="K609" i="1"/>
  <c r="K605" i="1" s="1"/>
  <c r="T611" i="1"/>
  <c r="V611" i="1" s="1"/>
  <c r="Q630" i="1"/>
  <c r="Q625" i="1" s="1"/>
  <c r="T632" i="1"/>
  <c r="V632" i="1" s="1"/>
  <c r="G52" i="1"/>
  <c r="T54" i="1"/>
  <c r="T53" i="1" s="1"/>
  <c r="I63" i="1"/>
  <c r="P62" i="1"/>
  <c r="T69" i="1"/>
  <c r="M82" i="1"/>
  <c r="S82" i="1"/>
  <c r="N112" i="1"/>
  <c r="N111" i="1" s="1"/>
  <c r="T125" i="1"/>
  <c r="T161" i="1"/>
  <c r="T202" i="1"/>
  <c r="N201" i="1"/>
  <c r="T210" i="1"/>
  <c r="I201" i="1"/>
  <c r="T226" i="1"/>
  <c r="T239" i="1"/>
  <c r="T236" i="1" s="1"/>
  <c r="T243" i="1"/>
  <c r="K241" i="1"/>
  <c r="K251" i="1"/>
  <c r="T265" i="1"/>
  <c r="O279" i="1"/>
  <c r="O263" i="1" s="1"/>
  <c r="O262" i="1" s="1"/>
  <c r="I291" i="1"/>
  <c r="T337" i="1"/>
  <c r="O344" i="1"/>
  <c r="T373" i="1"/>
  <c r="V373" i="1" s="1"/>
  <c r="T560" i="1"/>
  <c r="V560" i="1" s="1"/>
  <c r="N596" i="1"/>
  <c r="S625" i="1"/>
  <c r="T668" i="1"/>
  <c r="I667" i="1"/>
  <c r="R775" i="1"/>
  <c r="K344" i="1"/>
  <c r="O363" i="1"/>
  <c r="H386" i="1"/>
  <c r="I444" i="1"/>
  <c r="I443" i="1" s="1"/>
  <c r="M464" i="1"/>
  <c r="T571" i="1"/>
  <c r="V571" i="1" s="1"/>
  <c r="K573" i="1"/>
  <c r="K556" i="1" s="1"/>
  <c r="G605" i="1"/>
  <c r="L625" i="1"/>
  <c r="P649" i="1"/>
  <c r="K681" i="1"/>
  <c r="T683" i="1"/>
  <c r="V683" i="1" s="1"/>
  <c r="P692" i="1"/>
  <c r="P687" i="1" s="1"/>
  <c r="L692" i="1"/>
  <c r="L687" i="1" s="1"/>
  <c r="R692" i="1"/>
  <c r="R687" i="1" s="1"/>
  <c r="N733" i="1"/>
  <c r="L733" i="1"/>
  <c r="T763" i="1"/>
  <c r="V763" i="1" s="1"/>
  <c r="L762" i="1"/>
  <c r="R762" i="1"/>
  <c r="P762" i="1"/>
  <c r="L775" i="1"/>
  <c r="T814" i="1"/>
  <c r="V814" i="1" s="1"/>
  <c r="H838" i="1"/>
  <c r="O838" i="1"/>
  <c r="J870" i="1"/>
  <c r="J865" i="1" s="1"/>
  <c r="T924" i="1"/>
  <c r="V924" i="1" s="1"/>
  <c r="T933" i="1"/>
  <c r="V933" i="1" s="1"/>
  <c r="L939" i="1"/>
  <c r="T947" i="1"/>
  <c r="V947" i="1" s="1"/>
  <c r="G1050" i="1"/>
  <c r="H1145" i="1"/>
  <c r="T1147" i="1"/>
  <c r="P1198" i="1"/>
  <c r="N1241" i="1"/>
  <c r="T1275" i="1"/>
  <c r="M1274" i="1"/>
  <c r="M1265" i="1" s="1"/>
  <c r="M444" i="1"/>
  <c r="M443" i="1" s="1"/>
  <c r="Q493" i="1"/>
  <c r="P493" i="1"/>
  <c r="P492" i="1" s="1"/>
  <c r="H540" i="1"/>
  <c r="I557" i="1"/>
  <c r="I556" i="1" s="1"/>
  <c r="R589" i="1"/>
  <c r="I596" i="1"/>
  <c r="O596" i="1"/>
  <c r="P596" i="1"/>
  <c r="T606" i="1"/>
  <c r="V606" i="1" s="1"/>
  <c r="Q605" i="1"/>
  <c r="T618" i="1"/>
  <c r="V618" i="1" s="1"/>
  <c r="T633" i="1"/>
  <c r="V633" i="1" s="1"/>
  <c r="T637" i="1"/>
  <c r="N655" i="1"/>
  <c r="K673" i="1"/>
  <c r="K687" i="1"/>
  <c r="G688" i="1"/>
  <c r="M692" i="1"/>
  <c r="M687" i="1" s="1"/>
  <c r="M669" i="1" s="1"/>
  <c r="M666" i="1" s="1"/>
  <c r="O733" i="1"/>
  <c r="K745" i="1"/>
  <c r="T750" i="1"/>
  <c r="V750" i="1" s="1"/>
  <c r="L790" i="1"/>
  <c r="R790" i="1"/>
  <c r="T799" i="1"/>
  <c r="V799" i="1" s="1"/>
  <c r="T829" i="1"/>
  <c r="V829" i="1" s="1"/>
  <c r="P849" i="1"/>
  <c r="P848" i="1" s="1"/>
  <c r="P838" i="1" s="1"/>
  <c r="M849" i="1"/>
  <c r="M848" i="1" s="1"/>
  <c r="T857" i="1"/>
  <c r="V857" i="1" s="1"/>
  <c r="G870" i="1"/>
  <c r="K870" i="1"/>
  <c r="K865" i="1" s="1"/>
  <c r="Q870" i="1"/>
  <c r="Q865" i="1" s="1"/>
  <c r="T899" i="1"/>
  <c r="V899" i="1" s="1"/>
  <c r="T955" i="1"/>
  <c r="V955" i="1" s="1"/>
  <c r="P960" i="1"/>
  <c r="T1005" i="1"/>
  <c r="V1005" i="1" s="1"/>
  <c r="P1003" i="1"/>
  <c r="P1002" i="1" s="1"/>
  <c r="T499" i="1"/>
  <c r="O557" i="1"/>
  <c r="T600" i="1"/>
  <c r="V600" i="1" s="1"/>
  <c r="I673" i="1"/>
  <c r="S669" i="1"/>
  <c r="S666" i="1" s="1"/>
  <c r="O703" i="1"/>
  <c r="L745" i="1"/>
  <c r="N775" i="1"/>
  <c r="Q824" i="1"/>
  <c r="G838" i="1"/>
  <c r="S838" i="1"/>
  <c r="O896" i="1"/>
  <c r="H1184" i="1"/>
  <c r="N419" i="1"/>
  <c r="L386" i="1"/>
  <c r="K540" i="1"/>
  <c r="K492" i="1" s="1"/>
  <c r="L541" i="1"/>
  <c r="L540" i="1" s="1"/>
  <c r="T554" i="1"/>
  <c r="V554" i="1" s="1"/>
  <c r="L557" i="1"/>
  <c r="R557" i="1"/>
  <c r="T580" i="1"/>
  <c r="V580" i="1" s="1"/>
  <c r="K596" i="1"/>
  <c r="Q596" i="1"/>
  <c r="T599" i="1"/>
  <c r="V599" i="1" s="1"/>
  <c r="T644" i="1"/>
  <c r="V644" i="1" s="1"/>
  <c r="P673" i="1"/>
  <c r="P681" i="1"/>
  <c r="I692" i="1"/>
  <c r="I687" i="1" s="1"/>
  <c r="H733" i="1"/>
  <c r="K762" i="1"/>
  <c r="Q762" i="1"/>
  <c r="I775" i="1"/>
  <c r="O775" i="1"/>
  <c r="M790" i="1"/>
  <c r="T795" i="1"/>
  <c r="V795" i="1" s="1"/>
  <c r="P790" i="1"/>
  <c r="O870" i="1"/>
  <c r="O865" i="1" s="1"/>
  <c r="T898" i="1"/>
  <c r="G896" i="1"/>
  <c r="T915" i="1"/>
  <c r="V915" i="1" s="1"/>
  <c r="I906" i="1"/>
  <c r="I896" i="1" s="1"/>
  <c r="R942" i="1"/>
  <c r="R917" i="1" s="1"/>
  <c r="R916" i="1" s="1"/>
  <c r="T952" i="1"/>
  <c r="V952" i="1" s="1"/>
  <c r="T953" i="1"/>
  <c r="V953" i="1" s="1"/>
  <c r="S1198" i="1"/>
  <c r="T1221" i="1"/>
  <c r="V1221" i="1" s="1"/>
  <c r="K1219" i="1"/>
  <c r="K1218" i="1" s="1"/>
  <c r="K1217" i="1" s="1"/>
  <c r="P1352" i="1"/>
  <c r="T1354" i="1"/>
  <c r="V1354" i="1" s="1"/>
  <c r="T447" i="1"/>
  <c r="V447" i="1" s="1"/>
  <c r="S444" i="1"/>
  <c r="S443" i="1" s="1"/>
  <c r="T495" i="1"/>
  <c r="V495" i="1" s="1"/>
  <c r="M496" i="1"/>
  <c r="M493" i="1" s="1"/>
  <c r="T542" i="1"/>
  <c r="V542" i="1" s="1"/>
  <c r="I551" i="1"/>
  <c r="I540" i="1" s="1"/>
  <c r="R540" i="1"/>
  <c r="J540" i="1"/>
  <c r="T559" i="1"/>
  <c r="V559" i="1" s="1"/>
  <c r="N557" i="1"/>
  <c r="N556" i="1" s="1"/>
  <c r="T587" i="1"/>
  <c r="T598" i="1"/>
  <c r="V598" i="1" s="1"/>
  <c r="T602" i="1"/>
  <c r="V602" i="1" s="1"/>
  <c r="P653" i="1"/>
  <c r="P655" i="1"/>
  <c r="T659" i="1"/>
  <c r="V659" i="1" s="1"/>
  <c r="T674" i="1"/>
  <c r="V674" i="1" s="1"/>
  <c r="T680" i="1"/>
  <c r="V680" i="1" s="1"/>
  <c r="H681" i="1"/>
  <c r="H692" i="1"/>
  <c r="H687" i="1" s="1"/>
  <c r="N692" i="1"/>
  <c r="N687" i="1" s="1"/>
  <c r="G703" i="1"/>
  <c r="T718" i="1"/>
  <c r="V718" i="1" s="1"/>
  <c r="T729" i="1"/>
  <c r="V729" i="1" s="1"/>
  <c r="K733" i="1"/>
  <c r="R733" i="1"/>
  <c r="N745" i="1"/>
  <c r="T785" i="1"/>
  <c r="V785" i="1" s="1"/>
  <c r="H790" i="1"/>
  <c r="N790" i="1"/>
  <c r="I790" i="1"/>
  <c r="O790" i="1"/>
  <c r="H808" i="1"/>
  <c r="T850" i="1"/>
  <c r="V850" i="1" s="1"/>
  <c r="T852" i="1"/>
  <c r="V852" i="1" s="1"/>
  <c r="H896" i="1"/>
  <c r="T1066" i="1"/>
  <c r="J1065" i="1"/>
  <c r="J1112" i="1"/>
  <c r="P1112" i="1"/>
  <c r="T932" i="1"/>
  <c r="V932" i="1" s="1"/>
  <c r="R950" i="1"/>
  <c r="Q950" i="1"/>
  <c r="K960" i="1"/>
  <c r="T963" i="1"/>
  <c r="V963" i="1" s="1"/>
  <c r="Q960" i="1"/>
  <c r="J978" i="1"/>
  <c r="R978" i="1"/>
  <c r="M991" i="1"/>
  <c r="N1018" i="1"/>
  <c r="G1036" i="1"/>
  <c r="M1036" i="1"/>
  <c r="S1036" i="1"/>
  <c r="J1036" i="1"/>
  <c r="P1036" i="1"/>
  <c r="I1050" i="1"/>
  <c r="H1050" i="1"/>
  <c r="K1059" i="1"/>
  <c r="Q1059" i="1"/>
  <c r="K1074" i="1"/>
  <c r="T1082" i="1"/>
  <c r="V1082" i="1" s="1"/>
  <c r="J1131" i="1"/>
  <c r="O1175" i="1"/>
  <c r="G1175" i="1"/>
  <c r="P1184" i="1"/>
  <c r="M1184" i="1"/>
  <c r="M1198" i="1"/>
  <c r="N1219" i="1"/>
  <c r="N1218" i="1" s="1"/>
  <c r="I1218" i="1"/>
  <c r="I1217" i="1" s="1"/>
  <c r="M1241" i="1"/>
  <c r="J1249" i="1"/>
  <c r="L1254" i="1"/>
  <c r="L1249" i="1" s="1"/>
  <c r="R1254" i="1"/>
  <c r="R1249" i="1" s="1"/>
  <c r="P1265" i="1"/>
  <c r="T1280" i="1"/>
  <c r="M1282" i="1"/>
  <c r="S1282" i="1"/>
  <c r="K1328" i="1"/>
  <c r="K1314" i="1" s="1"/>
  <c r="Q1342" i="1"/>
  <c r="P1384" i="1"/>
  <c r="P1370" i="1" s="1"/>
  <c r="N991" i="1"/>
  <c r="H1036" i="1"/>
  <c r="R1131" i="1"/>
  <c r="S1131" i="1"/>
  <c r="S1095" i="1" s="1"/>
  <c r="T1164" i="1"/>
  <c r="V1164" i="1" s="1"/>
  <c r="H1175" i="1"/>
  <c r="K1184" i="1"/>
  <c r="Q1184" i="1"/>
  <c r="T1191" i="1"/>
  <c r="V1191" i="1" s="1"/>
  <c r="H1218" i="1"/>
  <c r="H1217" i="1" s="1"/>
  <c r="P1218" i="1"/>
  <c r="G1254" i="1"/>
  <c r="T1260" i="1"/>
  <c r="V1260" i="1" s="1"/>
  <c r="L1299" i="1"/>
  <c r="M1314" i="1"/>
  <c r="S1314" i="1"/>
  <c r="Q1370" i="1"/>
  <c r="T920" i="1"/>
  <c r="V920" i="1" s="1"/>
  <c r="S917" i="1"/>
  <c r="S916" i="1" s="1"/>
  <c r="O942" i="1"/>
  <c r="T949" i="1"/>
  <c r="V949" i="1" s="1"/>
  <c r="T967" i="1"/>
  <c r="V967" i="1" s="1"/>
  <c r="T983" i="1"/>
  <c r="V983" i="1" s="1"/>
  <c r="R1002" i="1"/>
  <c r="R990" i="1" s="1"/>
  <c r="N1002" i="1"/>
  <c r="P1018" i="1"/>
  <c r="T1038" i="1"/>
  <c r="K1036" i="1"/>
  <c r="K1050" i="1"/>
  <c r="R1050" i="1"/>
  <c r="L1069" i="1"/>
  <c r="O1074" i="1"/>
  <c r="O1069" i="1" s="1"/>
  <c r="Q1079" i="1"/>
  <c r="H1096" i="1"/>
  <c r="K1171" i="1"/>
  <c r="K1161" i="1" s="1"/>
  <c r="K1175" i="1"/>
  <c r="L1184" i="1"/>
  <c r="R1184" i="1"/>
  <c r="T1200" i="1"/>
  <c r="V1200" i="1" s="1"/>
  <c r="R1198" i="1"/>
  <c r="T1216" i="1"/>
  <c r="V1216" i="1" s="1"/>
  <c r="Q1230" i="1"/>
  <c r="Q1229" i="1" s="1"/>
  <c r="T1243" i="1"/>
  <c r="V1243" i="1" s="1"/>
  <c r="T1255" i="1"/>
  <c r="V1255" i="1" s="1"/>
  <c r="R1265" i="1"/>
  <c r="K1282" i="1"/>
  <c r="Q1282" i="1"/>
  <c r="I1300" i="1"/>
  <c r="I1299" i="1" s="1"/>
  <c r="G1315" i="1"/>
  <c r="M1342" i="1"/>
  <c r="N1342" i="1"/>
  <c r="O1342" i="1"/>
  <c r="T1024" i="1"/>
  <c r="V1024" i="1" s="1"/>
  <c r="T1030" i="1"/>
  <c r="V1030" i="1" s="1"/>
  <c r="L1050" i="1"/>
  <c r="O1059" i="1"/>
  <c r="P1074" i="1"/>
  <c r="P1069" i="1" s="1"/>
  <c r="T1081" i="1"/>
  <c r="V1081" i="1" s="1"/>
  <c r="T1104" i="1"/>
  <c r="V1104" i="1" s="1"/>
  <c r="N1112" i="1"/>
  <c r="T1113" i="1"/>
  <c r="V1113" i="1" s="1"/>
  <c r="R1112" i="1"/>
  <c r="O1131" i="1"/>
  <c r="M1150" i="1"/>
  <c r="L1161" i="1"/>
  <c r="T1169" i="1"/>
  <c r="V1169" i="1" s="1"/>
  <c r="T1179" i="1"/>
  <c r="V1179" i="1" s="1"/>
  <c r="G1184" i="1"/>
  <c r="T1189" i="1"/>
  <c r="V1189" i="1" s="1"/>
  <c r="H1198" i="1"/>
  <c r="N1198" i="1"/>
  <c r="J1219" i="1"/>
  <c r="J1218" i="1" s="1"/>
  <c r="L1218" i="1"/>
  <c r="R1218" i="1"/>
  <c r="G1230" i="1"/>
  <c r="G1229" i="1" s="1"/>
  <c r="T1244" i="1"/>
  <c r="V1244" i="1" s="1"/>
  <c r="M1249" i="1"/>
  <c r="I1249" i="1"/>
  <c r="O1249" i="1"/>
  <c r="P1282" i="1"/>
  <c r="H1282" i="1"/>
  <c r="N1282" i="1"/>
  <c r="T1310" i="1"/>
  <c r="V1310" i="1" s="1"/>
  <c r="T1325" i="1"/>
  <c r="V1325" i="1" s="1"/>
  <c r="Q1314" i="1"/>
  <c r="O1370" i="1"/>
  <c r="T931" i="1"/>
  <c r="V931" i="1" s="1"/>
  <c r="I939" i="1"/>
  <c r="J950" i="1"/>
  <c r="I978" i="1"/>
  <c r="T985" i="1"/>
  <c r="V985" i="1" s="1"/>
  <c r="O990" i="1"/>
  <c r="Q991" i="1"/>
  <c r="N1036" i="1"/>
  <c r="I1059" i="1"/>
  <c r="H1059" i="1"/>
  <c r="Q1074" i="1"/>
  <c r="M1069" i="1"/>
  <c r="T1124" i="1"/>
  <c r="V1124" i="1" s="1"/>
  <c r="T1156" i="1"/>
  <c r="V1156" i="1" s="1"/>
  <c r="N1161" i="1"/>
  <c r="M1175" i="1"/>
  <c r="N1184" i="1"/>
  <c r="O1198" i="1"/>
  <c r="J1241" i="1"/>
  <c r="H1249" i="1"/>
  <c r="N1249" i="1"/>
  <c r="N1265" i="1"/>
  <c r="L1265" i="1"/>
  <c r="J1282" i="1"/>
  <c r="T1308" i="1"/>
  <c r="V1308" i="1" s="1"/>
  <c r="J1314" i="1"/>
  <c r="P1314" i="1"/>
  <c r="T1330" i="1"/>
  <c r="V1330" i="1" s="1"/>
  <c r="T1359" i="1"/>
  <c r="V1359" i="1" s="1"/>
  <c r="I1370" i="1"/>
  <c r="O100" i="1"/>
  <c r="O99" i="1" s="1"/>
  <c r="K62" i="1"/>
  <c r="T295" i="1"/>
  <c r="K52" i="1"/>
  <c r="K82" i="1"/>
  <c r="T597" i="1"/>
  <c r="V597" i="1" s="1"/>
  <c r="H1371" i="1"/>
  <c r="H1370" i="1" s="1"/>
  <c r="T1374" i="1"/>
  <c r="V1374" i="1" s="1"/>
  <c r="T575" i="1"/>
  <c r="V575" i="1" s="1"/>
  <c r="J573" i="1"/>
  <c r="T1181" i="1"/>
  <c r="Q1180" i="1"/>
  <c r="Q1175" i="1" s="1"/>
  <c r="T86" i="1"/>
  <c r="T85" i="1" s="1"/>
  <c r="J100" i="1"/>
  <c r="J99" i="1" s="1"/>
  <c r="I100" i="1"/>
  <c r="I99" i="1" s="1"/>
  <c r="T113" i="1"/>
  <c r="T121" i="1"/>
  <c r="T119" i="1" s="1"/>
  <c r="L167" i="1"/>
  <c r="L112" i="1" s="1"/>
  <c r="L111" i="1" s="1"/>
  <c r="T192" i="1"/>
  <c r="T189" i="1" s="1"/>
  <c r="T227" i="1"/>
  <c r="M241" i="1"/>
  <c r="M235" i="1" s="1"/>
  <c r="T252" i="1"/>
  <c r="H291" i="1"/>
  <c r="N292" i="1"/>
  <c r="T327" i="1"/>
  <c r="T340" i="1"/>
  <c r="N339" i="1"/>
  <c r="S363" i="1"/>
  <c r="T392" i="1"/>
  <c r="V392" i="1" s="1"/>
  <c r="N387" i="1"/>
  <c r="S386" i="1"/>
  <c r="T543" i="1"/>
  <c r="M557" i="1"/>
  <c r="M556" i="1" s="1"/>
  <c r="T576" i="1"/>
  <c r="V576" i="1" s="1"/>
  <c r="L589" i="1"/>
  <c r="T595" i="1"/>
  <c r="V595" i="1" s="1"/>
  <c r="Q251" i="1"/>
  <c r="H264" i="1"/>
  <c r="J76" i="1"/>
  <c r="J72" i="1" s="1"/>
  <c r="P112" i="1"/>
  <c r="P111" i="1" s="1"/>
  <c r="T174" i="1"/>
  <c r="T173" i="1" s="1"/>
  <c r="T217" i="1"/>
  <c r="T213" i="1" s="1"/>
  <c r="T222" i="1"/>
  <c r="T218" i="1" s="1"/>
  <c r="T230" i="1"/>
  <c r="H241" i="1"/>
  <c r="H235" i="1" s="1"/>
  <c r="T260" i="1"/>
  <c r="L291" i="1"/>
  <c r="R291" i="1"/>
  <c r="N341" i="1"/>
  <c r="T342" i="1"/>
  <c r="M363" i="1"/>
  <c r="T364" i="1"/>
  <c r="T380" i="1"/>
  <c r="N379" i="1"/>
  <c r="N378" i="1" s="1"/>
  <c r="T434" i="1"/>
  <c r="T553" i="1"/>
  <c r="M551" i="1"/>
  <c r="Q589" i="1"/>
  <c r="T590" i="1"/>
  <c r="V590" i="1" s="1"/>
  <c r="T601" i="1"/>
  <c r="V601" i="1" s="1"/>
  <c r="T603" i="1"/>
  <c r="V603" i="1" s="1"/>
  <c r="T74" i="1"/>
  <c r="T73" i="1" s="1"/>
  <c r="T72" i="1" s="1"/>
  <c r="T84" i="1"/>
  <c r="T83" i="1" s="1"/>
  <c r="K100" i="1"/>
  <c r="K99" i="1" s="1"/>
  <c r="T197" i="1"/>
  <c r="I223" i="1"/>
  <c r="K236" i="1"/>
  <c r="Q235" i="1"/>
  <c r="T248" i="1"/>
  <c r="N329" i="1"/>
  <c r="T330" i="1"/>
  <c r="T348" i="1"/>
  <c r="J493" i="1"/>
  <c r="T521" i="1"/>
  <c r="V521" i="1" s="1"/>
  <c r="H512" i="1"/>
  <c r="T137" i="1"/>
  <c r="T196" i="1"/>
  <c r="K201" i="1"/>
  <c r="T257" i="1"/>
  <c r="N354" i="1"/>
  <c r="T355" i="1"/>
  <c r="T511" i="1"/>
  <c r="V511" i="1" s="1"/>
  <c r="J500" i="1"/>
  <c r="L703" i="1"/>
  <c r="I256" i="1"/>
  <c r="O256" i="1"/>
  <c r="M264" i="1"/>
  <c r="N280" i="1"/>
  <c r="N279" i="1" s="1"/>
  <c r="N263" i="1" s="1"/>
  <c r="N262" i="1" s="1"/>
  <c r="T289" i="1"/>
  <c r="N295" i="1"/>
  <c r="N332" i="1"/>
  <c r="T333" i="1"/>
  <c r="S464" i="1"/>
  <c r="T494" i="1"/>
  <c r="V494" i="1" s="1"/>
  <c r="J512" i="1"/>
  <c r="T514" i="1"/>
  <c r="T528" i="1"/>
  <c r="T562" i="1"/>
  <c r="V562" i="1" s="1"/>
  <c r="J596" i="1"/>
  <c r="N348" i="1"/>
  <c r="N364" i="1"/>
  <c r="N368" i="1"/>
  <c r="N434" i="1"/>
  <c r="N438" i="1"/>
  <c r="O541" i="1"/>
  <c r="O540" i="1" s="1"/>
  <c r="O492" i="1" s="1"/>
  <c r="T561" i="1"/>
  <c r="V561" i="1" s="1"/>
  <c r="Q573" i="1"/>
  <c r="T592" i="1"/>
  <c r="V592" i="1" s="1"/>
  <c r="P605" i="1"/>
  <c r="R625" i="1"/>
  <c r="J758" i="1"/>
  <c r="T761" i="1"/>
  <c r="K918" i="1"/>
  <c r="T923" i="1"/>
  <c r="V923" i="1" s="1"/>
  <c r="T1061" i="1"/>
  <c r="N1060" i="1"/>
  <c r="N1059" i="1" s="1"/>
  <c r="T368" i="1"/>
  <c r="N393" i="1"/>
  <c r="T393" i="1" s="1"/>
  <c r="V393" i="1" s="1"/>
  <c r="T438" i="1"/>
  <c r="O472" i="1"/>
  <c r="O464" i="1" s="1"/>
  <c r="H493" i="1"/>
  <c r="N493" i="1"/>
  <c r="J605" i="1"/>
  <c r="J681" i="1"/>
  <c r="S703" i="1"/>
  <c r="G984" i="1"/>
  <c r="N406" i="1"/>
  <c r="T421" i="1"/>
  <c r="H465" i="1"/>
  <c r="H464" i="1" s="1"/>
  <c r="P557" i="1"/>
  <c r="P556" i="1" s="1"/>
  <c r="T591" i="1"/>
  <c r="V591" i="1" s="1"/>
  <c r="H596" i="1"/>
  <c r="T613" i="1"/>
  <c r="H625" i="1"/>
  <c r="H624" i="1" s="1"/>
  <c r="L655" i="1"/>
  <c r="R655" i="1"/>
  <c r="I670" i="1"/>
  <c r="T671" i="1"/>
  <c r="H703" i="1"/>
  <c r="T719" i="1"/>
  <c r="V719" i="1" s="1"/>
  <c r="T604" i="1"/>
  <c r="V604" i="1" s="1"/>
  <c r="L605" i="1"/>
  <c r="R605" i="1"/>
  <c r="T717" i="1"/>
  <c r="V717" i="1" s="1"/>
  <c r="T980" i="1"/>
  <c r="V980" i="1" s="1"/>
  <c r="T1000" i="1"/>
  <c r="K996" i="1"/>
  <c r="K991" i="1" s="1"/>
  <c r="K990" i="1" s="1"/>
  <c r="L363" i="1"/>
  <c r="T433" i="1"/>
  <c r="T505" i="1"/>
  <c r="V505" i="1" s="1"/>
  <c r="I500" i="1"/>
  <c r="M541" i="1"/>
  <c r="S540" i="1"/>
  <c r="S492" i="1" s="1"/>
  <c r="T564" i="1"/>
  <c r="V564" i="1" s="1"/>
  <c r="J567" i="1"/>
  <c r="T572" i="1"/>
  <c r="O573" i="1"/>
  <c r="T574" i="1"/>
  <c r="V574" i="1" s="1"/>
  <c r="H589" i="1"/>
  <c r="T639" i="1"/>
  <c r="J638" i="1"/>
  <c r="J625" i="1" s="1"/>
  <c r="J624" i="1" s="1"/>
  <c r="T661" i="1"/>
  <c r="R673" i="1"/>
  <c r="R669" i="1" s="1"/>
  <c r="R666" i="1" s="1"/>
  <c r="Q715" i="1"/>
  <c r="Q703" i="1" s="1"/>
  <c r="H754" i="1"/>
  <c r="H745" i="1" s="1"/>
  <c r="T757" i="1"/>
  <c r="J754" i="1"/>
  <c r="I762" i="1"/>
  <c r="O762" i="1"/>
  <c r="J824" i="1"/>
  <c r="T836" i="1"/>
  <c r="V836" i="1" s="1"/>
  <c r="T839" i="1"/>
  <c r="V839" i="1" s="1"/>
  <c r="K838" i="1"/>
  <c r="T842" i="1"/>
  <c r="V842" i="1" s="1"/>
  <c r="M840" i="1"/>
  <c r="M865" i="1"/>
  <c r="T909" i="1"/>
  <c r="V909" i="1" s="1"/>
  <c r="M906" i="1"/>
  <c r="M896" i="1" s="1"/>
  <c r="T921" i="1"/>
  <c r="V921" i="1" s="1"/>
  <c r="J918" i="1"/>
  <c r="M978" i="1"/>
  <c r="T1091" i="1"/>
  <c r="V1091" i="1" s="1"/>
  <c r="J1087" i="1"/>
  <c r="T951" i="1"/>
  <c r="V951" i="1" s="1"/>
  <c r="H950" i="1"/>
  <c r="T954" i="1"/>
  <c r="V954" i="1" s="1"/>
  <c r="T1223" i="1"/>
  <c r="V1223" i="1" s="1"/>
  <c r="O1219" i="1"/>
  <c r="O1218" i="1" s="1"/>
  <c r="O1217" i="1" s="1"/>
  <c r="K642" i="1"/>
  <c r="K625" i="1" s="1"/>
  <c r="T676" i="1"/>
  <c r="V676" i="1" s="1"/>
  <c r="I728" i="1"/>
  <c r="I703" i="1" s="1"/>
  <c r="T804" i="1"/>
  <c r="I819" i="1"/>
  <c r="O819" i="1"/>
  <c r="T843" i="1"/>
  <c r="V843" i="1" s="1"/>
  <c r="R849" i="1"/>
  <c r="R848" i="1" s="1"/>
  <c r="R838" i="1" s="1"/>
  <c r="T856" i="1"/>
  <c r="V856" i="1" s="1"/>
  <c r="T930" i="1"/>
  <c r="V930" i="1" s="1"/>
  <c r="I918" i="1"/>
  <c r="T940" i="1"/>
  <c r="T957" i="1"/>
  <c r="V957" i="1" s="1"/>
  <c r="T974" i="1"/>
  <c r="M970" i="1"/>
  <c r="T982" i="1"/>
  <c r="V982" i="1" s="1"/>
  <c r="T1039" i="1"/>
  <c r="V1039" i="1" s="1"/>
  <c r="T678" i="1"/>
  <c r="V678" i="1" s="1"/>
  <c r="T682" i="1"/>
  <c r="T696" i="1"/>
  <c r="J728" i="1"/>
  <c r="J703" i="1" s="1"/>
  <c r="T746" i="1"/>
  <c r="V746" i="1" s="1"/>
  <c r="H769" i="1"/>
  <c r="H762" i="1" s="1"/>
  <c r="T828" i="1"/>
  <c r="V828" i="1" s="1"/>
  <c r="T878" i="1"/>
  <c r="V878" i="1" s="1"/>
  <c r="L1036" i="1"/>
  <c r="R1036" i="1"/>
  <c r="T1064" i="1"/>
  <c r="J1062" i="1"/>
  <c r="K661" i="1"/>
  <c r="K655" i="1" s="1"/>
  <c r="L673" i="1"/>
  <c r="P703" i="1"/>
  <c r="K715" i="1"/>
  <c r="K703" i="1" s="1"/>
  <c r="G733" i="1"/>
  <c r="T735" i="1"/>
  <c r="I745" i="1"/>
  <c r="O745" i="1"/>
  <c r="M762" i="1"/>
  <c r="S762" i="1"/>
  <c r="T770" i="1"/>
  <c r="K775" i="1"/>
  <c r="T841" i="1"/>
  <c r="T853" i="1"/>
  <c r="V853" i="1" s="1"/>
  <c r="T907" i="1"/>
  <c r="V907" i="1" s="1"/>
  <c r="O918" i="1"/>
  <c r="G917" i="1"/>
  <c r="G916" i="1" s="1"/>
  <c r="S1002" i="1"/>
  <c r="J1018" i="1"/>
  <c r="T1056" i="1"/>
  <c r="J1055" i="1"/>
  <c r="J1050" i="1" s="1"/>
  <c r="T851" i="1"/>
  <c r="V851" i="1" s="1"/>
  <c r="R871" i="1"/>
  <c r="R870" i="1" s="1"/>
  <c r="R865" i="1" s="1"/>
  <c r="T895" i="1"/>
  <c r="Q906" i="1"/>
  <c r="Q896" i="1" s="1"/>
  <c r="M918" i="1"/>
  <c r="T938" i="1"/>
  <c r="V938" i="1" s="1"/>
  <c r="T966" i="1"/>
  <c r="V966" i="1" s="1"/>
  <c r="K978" i="1"/>
  <c r="T1014" i="1"/>
  <c r="T1028" i="1"/>
  <c r="M1059" i="1"/>
  <c r="H1070" i="1"/>
  <c r="T1071" i="1"/>
  <c r="S1069" i="1"/>
  <c r="T1105" i="1"/>
  <c r="V1105" i="1" s="1"/>
  <c r="H1103" i="1"/>
  <c r="L1112" i="1"/>
  <c r="T1119" i="1"/>
  <c r="T1220" i="1"/>
  <c r="T862" i="1"/>
  <c r="V862" i="1" s="1"/>
  <c r="H870" i="1"/>
  <c r="H865" i="1" s="1"/>
  <c r="N870" i="1"/>
  <c r="N865" i="1" s="1"/>
  <c r="T879" i="1"/>
  <c r="V879" i="1" s="1"/>
  <c r="R896" i="1"/>
  <c r="T944" i="1"/>
  <c r="V944" i="1" s="1"/>
  <c r="L1002" i="1"/>
  <c r="T1007" i="1"/>
  <c r="T1015" i="1"/>
  <c r="V1015" i="1" s="1"/>
  <c r="M1051" i="1"/>
  <c r="M1050" i="1" s="1"/>
  <c r="T1052" i="1"/>
  <c r="T1075" i="1"/>
  <c r="T961" i="1"/>
  <c r="T979" i="1"/>
  <c r="T1021" i="1"/>
  <c r="V1021" i="1" s="1"/>
  <c r="Q1020" i="1"/>
  <c r="Q1019" i="1" s="1"/>
  <c r="Q1018" i="1" s="1"/>
  <c r="P1059" i="1"/>
  <c r="T1102" i="1"/>
  <c r="V1102" i="1" s="1"/>
  <c r="T1177" i="1"/>
  <c r="K1241" i="1"/>
  <c r="T1246" i="1"/>
  <c r="V1246" i="1" s="1"/>
  <c r="T943" i="1"/>
  <c r="H942" i="1"/>
  <c r="J1002" i="1"/>
  <c r="J990" i="1" s="1"/>
  <c r="Q1011" i="1"/>
  <c r="H1018" i="1"/>
  <c r="T1099" i="1"/>
  <c r="V1099" i="1" s="1"/>
  <c r="M1096" i="1"/>
  <c r="Q1161" i="1"/>
  <c r="L1211" i="1"/>
  <c r="L1198" i="1" s="1"/>
  <c r="T1213" i="1"/>
  <c r="H1241" i="1"/>
  <c r="T1245" i="1"/>
  <c r="V1245" i="1" s="1"/>
  <c r="P1241" i="1"/>
  <c r="T1273" i="1"/>
  <c r="V1273" i="1" s="1"/>
  <c r="H1269" i="1"/>
  <c r="H1265" i="1" s="1"/>
  <c r="T866" i="1"/>
  <c r="V866" i="1" s="1"/>
  <c r="N942" i="1"/>
  <c r="T1022" i="1"/>
  <c r="V1022" i="1" s="1"/>
  <c r="M1020" i="1"/>
  <c r="M1019" i="1" s="1"/>
  <c r="M1018" i="1" s="1"/>
  <c r="T1047" i="1"/>
  <c r="R1069" i="1"/>
  <c r="T1080" i="1"/>
  <c r="T1093" i="1"/>
  <c r="K1087" i="1"/>
  <c r="L1138" i="1"/>
  <c r="L1132" i="1" s="1"/>
  <c r="L1131" i="1" s="1"/>
  <c r="T1139" i="1"/>
  <c r="T1186" i="1"/>
  <c r="V1186" i="1" s="1"/>
  <c r="K1198" i="1"/>
  <c r="Q1198" i="1"/>
  <c r="H1074" i="1"/>
  <c r="M1103" i="1"/>
  <c r="M1116" i="1"/>
  <c r="M1112" i="1" s="1"/>
  <c r="P1131" i="1"/>
  <c r="I1184" i="1"/>
  <c r="T1228" i="1"/>
  <c r="T1363" i="1"/>
  <c r="T1167" i="1"/>
  <c r="H1342" i="1"/>
  <c r="T1140" i="1"/>
  <c r="V1140" i="1" s="1"/>
  <c r="Q1150" i="1"/>
  <c r="Q1131" i="1" s="1"/>
  <c r="J1175" i="1"/>
  <c r="P1175" i="1"/>
  <c r="T1187" i="1"/>
  <c r="V1187" i="1" s="1"/>
  <c r="T1188" i="1"/>
  <c r="V1188" i="1" s="1"/>
  <c r="T1194" i="1"/>
  <c r="V1194" i="1" s="1"/>
  <c r="R1300" i="1"/>
  <c r="R1299" i="1" s="1"/>
  <c r="T1356" i="1"/>
  <c r="V1356" i="1" s="1"/>
  <c r="L1352" i="1"/>
  <c r="L1342" i="1" s="1"/>
  <c r="N1382" i="1"/>
  <c r="N1370" i="1" s="1"/>
  <c r="T1383" i="1"/>
  <c r="T1155" i="1"/>
  <c r="G1161" i="1"/>
  <c r="T1248" i="1"/>
  <c r="V1248" i="1" s="1"/>
  <c r="T1318" i="1"/>
  <c r="H1315" i="1"/>
  <c r="H1314" i="1" s="1"/>
  <c r="M1161" i="1"/>
  <c r="T1236" i="1"/>
  <c r="I1241" i="1"/>
  <c r="K1265" i="1"/>
  <c r="T1266" i="1"/>
  <c r="L1328" i="1"/>
  <c r="L1314" i="1" s="1"/>
  <c r="T1332" i="1"/>
  <c r="V1332" i="1" s="1"/>
  <c r="R1343" i="1"/>
  <c r="R1342" i="1" s="1"/>
  <c r="T1346" i="1"/>
  <c r="T1353" i="1"/>
  <c r="V1353" i="1" s="1"/>
  <c r="J1269" i="1"/>
  <c r="J1265" i="1" s="1"/>
  <c r="T1301" i="1"/>
  <c r="T1284" i="1"/>
  <c r="G3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4" i="1"/>
  <c r="C855" i="1"/>
  <c r="C856" i="1"/>
  <c r="C857" i="1"/>
  <c r="C858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9" i="1"/>
  <c r="C960" i="1"/>
  <c r="C961" i="1"/>
  <c r="C962" i="1"/>
  <c r="C963" i="1"/>
  <c r="C965" i="1"/>
  <c r="C966" i="1"/>
  <c r="C967" i="1"/>
  <c r="C968" i="1"/>
  <c r="C969" i="1"/>
  <c r="C970" i="1"/>
  <c r="C971" i="1"/>
  <c r="C972" i="1"/>
  <c r="C973" i="1"/>
  <c r="C974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3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596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7" i="1"/>
  <c r="C308" i="1"/>
  <c r="C310" i="1"/>
  <c r="C311" i="1"/>
  <c r="C312" i="1"/>
  <c r="C313" i="1"/>
  <c r="C314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92" i="1"/>
  <c r="C493" i="1"/>
  <c r="C494" i="1"/>
  <c r="C495" i="1"/>
  <c r="C496" i="1"/>
  <c r="C497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9" i="1"/>
  <c r="C530" i="1"/>
  <c r="C531" i="1"/>
  <c r="C532" i="1"/>
  <c r="C533" i="1"/>
  <c r="C534" i="1"/>
  <c r="C535" i="1"/>
  <c r="C536" i="1"/>
  <c r="C537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20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9" i="1"/>
  <c r="C200" i="1"/>
  <c r="C51" i="1"/>
  <c r="O989" i="1" l="1"/>
  <c r="O984" i="1" s="1"/>
  <c r="M624" i="1"/>
  <c r="Q624" i="1"/>
  <c r="M540" i="1"/>
  <c r="M492" i="1" s="1"/>
  <c r="M442" i="1" s="1"/>
  <c r="L343" i="1"/>
  <c r="L290" i="1" s="1"/>
  <c r="I279" i="1"/>
  <c r="R989" i="1"/>
  <c r="R984" i="1" s="1"/>
  <c r="P442" i="1"/>
  <c r="O1035" i="1"/>
  <c r="J989" i="1"/>
  <c r="J984" i="1" s="1"/>
  <c r="O917" i="1"/>
  <c r="O916" i="1" s="1"/>
  <c r="Q1217" i="1"/>
  <c r="M990" i="1"/>
  <c r="I990" i="1"/>
  <c r="L917" i="1"/>
  <c r="L916" i="1" s="1"/>
  <c r="K989" i="1"/>
  <c r="K984" i="1" s="1"/>
  <c r="L624" i="1"/>
  <c r="P784" i="1"/>
  <c r="T1269" i="1"/>
  <c r="S343" i="1"/>
  <c r="S290" i="1" s="1"/>
  <c r="S261" i="1" s="1"/>
  <c r="L1217" i="1"/>
  <c r="T1371" i="1"/>
  <c r="V1371" i="1" s="1"/>
  <c r="M784" i="1"/>
  <c r="L1035" i="1"/>
  <c r="L1034" i="1" s="1"/>
  <c r="G687" i="1"/>
  <c r="G669" i="1" s="1"/>
  <c r="G666" i="1" s="1"/>
  <c r="N1035" i="1"/>
  <c r="N1034" i="1" s="1"/>
  <c r="V740" i="1"/>
  <c r="N784" i="1"/>
  <c r="N744" i="1" s="1"/>
  <c r="H990" i="1"/>
  <c r="T614" i="1"/>
  <c r="T251" i="1"/>
  <c r="I784" i="1"/>
  <c r="N703" i="1"/>
  <c r="T1003" i="1"/>
  <c r="V1003" i="1" s="1"/>
  <c r="P343" i="1"/>
  <c r="P290" i="1" s="1"/>
  <c r="P261" i="1" s="1"/>
  <c r="T472" i="1"/>
  <c r="T464" i="1" s="1"/>
  <c r="V464" i="1" s="1"/>
  <c r="H1035" i="1"/>
  <c r="H1034" i="1" s="1"/>
  <c r="N990" i="1"/>
  <c r="N989" i="1" s="1"/>
  <c r="N984" i="1" s="1"/>
  <c r="P990" i="1"/>
  <c r="P989" i="1" s="1"/>
  <c r="P984" i="1" s="1"/>
  <c r="N1217" i="1"/>
  <c r="R784" i="1"/>
  <c r="L263" i="1"/>
  <c r="L262" i="1" s="1"/>
  <c r="O1034" i="1"/>
  <c r="H290" i="1"/>
  <c r="J111" i="1"/>
  <c r="T1254" i="1"/>
  <c r="V1254" i="1" s="1"/>
  <c r="L556" i="1"/>
  <c r="P625" i="1"/>
  <c r="P624" i="1" s="1"/>
  <c r="L492" i="1"/>
  <c r="L442" i="1" s="1"/>
  <c r="T880" i="1"/>
  <c r="V880" i="1" s="1"/>
  <c r="J1059" i="1"/>
  <c r="S51" i="1"/>
  <c r="O51" i="1"/>
  <c r="R1217" i="1"/>
  <c r="R1095" i="1"/>
  <c r="I343" i="1"/>
  <c r="I290" i="1" s="1"/>
  <c r="P1095" i="1"/>
  <c r="M989" i="1"/>
  <c r="M984" i="1" s="1"/>
  <c r="T82" i="1"/>
  <c r="G1035" i="1"/>
  <c r="Q1035" i="1"/>
  <c r="Q1034" i="1" s="1"/>
  <c r="T609" i="1"/>
  <c r="V609" i="1" s="1"/>
  <c r="K442" i="1"/>
  <c r="S624" i="1"/>
  <c r="J669" i="1"/>
  <c r="J666" i="1" s="1"/>
  <c r="J665" i="1" s="1"/>
  <c r="P1342" i="1"/>
  <c r="J343" i="1"/>
  <c r="T1328" i="1"/>
  <c r="V1328" i="1" s="1"/>
  <c r="T728" i="1"/>
  <c r="V728" i="1" s="1"/>
  <c r="T241" i="1"/>
  <c r="T235" i="1" s="1"/>
  <c r="N669" i="1"/>
  <c r="N666" i="1" s="1"/>
  <c r="O343" i="1"/>
  <c r="O290" i="1" s="1"/>
  <c r="O261" i="1" s="1"/>
  <c r="G51" i="1"/>
  <c r="S1217" i="1"/>
  <c r="K1069" i="1"/>
  <c r="I1035" i="1"/>
  <c r="H669" i="1"/>
  <c r="H666" i="1" s="1"/>
  <c r="Q51" i="1"/>
  <c r="Q784" i="1"/>
  <c r="Q744" i="1" s="1"/>
  <c r="R51" i="1"/>
  <c r="V361" i="1"/>
  <c r="I1095" i="1"/>
  <c r="S990" i="1"/>
  <c r="S989" i="1" s="1"/>
  <c r="S984" i="1" s="1"/>
  <c r="P744" i="1"/>
  <c r="K235" i="1"/>
  <c r="P1035" i="1"/>
  <c r="K343" i="1"/>
  <c r="K290" i="1" s="1"/>
  <c r="K261" i="1" s="1"/>
  <c r="V1171" i="1"/>
  <c r="J1069" i="1"/>
  <c r="T657" i="1"/>
  <c r="T656" i="1" s="1"/>
  <c r="M838" i="1"/>
  <c r="R665" i="1"/>
  <c r="M263" i="1"/>
  <c r="M262" i="1" s="1"/>
  <c r="M51" i="1"/>
  <c r="J1217" i="1"/>
  <c r="S1035" i="1"/>
  <c r="S1034" i="1" s="1"/>
  <c r="R556" i="1"/>
  <c r="J51" i="1"/>
  <c r="V348" i="1"/>
  <c r="K669" i="1"/>
  <c r="K666" i="1" s="1"/>
  <c r="Q669" i="1"/>
  <c r="Q666" i="1" s="1"/>
  <c r="Q665" i="1" s="1"/>
  <c r="J784" i="1"/>
  <c r="V345" i="1"/>
  <c r="R492" i="1"/>
  <c r="R442" i="1" s="1"/>
  <c r="V295" i="1"/>
  <c r="Q1069" i="1"/>
  <c r="M665" i="1"/>
  <c r="K1095" i="1"/>
  <c r="N624" i="1"/>
  <c r="M1131" i="1"/>
  <c r="M1095" i="1" s="1"/>
  <c r="T387" i="1"/>
  <c r="V387" i="1" s="1"/>
  <c r="L51" i="1"/>
  <c r="M1035" i="1"/>
  <c r="M1034" i="1" s="1"/>
  <c r="N1095" i="1"/>
  <c r="V316" i="1"/>
  <c r="I989" i="1"/>
  <c r="I984" i="1" s="1"/>
  <c r="K784" i="1"/>
  <c r="N917" i="1"/>
  <c r="N916" i="1" s="1"/>
  <c r="T630" i="1"/>
  <c r="V630" i="1" s="1"/>
  <c r="T809" i="1"/>
  <c r="V809" i="1" s="1"/>
  <c r="I263" i="1"/>
  <c r="I262" i="1" s="1"/>
  <c r="L990" i="1"/>
  <c r="L989" i="1" s="1"/>
  <c r="L984" i="1" s="1"/>
  <c r="J917" i="1"/>
  <c r="J916" i="1" s="1"/>
  <c r="V434" i="1"/>
  <c r="T52" i="1"/>
  <c r="Q343" i="1"/>
  <c r="Q290" i="1" s="1"/>
  <c r="Q261" i="1" s="1"/>
  <c r="P917" i="1"/>
  <c r="P916" i="1" s="1"/>
  <c r="H556" i="1"/>
  <c r="Q917" i="1"/>
  <c r="Q916" i="1" s="1"/>
  <c r="O1095" i="1"/>
  <c r="J1035" i="1"/>
  <c r="H1131" i="1"/>
  <c r="H1095" i="1" s="1"/>
  <c r="O665" i="1"/>
  <c r="T819" i="1"/>
  <c r="V819" i="1" s="1"/>
  <c r="V820" i="1"/>
  <c r="V614" i="1"/>
  <c r="T336" i="1"/>
  <c r="V336" i="1" s="1"/>
  <c r="V337" i="1"/>
  <c r="T359" i="1"/>
  <c r="V359" i="1" s="1"/>
  <c r="V360" i="1"/>
  <c r="T904" i="1"/>
  <c r="V904" i="1" s="1"/>
  <c r="V905" i="1"/>
  <c r="T1343" i="1"/>
  <c r="V1343" i="1" s="1"/>
  <c r="V1346" i="1"/>
  <c r="T1226" i="1"/>
  <c r="V1226" i="1" s="1"/>
  <c r="V1228" i="1"/>
  <c r="T1103" i="1"/>
  <c r="V1103" i="1" s="1"/>
  <c r="T1006" i="1"/>
  <c r="V1006" i="1" s="1"/>
  <c r="V1007" i="1"/>
  <c r="R1035" i="1"/>
  <c r="R1034" i="1" s="1"/>
  <c r="O784" i="1"/>
  <c r="O744" i="1" s="1"/>
  <c r="T754" i="1"/>
  <c r="V754" i="1" s="1"/>
  <c r="V757" i="1"/>
  <c r="I669" i="1"/>
  <c r="I666" i="1" s="1"/>
  <c r="I665" i="1" s="1"/>
  <c r="T530" i="1"/>
  <c r="V364" i="1"/>
  <c r="T1277" i="1"/>
  <c r="V1277" i="1" s="1"/>
  <c r="V1280" i="1"/>
  <c r="T1199" i="1"/>
  <c r="V1199" i="1" s="1"/>
  <c r="T201" i="1"/>
  <c r="T432" i="1"/>
  <c r="V432" i="1" s="1"/>
  <c r="V433" i="1"/>
  <c r="T1062" i="1"/>
  <c r="V1062" i="1" s="1"/>
  <c r="V1064" i="1"/>
  <c r="T890" i="1"/>
  <c r="V890" i="1" s="1"/>
  <c r="V895" i="1"/>
  <c r="T996" i="1"/>
  <c r="V1000" i="1"/>
  <c r="T419" i="1"/>
  <c r="V419" i="1" s="1"/>
  <c r="V421" i="1"/>
  <c r="N492" i="1"/>
  <c r="N442" i="1" s="1"/>
  <c r="T332" i="1"/>
  <c r="V332" i="1" s="1"/>
  <c r="V333" i="1"/>
  <c r="M343" i="1"/>
  <c r="M290" i="1" s="1"/>
  <c r="T1037" i="1"/>
  <c r="V1037" i="1" s="1"/>
  <c r="V1038" i="1"/>
  <c r="T1145" i="1"/>
  <c r="V1145" i="1" s="1"/>
  <c r="V1147" i="1"/>
  <c r="V465" i="1"/>
  <c r="T670" i="1"/>
  <c r="V670" i="1" s="1"/>
  <c r="V671" i="1"/>
  <c r="T1315" i="1"/>
  <c r="V1315" i="1" s="1"/>
  <c r="V1318" i="1"/>
  <c r="Q990" i="1"/>
  <c r="Q989" i="1" s="1"/>
  <c r="Q984" i="1" s="1"/>
  <c r="T734" i="1"/>
  <c r="V735" i="1"/>
  <c r="T790" i="1"/>
  <c r="V804" i="1"/>
  <c r="O556" i="1"/>
  <c r="T354" i="1"/>
  <c r="V354" i="1" s="1"/>
  <c r="V355" i="1"/>
  <c r="T341" i="1"/>
  <c r="V341" i="1" s="1"/>
  <c r="V342" i="1"/>
  <c r="H784" i="1"/>
  <c r="T496" i="1"/>
  <c r="V496" i="1" s="1"/>
  <c r="V499" i="1"/>
  <c r="V1116" i="1"/>
  <c r="V1384" i="1"/>
  <c r="T453" i="1"/>
  <c r="V453" i="1" s="1"/>
  <c r="V454" i="1"/>
  <c r="T1051" i="1"/>
  <c r="V1051" i="1" s="1"/>
  <c r="V1052" i="1"/>
  <c r="T897" i="1"/>
  <c r="V897" i="1" s="1"/>
  <c r="V898" i="1"/>
  <c r="P669" i="1"/>
  <c r="P666" i="1" s="1"/>
  <c r="P665" i="1" s="1"/>
  <c r="V1177" i="1"/>
  <c r="T758" i="1"/>
  <c r="V758" i="1" s="1"/>
  <c r="V761" i="1"/>
  <c r="T1087" i="1"/>
  <c r="V1087" i="1" s="1"/>
  <c r="V1093" i="1"/>
  <c r="T1070" i="1"/>
  <c r="V1070" i="1" s="1"/>
  <c r="V1071" i="1"/>
  <c r="T567" i="1"/>
  <c r="V567" i="1" s="1"/>
  <c r="V572" i="1"/>
  <c r="T642" i="1"/>
  <c r="V642" i="1" s="1"/>
  <c r="O442" i="1"/>
  <c r="N344" i="1"/>
  <c r="H263" i="1"/>
  <c r="H262" i="1" s="1"/>
  <c r="T372" i="1"/>
  <c r="V372" i="1" s="1"/>
  <c r="T264" i="1"/>
  <c r="V264" i="1" s="1"/>
  <c r="V265" i="1"/>
  <c r="J290" i="1"/>
  <c r="J261" i="1" s="1"/>
  <c r="V292" i="1"/>
  <c r="V976" i="1"/>
  <c r="V651" i="1"/>
  <c r="J1095" i="1"/>
  <c r="T1079" i="1"/>
  <c r="V1079" i="1" s="1"/>
  <c r="V1080" i="1"/>
  <c r="T840" i="1"/>
  <c r="V840" i="1" s="1"/>
  <c r="V841" i="1"/>
  <c r="T970" i="1"/>
  <c r="V970" i="1" s="1"/>
  <c r="V974" i="1"/>
  <c r="V438" i="1"/>
  <c r="T287" i="1"/>
  <c r="V287" i="1" s="1"/>
  <c r="V289" i="1"/>
  <c r="T256" i="1"/>
  <c r="T329" i="1"/>
  <c r="V329" i="1" s="1"/>
  <c r="V330" i="1"/>
  <c r="T1065" i="1"/>
  <c r="V1065" i="1" s="1"/>
  <c r="V1066" i="1"/>
  <c r="T635" i="1"/>
  <c r="V635" i="1" s="1"/>
  <c r="V637" i="1"/>
  <c r="Q492" i="1"/>
  <c r="Q442" i="1" s="1"/>
  <c r="T667" i="1"/>
  <c r="V667" i="1" s="1"/>
  <c r="V668" i="1"/>
  <c r="H51" i="1"/>
  <c r="V276" i="1"/>
  <c r="T638" i="1"/>
  <c r="V638" i="1" s="1"/>
  <c r="V639" i="1"/>
  <c r="T1138" i="1"/>
  <c r="V1139" i="1"/>
  <c r="T1150" i="1"/>
  <c r="V1150" i="1" s="1"/>
  <c r="V1155" i="1"/>
  <c r="Q1095" i="1"/>
  <c r="T1211" i="1"/>
  <c r="V1213" i="1"/>
  <c r="T1055" i="1"/>
  <c r="V1055" i="1" s="1"/>
  <c r="V1056" i="1"/>
  <c r="P1217" i="1"/>
  <c r="T280" i="1"/>
  <c r="T1300" i="1"/>
  <c r="V1301" i="1"/>
  <c r="T1362" i="1"/>
  <c r="V1362" i="1" s="1"/>
  <c r="V1363" i="1"/>
  <c r="T681" i="1"/>
  <c r="V681" i="1" s="1"/>
  <c r="V682" i="1"/>
  <c r="T1274" i="1"/>
  <c r="V1274" i="1" s="1"/>
  <c r="V1275" i="1"/>
  <c r="T1230" i="1"/>
  <c r="V1236" i="1"/>
  <c r="T500" i="1"/>
  <c r="V500" i="1" s="1"/>
  <c r="V1266" i="1"/>
  <c r="T1382" i="1"/>
  <c r="V1382" i="1" s="1"/>
  <c r="V1383" i="1"/>
  <c r="T1046" i="1"/>
  <c r="V1046" i="1" s="1"/>
  <c r="V1047" i="1"/>
  <c r="T978" i="1"/>
  <c r="V978" i="1" s="1"/>
  <c r="V979" i="1"/>
  <c r="T1027" i="1"/>
  <c r="V1027" i="1" s="1"/>
  <c r="V1028" i="1"/>
  <c r="T939" i="1"/>
  <c r="V939" i="1" s="1"/>
  <c r="V940" i="1"/>
  <c r="V368" i="1"/>
  <c r="T523" i="1"/>
  <c r="V523" i="1" s="1"/>
  <c r="V528" i="1"/>
  <c r="T339" i="1"/>
  <c r="V339" i="1" s="1"/>
  <c r="V340" i="1"/>
  <c r="R744" i="1"/>
  <c r="T62" i="1"/>
  <c r="V649" i="1"/>
  <c r="H917" i="1"/>
  <c r="H916" i="1" s="1"/>
  <c r="T960" i="1"/>
  <c r="V960" i="1" s="1"/>
  <c r="V961" i="1"/>
  <c r="T1011" i="1"/>
  <c r="V1011" i="1" s="1"/>
  <c r="V1014" i="1"/>
  <c r="I917" i="1"/>
  <c r="I916" i="1" s="1"/>
  <c r="V661" i="1"/>
  <c r="T612" i="1"/>
  <c r="V612" i="1" s="1"/>
  <c r="V613" i="1"/>
  <c r="S665" i="1"/>
  <c r="Q556" i="1"/>
  <c r="T512" i="1"/>
  <c r="V512" i="1" s="1"/>
  <c r="V514" i="1"/>
  <c r="T551" i="1"/>
  <c r="V551" i="1" s="1"/>
  <c r="V553" i="1"/>
  <c r="T326" i="1"/>
  <c r="V326" i="1" s="1"/>
  <c r="V327" i="1"/>
  <c r="L784" i="1"/>
  <c r="L744" i="1" s="1"/>
  <c r="T706" i="1"/>
  <c r="V706" i="1" s="1"/>
  <c r="V707" i="1"/>
  <c r="V406" i="1"/>
  <c r="V653" i="1"/>
  <c r="T769" i="1"/>
  <c r="V770" i="1"/>
  <c r="T1180" i="1"/>
  <c r="V1180" i="1" s="1"/>
  <c r="V1181" i="1"/>
  <c r="T776" i="1"/>
  <c r="V777" i="1"/>
  <c r="T1112" i="1"/>
  <c r="V1112" i="1" s="1"/>
  <c r="V1119" i="1"/>
  <c r="T541" i="1"/>
  <c r="V541" i="1" s="1"/>
  <c r="V543" i="1"/>
  <c r="T586" i="1"/>
  <c r="V586" i="1" s="1"/>
  <c r="V587" i="1"/>
  <c r="V1269" i="1"/>
  <c r="T379" i="1"/>
  <c r="V380" i="1"/>
  <c r="T1283" i="1"/>
  <c r="V1284" i="1"/>
  <c r="T1161" i="1"/>
  <c r="V1161" i="1" s="1"/>
  <c r="V1167" i="1"/>
  <c r="T942" i="1"/>
  <c r="V942" i="1" s="1"/>
  <c r="V943" i="1"/>
  <c r="T1074" i="1"/>
  <c r="V1074" i="1" s="1"/>
  <c r="V1075" i="1"/>
  <c r="T1219" i="1"/>
  <c r="V1219" i="1" s="1"/>
  <c r="V1220" i="1"/>
  <c r="K744" i="1"/>
  <c r="T692" i="1"/>
  <c r="V696" i="1"/>
  <c r="I492" i="1"/>
  <c r="I442" i="1" s="1"/>
  <c r="T1060" i="1"/>
  <c r="V1060" i="1" s="1"/>
  <c r="V1061" i="1"/>
  <c r="I1034" i="1"/>
  <c r="I62" i="1"/>
  <c r="I51" i="1" s="1"/>
  <c r="T645" i="1"/>
  <c r="V645" i="1" s="1"/>
  <c r="V646" i="1"/>
  <c r="V357" i="1"/>
  <c r="T673" i="1"/>
  <c r="V673" i="1" s="1"/>
  <c r="T715" i="1"/>
  <c r="V715" i="1" s="1"/>
  <c r="R624" i="1"/>
  <c r="N51" i="1"/>
  <c r="T1184" i="1"/>
  <c r="V1184" i="1" s="1"/>
  <c r="T1096" i="1"/>
  <c r="V1096" i="1" s="1"/>
  <c r="T223" i="1"/>
  <c r="M100" i="1"/>
  <c r="M99" i="1" s="1"/>
  <c r="L1095" i="1"/>
  <c r="M744" i="1"/>
  <c r="T871" i="1"/>
  <c r="T573" i="1"/>
  <c r="V573" i="1" s="1"/>
  <c r="H492" i="1"/>
  <c r="H442" i="1" s="1"/>
  <c r="T195" i="1"/>
  <c r="T188" i="1" s="1"/>
  <c r="N386" i="1"/>
  <c r="T906" i="1"/>
  <c r="T918" i="1"/>
  <c r="R100" i="1"/>
  <c r="R99" i="1" s="1"/>
  <c r="P51" i="1"/>
  <c r="T1241" i="1"/>
  <c r="V1241" i="1" s="1"/>
  <c r="T849" i="1"/>
  <c r="K917" i="1"/>
  <c r="K916" i="1" s="1"/>
  <c r="T557" i="1"/>
  <c r="V557" i="1" s="1"/>
  <c r="K1035" i="1"/>
  <c r="K1034" i="1" s="1"/>
  <c r="R343" i="1"/>
  <c r="R290" i="1" s="1"/>
  <c r="R261" i="1" s="1"/>
  <c r="L100" i="1"/>
  <c r="L99" i="1" s="1"/>
  <c r="H744" i="1"/>
  <c r="K624" i="1"/>
  <c r="S442" i="1"/>
  <c r="T1020" i="1"/>
  <c r="P1034" i="1"/>
  <c r="T824" i="1"/>
  <c r="V824" i="1" s="1"/>
  <c r="H989" i="1"/>
  <c r="H984" i="1" s="1"/>
  <c r="J745" i="1"/>
  <c r="J556" i="1"/>
  <c r="J492" i="1"/>
  <c r="J442" i="1" s="1"/>
  <c r="S744" i="1"/>
  <c r="T589" i="1"/>
  <c r="V589" i="1" s="1"/>
  <c r="K665" i="1"/>
  <c r="N363" i="1"/>
  <c r="T100" i="1"/>
  <c r="T99" i="1" s="1"/>
  <c r="H1069" i="1"/>
  <c r="T950" i="1"/>
  <c r="V950" i="1" s="1"/>
  <c r="H665" i="1"/>
  <c r="N291" i="1"/>
  <c r="T1352" i="1"/>
  <c r="T1002" i="1"/>
  <c r="M917" i="1"/>
  <c r="M916" i="1" s="1"/>
  <c r="G665" i="1"/>
  <c r="K51" i="1"/>
  <c r="I744" i="1"/>
  <c r="L669" i="1"/>
  <c r="L666" i="1" s="1"/>
  <c r="L665" i="1" s="1"/>
  <c r="T112" i="1"/>
  <c r="T111" i="1" s="1"/>
  <c r="T596" i="1"/>
  <c r="V596" i="1" s="1"/>
  <c r="L40" i="17"/>
  <c r="T1050" i="1" l="1"/>
  <c r="N665" i="1"/>
  <c r="T1249" i="1"/>
  <c r="V1249" i="1" s="1"/>
  <c r="I261" i="1"/>
  <c r="V472" i="1"/>
  <c r="J1034" i="1"/>
  <c r="H261" i="1"/>
  <c r="T51" i="1"/>
  <c r="L261" i="1"/>
  <c r="J744" i="1"/>
  <c r="T493" i="1"/>
  <c r="V493" i="1" s="1"/>
  <c r="T625" i="1"/>
  <c r="V625" i="1" s="1"/>
  <c r="M261" i="1"/>
  <c r="T1314" i="1"/>
  <c r="V1314" i="1" s="1"/>
  <c r="V657" i="1"/>
  <c r="T1069" i="1"/>
  <c r="V1069" i="1" s="1"/>
  <c r="T291" i="1"/>
  <c r="N343" i="1"/>
  <c r="N290" i="1" s="1"/>
  <c r="N261" i="1" s="1"/>
  <c r="T1175" i="1"/>
  <c r="V1175" i="1" s="1"/>
  <c r="T808" i="1"/>
  <c r="V808" i="1" s="1"/>
  <c r="T344" i="1"/>
  <c r="V344" i="1" s="1"/>
  <c r="T1218" i="1"/>
  <c r="T386" i="1"/>
  <c r="V386" i="1" s="1"/>
  <c r="T1265" i="1"/>
  <c r="V1265" i="1" s="1"/>
  <c r="T444" i="1"/>
  <c r="T443" i="1" s="1"/>
  <c r="V443" i="1" s="1"/>
  <c r="T870" i="1"/>
  <c r="V871" i="1"/>
  <c r="T991" i="1"/>
  <c r="V991" i="1" s="1"/>
  <c r="V996" i="1"/>
  <c r="V790" i="1"/>
  <c r="T1299" i="1"/>
  <c r="V1299" i="1" s="1"/>
  <c r="V1300" i="1"/>
  <c r="T1132" i="1"/>
  <c r="V1138" i="1"/>
  <c r="T279" i="1"/>
  <c r="V280" i="1"/>
  <c r="T733" i="1"/>
  <c r="V733" i="1" s="1"/>
  <c r="V734" i="1"/>
  <c r="T848" i="1"/>
  <c r="V848" i="1" s="1"/>
  <c r="V849" i="1"/>
  <c r="V291" i="1"/>
  <c r="T1036" i="1"/>
  <c r="V1036" i="1" s="1"/>
  <c r="T687" i="1"/>
  <c r="V687" i="1" s="1"/>
  <c r="V692" i="1"/>
  <c r="V776" i="1"/>
  <c r="T775" i="1"/>
  <c r="V775" i="1" s="1"/>
  <c r="T745" i="1"/>
  <c r="T1282" i="1"/>
  <c r="V1282" i="1" s="1"/>
  <c r="V1283" i="1"/>
  <c r="T529" i="1"/>
  <c r="V530" i="1"/>
  <c r="T605" i="1"/>
  <c r="V605" i="1" s="1"/>
  <c r="T363" i="1"/>
  <c r="T1229" i="1"/>
  <c r="V1229" i="1" s="1"/>
  <c r="V1230" i="1"/>
  <c r="T378" i="1"/>
  <c r="V378" i="1" s="1"/>
  <c r="V379" i="1"/>
  <c r="T1370" i="1"/>
  <c r="V1370" i="1" s="1"/>
  <c r="T703" i="1"/>
  <c r="V703" i="1" s="1"/>
  <c r="T762" i="1"/>
  <c r="V762" i="1" s="1"/>
  <c r="V769" i="1"/>
  <c r="T896" i="1"/>
  <c r="V896" i="1" s="1"/>
  <c r="V906" i="1"/>
  <c r="V1050" i="1"/>
  <c r="T1198" i="1"/>
  <c r="V1198" i="1" s="1"/>
  <c r="V1211" i="1"/>
  <c r="T655" i="1"/>
  <c r="V655" i="1" s="1"/>
  <c r="V656" i="1"/>
  <c r="T1019" i="1"/>
  <c r="V1020" i="1"/>
  <c r="V1002" i="1"/>
  <c r="T917" i="1"/>
  <c r="V918" i="1"/>
  <c r="T1059" i="1"/>
  <c r="V1059" i="1" s="1"/>
  <c r="T1342" i="1"/>
  <c r="V1342" i="1" s="1"/>
  <c r="V1352" i="1"/>
  <c r="T540" i="1"/>
  <c r="V540" i="1" s="1"/>
  <c r="T556" i="1"/>
  <c r="V556" i="1" s="1"/>
  <c r="V194" i="1"/>
  <c r="T1217" i="1" l="1"/>
  <c r="V1217" i="1" s="1"/>
  <c r="T990" i="1"/>
  <c r="V990" i="1" s="1"/>
  <c r="V1218" i="1"/>
  <c r="T784" i="1"/>
  <c r="V784" i="1" s="1"/>
  <c r="T838" i="1"/>
  <c r="V838" i="1" s="1"/>
  <c r="V444" i="1"/>
  <c r="V1132" i="1"/>
  <c r="T1131" i="1"/>
  <c r="T1018" i="1"/>
  <c r="V1018" i="1" s="1"/>
  <c r="V1019" i="1"/>
  <c r="T669" i="1"/>
  <c r="T343" i="1"/>
  <c r="V363" i="1"/>
  <c r="T916" i="1"/>
  <c r="V916" i="1" s="1"/>
  <c r="V917" i="1"/>
  <c r="V279" i="1"/>
  <c r="T263" i="1"/>
  <c r="T1035" i="1"/>
  <c r="T624" i="1"/>
  <c r="V624" i="1" s="1"/>
  <c r="V529" i="1"/>
  <c r="T492" i="1"/>
  <c r="V745" i="1"/>
  <c r="T865" i="1"/>
  <c r="V865" i="1" s="1"/>
  <c r="V870" i="1"/>
  <c r="L37" i="17"/>
  <c r="L43" i="17"/>
  <c r="L44" i="17"/>
  <c r="P21" i="17"/>
  <c r="P20" i="17"/>
  <c r="P19" i="17"/>
  <c r="P18" i="17"/>
  <c r="P186" i="17"/>
  <c r="P172" i="17"/>
  <c r="P40" i="17"/>
  <c r="P202" i="17"/>
  <c r="P201" i="17"/>
  <c r="P200" i="17"/>
  <c r="L134" i="17"/>
  <c r="P146" i="17"/>
  <c r="P145" i="17"/>
  <c r="P144" i="17"/>
  <c r="P143" i="17"/>
  <c r="P142" i="17"/>
  <c r="L88" i="17"/>
  <c r="P93" i="17"/>
  <c r="P92" i="17"/>
  <c r="P91" i="17"/>
  <c r="P90" i="17"/>
  <c r="P89" i="17"/>
  <c r="L17" i="17"/>
  <c r="T744" i="1" l="1"/>
  <c r="V744" i="1" s="1"/>
  <c r="T666" i="1"/>
  <c r="V669" i="1"/>
  <c r="T262" i="1"/>
  <c r="V263" i="1"/>
  <c r="T290" i="1"/>
  <c r="V290" i="1" s="1"/>
  <c r="V343" i="1"/>
  <c r="V1131" i="1"/>
  <c r="T1095" i="1"/>
  <c r="V1095" i="1" s="1"/>
  <c r="T442" i="1"/>
  <c r="V442" i="1" s="1"/>
  <c r="V492" i="1"/>
  <c r="V1035" i="1"/>
  <c r="T1034" i="1"/>
  <c r="V1034" i="1" s="1"/>
  <c r="T989" i="1"/>
  <c r="P41" i="17"/>
  <c r="K88" i="17"/>
  <c r="P88" i="17" s="1"/>
  <c r="P87" i="17"/>
  <c r="P86" i="17"/>
  <c r="P85" i="17"/>
  <c r="P84" i="17"/>
  <c r="P83" i="17"/>
  <c r="P82" i="17"/>
  <c r="P81" i="17"/>
  <c r="P80" i="17"/>
  <c r="P79" i="17"/>
  <c r="P17" i="17"/>
  <c r="P199" i="17"/>
  <c r="P198" i="17"/>
  <c r="V262" i="1" l="1"/>
  <c r="T261" i="1"/>
  <c r="V261" i="1" s="1"/>
  <c r="T984" i="1"/>
  <c r="V984" i="1" s="1"/>
  <c r="V989" i="1"/>
  <c r="T665" i="1"/>
  <c r="V665" i="1" s="1"/>
  <c r="V666" i="1"/>
  <c r="W829" i="1"/>
  <c r="W828" i="1"/>
  <c r="W827" i="1"/>
  <c r="W825" i="1"/>
  <c r="P47" i="17" l="1"/>
  <c r="J16" i="17"/>
  <c r="J119" i="17" l="1"/>
  <c r="O182" i="17" l="1"/>
  <c r="N182" i="17"/>
  <c r="M182" i="17"/>
  <c r="L182" i="17"/>
  <c r="K182" i="17"/>
  <c r="J182" i="17"/>
  <c r="I182" i="17"/>
  <c r="H182" i="17"/>
  <c r="G182" i="17"/>
  <c r="F182" i="17"/>
  <c r="E182" i="17"/>
  <c r="O178" i="17"/>
  <c r="N178" i="17"/>
  <c r="M178" i="17"/>
  <c r="L178" i="17"/>
  <c r="K178" i="17"/>
  <c r="J178" i="17"/>
  <c r="I178" i="17"/>
  <c r="H178" i="17"/>
  <c r="G178" i="17"/>
  <c r="F178" i="17"/>
  <c r="E178" i="17"/>
  <c r="O173" i="17"/>
  <c r="N173" i="17"/>
  <c r="M173" i="17"/>
  <c r="L173" i="17"/>
  <c r="K173" i="17"/>
  <c r="J173" i="17"/>
  <c r="I173" i="17"/>
  <c r="H173" i="17"/>
  <c r="G173" i="17"/>
  <c r="F173" i="17"/>
  <c r="E173" i="17"/>
  <c r="O160" i="17"/>
  <c r="N160" i="17"/>
  <c r="M160" i="17"/>
  <c r="L160" i="17"/>
  <c r="K160" i="17"/>
  <c r="J160" i="17"/>
  <c r="I160" i="17"/>
  <c r="H160" i="17"/>
  <c r="F160" i="17"/>
  <c r="E160" i="17"/>
  <c r="O148" i="17"/>
  <c r="N148" i="17"/>
  <c r="M148" i="17"/>
  <c r="L148" i="17"/>
  <c r="K148" i="17"/>
  <c r="J148" i="17"/>
  <c r="I148" i="17"/>
  <c r="H148" i="17"/>
  <c r="G148" i="17"/>
  <c r="F148" i="17"/>
  <c r="D148" i="17"/>
  <c r="O147" i="17" l="1"/>
  <c r="H147" i="17"/>
  <c r="N147" i="17"/>
  <c r="F147" i="17"/>
  <c r="L147" i="17"/>
  <c r="K147" i="17"/>
  <c r="J147" i="17"/>
  <c r="M147" i="17"/>
  <c r="I147" i="17"/>
  <c r="P171" i="17" l="1"/>
  <c r="P78" i="17"/>
  <c r="I46" i="17"/>
  <c r="I43" i="17"/>
  <c r="A184" i="17" l="1"/>
  <c r="A185" i="17" s="1"/>
  <c r="A180" i="17"/>
  <c r="A181" i="17" s="1"/>
  <c r="A175" i="17"/>
  <c r="A176" i="17" s="1"/>
  <c r="A177" i="17" s="1"/>
  <c r="A162" i="17"/>
  <c r="A163" i="17" s="1"/>
  <c r="A164" i="17" s="1"/>
  <c r="A165" i="17" s="1"/>
  <c r="A166" i="17" s="1"/>
  <c r="A167" i="17" s="1"/>
  <c r="A168" i="17" s="1"/>
  <c r="A169" i="17" s="1"/>
  <c r="A170" i="17" s="1"/>
  <c r="A150" i="17"/>
  <c r="A151" i="17" s="1"/>
  <c r="A152" i="17" s="1"/>
  <c r="A153" i="17" s="1"/>
  <c r="A154" i="17" s="1"/>
  <c r="A155" i="17" s="1"/>
  <c r="A156" i="17" s="1"/>
  <c r="A157" i="17" s="1"/>
  <c r="A158" i="17" s="1"/>
  <c r="A159" i="17" s="1"/>
  <c r="A108" i="17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97" i="17"/>
  <c r="A98" i="17" s="1"/>
  <c r="A99" i="17" s="1"/>
  <c r="A100" i="17" s="1"/>
  <c r="A101" i="17" s="1"/>
  <c r="A102" i="17" s="1"/>
  <c r="A103" i="17" s="1"/>
  <c r="A104" i="17" s="1"/>
  <c r="A105" i="17" s="1"/>
  <c r="A62" i="17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37" i="17"/>
  <c r="A38" i="17" s="1"/>
  <c r="A39" i="17" s="1"/>
  <c r="P77" i="17" l="1"/>
  <c r="P76" i="17"/>
  <c r="P75" i="17"/>
  <c r="P74" i="17"/>
  <c r="P73" i="17"/>
  <c r="P197" i="17"/>
  <c r="H43" i="17"/>
  <c r="G168" i="17" l="1"/>
  <c r="G160" i="17" s="1"/>
  <c r="G147" i="17" s="1"/>
  <c r="P169" i="17" l="1"/>
  <c r="G43" i="17" l="1"/>
  <c r="P195" i="17"/>
  <c r="P140" i="17"/>
  <c r="P139" i="17"/>
  <c r="P122" i="17"/>
  <c r="P126" i="17"/>
  <c r="P71" i="17"/>
  <c r="P70" i="17"/>
  <c r="P69" i="17"/>
  <c r="P72" i="17"/>
  <c r="P68" i="17"/>
  <c r="P67" i="17"/>
  <c r="P168" i="17"/>
  <c r="G15" i="17"/>
  <c r="G14" i="17"/>
  <c r="G16" i="17"/>
  <c r="P16" i="17"/>
  <c r="A569" i="1" l="1"/>
  <c r="A570" i="1" s="1"/>
  <c r="A571" i="1" s="1"/>
  <c r="G46" i="1" l="1"/>
  <c r="Y821" i="1" l="1"/>
  <c r="G44" i="1"/>
  <c r="G43" i="1"/>
  <c r="G40" i="1"/>
  <c r="G39" i="1"/>
  <c r="G35" i="1"/>
  <c r="G34" i="1"/>
  <c r="G20" i="1" l="1"/>
  <c r="G14" i="1" l="1"/>
  <c r="G11" i="1" l="1"/>
  <c r="G10" i="1" l="1"/>
  <c r="F43" i="17" l="1"/>
  <c r="P15" i="17"/>
  <c r="P14" i="17"/>
  <c r="P66" i="17"/>
  <c r="P65" i="17"/>
  <c r="P64" i="17"/>
  <c r="P63" i="17"/>
  <c r="P62" i="17"/>
  <c r="E61" i="17"/>
  <c r="P61" i="17" s="1"/>
  <c r="D60" i="17"/>
  <c r="P60" i="17" s="1"/>
  <c r="E59" i="17"/>
  <c r="D59" i="17"/>
  <c r="P58" i="17"/>
  <c r="O57" i="17"/>
  <c r="O56" i="17" s="1"/>
  <c r="N57" i="17"/>
  <c r="N56" i="17" s="1"/>
  <c r="M57" i="17"/>
  <c r="M56" i="17" s="1"/>
  <c r="L57" i="17"/>
  <c r="L56" i="17" s="1"/>
  <c r="K57" i="17"/>
  <c r="K56" i="17" s="1"/>
  <c r="J57" i="17"/>
  <c r="J56" i="17" s="1"/>
  <c r="I57" i="17"/>
  <c r="I56" i="17" s="1"/>
  <c r="H57" i="17"/>
  <c r="H56" i="17" s="1"/>
  <c r="G57" i="17"/>
  <c r="G56" i="17" s="1"/>
  <c r="F57" i="17"/>
  <c r="F56" i="17" s="1"/>
  <c r="C56" i="17"/>
  <c r="P185" i="17"/>
  <c r="P184" i="17"/>
  <c r="P183" i="17"/>
  <c r="D182" i="17"/>
  <c r="P180" i="17"/>
  <c r="P181" i="17"/>
  <c r="P179" i="17"/>
  <c r="D178" i="17"/>
  <c r="C178" i="17"/>
  <c r="P177" i="17"/>
  <c r="P176" i="17"/>
  <c r="P175" i="17"/>
  <c r="D174" i="17"/>
  <c r="P174" i="17" s="1"/>
  <c r="C173" i="17"/>
  <c r="P170" i="17"/>
  <c r="P167" i="17"/>
  <c r="P166" i="17"/>
  <c r="P163" i="17"/>
  <c r="P162" i="17"/>
  <c r="P161" i="17"/>
  <c r="D160" i="17"/>
  <c r="C160" i="17"/>
  <c r="P165" i="17"/>
  <c r="P164" i="17"/>
  <c r="P159" i="17"/>
  <c r="P158" i="17"/>
  <c r="E157" i="17"/>
  <c r="P156" i="17"/>
  <c r="P155" i="17"/>
  <c r="P154" i="17"/>
  <c r="P153" i="17"/>
  <c r="P152" i="17"/>
  <c r="P151" i="17"/>
  <c r="P150" i="17"/>
  <c r="P149" i="17"/>
  <c r="C148" i="17"/>
  <c r="P157" i="17" l="1"/>
  <c r="E148" i="17"/>
  <c r="E147" i="17" s="1"/>
  <c r="P182" i="17"/>
  <c r="P160" i="17"/>
  <c r="P173" i="17"/>
  <c r="P178" i="17"/>
  <c r="P148" i="17"/>
  <c r="P59" i="17"/>
  <c r="P57" i="17" s="1"/>
  <c r="P56" i="17" s="1"/>
  <c r="Q56" i="17" s="1"/>
  <c r="D173" i="17"/>
  <c r="D147" i="17" s="1"/>
  <c r="E57" i="17"/>
  <c r="E56" i="17" s="1"/>
  <c r="D57" i="17"/>
  <c r="D56" i="17" s="1"/>
  <c r="P194" i="17"/>
  <c r="P193" i="17"/>
  <c r="P192" i="17"/>
  <c r="P191" i="17"/>
  <c r="P190" i="17"/>
  <c r="P134" i="17"/>
  <c r="P113" i="17"/>
  <c r="P125" i="17"/>
  <c r="P124" i="17"/>
  <c r="P133" i="17"/>
  <c r="P132" i="17"/>
  <c r="P131" i="17"/>
  <c r="P130" i="17"/>
  <c r="P129" i="17"/>
  <c r="P128" i="17"/>
  <c r="P127" i="17"/>
  <c r="P121" i="17"/>
  <c r="P120" i="17"/>
  <c r="P119" i="17"/>
  <c r="P118" i="17"/>
  <c r="P147" i="17" l="1"/>
  <c r="Q147" i="17" s="1"/>
  <c r="P34" i="17" l="1"/>
  <c r="P33" i="17"/>
  <c r="D32" i="17"/>
  <c r="P196" i="17"/>
  <c r="P189" i="17"/>
  <c r="A189" i="17"/>
  <c r="A190" i="17" s="1"/>
  <c r="A191" i="17" s="1"/>
  <c r="A192" i="17" s="1"/>
  <c r="A193" i="17" s="1"/>
  <c r="A194" i="17" s="1"/>
  <c r="A195" i="17" s="1"/>
  <c r="A196" i="17" s="1"/>
  <c r="A197" i="17" s="1"/>
  <c r="P188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D141" i="17"/>
  <c r="D106" i="17" s="1"/>
  <c r="P138" i="17"/>
  <c r="P137" i="17"/>
  <c r="P136" i="17"/>
  <c r="P135" i="17"/>
  <c r="P117" i="17"/>
  <c r="P116" i="17"/>
  <c r="P115" i="17"/>
  <c r="P114" i="17"/>
  <c r="P123" i="17"/>
  <c r="P112" i="17"/>
  <c r="P111" i="17"/>
  <c r="P110" i="17"/>
  <c r="P109" i="17"/>
  <c r="P108" i="17"/>
  <c r="P107" i="17"/>
  <c r="O106" i="17"/>
  <c r="N106" i="17"/>
  <c r="M106" i="17"/>
  <c r="L106" i="17"/>
  <c r="K106" i="17"/>
  <c r="J106" i="17"/>
  <c r="I106" i="17"/>
  <c r="H106" i="17"/>
  <c r="G106" i="17"/>
  <c r="F106" i="17"/>
  <c r="E106" i="17"/>
  <c r="P99" i="17"/>
  <c r="P105" i="17"/>
  <c r="P104" i="17"/>
  <c r="P103" i="17"/>
  <c r="P98" i="17"/>
  <c r="P102" i="17"/>
  <c r="P97" i="17"/>
  <c r="P101" i="17"/>
  <c r="P100" i="17"/>
  <c r="P96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P54" i="17"/>
  <c r="P53" i="17"/>
  <c r="P52" i="17" s="1"/>
  <c r="Q52" i="17" s="1"/>
  <c r="O52" i="17"/>
  <c r="N52" i="17"/>
  <c r="M52" i="17"/>
  <c r="L52" i="17"/>
  <c r="K52" i="17"/>
  <c r="J52" i="17"/>
  <c r="I52" i="17"/>
  <c r="H52" i="17"/>
  <c r="G52" i="17"/>
  <c r="F52" i="17"/>
  <c r="E52" i="17"/>
  <c r="D52" i="17"/>
  <c r="P51" i="17"/>
  <c r="P50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P48" i="17"/>
  <c r="P46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P44" i="17"/>
  <c r="P43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P39" i="17"/>
  <c r="P38" i="17"/>
  <c r="P37" i="17"/>
  <c r="P36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O32" i="17"/>
  <c r="N32" i="17"/>
  <c r="M32" i="17"/>
  <c r="L32" i="17"/>
  <c r="K32" i="17"/>
  <c r="J32" i="17"/>
  <c r="I32" i="17"/>
  <c r="H32" i="17"/>
  <c r="G32" i="17"/>
  <c r="F32" i="17"/>
  <c r="E32" i="17"/>
  <c r="C32" i="17"/>
  <c r="P30" i="17"/>
  <c r="P29" i="17"/>
  <c r="A29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P27" i="17"/>
  <c r="P26" i="17"/>
  <c r="P25" i="17"/>
  <c r="C25" i="17"/>
  <c r="C23" i="17" s="1"/>
  <c r="A25" i="17"/>
  <c r="A26" i="17" s="1"/>
  <c r="A27" i="17" s="1"/>
  <c r="P24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P13" i="17"/>
  <c r="P12" i="17"/>
  <c r="P11" i="17"/>
  <c r="P10" i="17"/>
  <c r="P9" i="17"/>
  <c r="A9" i="17"/>
  <c r="A10" i="17" s="1"/>
  <c r="A11" i="17" s="1"/>
  <c r="A12" i="17" s="1"/>
  <c r="A13" i="17" s="1"/>
  <c r="A14" i="17" s="1"/>
  <c r="A15" i="17" s="1"/>
  <c r="A16" i="17" s="1"/>
  <c r="P8" i="17"/>
  <c r="O7" i="17"/>
  <c r="N7" i="17"/>
  <c r="M7" i="17"/>
  <c r="L7" i="17"/>
  <c r="K7" i="17"/>
  <c r="J7" i="17"/>
  <c r="I7" i="17"/>
  <c r="H7" i="17"/>
  <c r="G7" i="17"/>
  <c r="F7" i="17"/>
  <c r="E7" i="17"/>
  <c r="D7" i="17"/>
  <c r="G22" i="17" l="1"/>
  <c r="M22" i="17"/>
  <c r="O94" i="17"/>
  <c r="O55" i="17" s="1"/>
  <c r="I94" i="17"/>
  <c r="P187" i="17"/>
  <c r="Q187" i="17" s="1"/>
  <c r="J94" i="17"/>
  <c r="D22" i="17"/>
  <c r="J22" i="17"/>
  <c r="I22" i="17"/>
  <c r="O22" i="17"/>
  <c r="J31" i="17"/>
  <c r="I31" i="17"/>
  <c r="D31" i="17"/>
  <c r="D94" i="17"/>
  <c r="D55" i="17" s="1"/>
  <c r="F22" i="17"/>
  <c r="L22" i="17"/>
  <c r="E94" i="17"/>
  <c r="E55" i="17" s="1"/>
  <c r="K94" i="17"/>
  <c r="C55" i="17"/>
  <c r="E31" i="17"/>
  <c r="K31" i="17"/>
  <c r="N22" i="17"/>
  <c r="G31" i="17"/>
  <c r="M31" i="17"/>
  <c r="M6" i="17" s="1"/>
  <c r="F31" i="17"/>
  <c r="L31" i="17"/>
  <c r="L94" i="17"/>
  <c r="H31" i="17"/>
  <c r="N31" i="17"/>
  <c r="E22" i="17"/>
  <c r="K22" i="17"/>
  <c r="O31" i="17"/>
  <c r="P45" i="17"/>
  <c r="P32" i="17"/>
  <c r="G94" i="17"/>
  <c r="M94" i="17"/>
  <c r="M55" i="17" s="1"/>
  <c r="H94" i="17"/>
  <c r="N94" i="17"/>
  <c r="P49" i="17"/>
  <c r="P35" i="17"/>
  <c r="P28" i="17"/>
  <c r="F94" i="17"/>
  <c r="P42" i="17"/>
  <c r="P95" i="17"/>
  <c r="P7" i="17"/>
  <c r="Q7" i="17" s="1"/>
  <c r="H22" i="17"/>
  <c r="P23" i="17"/>
  <c r="P141" i="17"/>
  <c r="P106" i="17" s="1"/>
  <c r="L55" i="17" l="1"/>
  <c r="K55" i="17"/>
  <c r="J55" i="17"/>
  <c r="I55" i="17"/>
  <c r="D6" i="17"/>
  <c r="D5" i="17" s="1"/>
  <c r="D4" i="17" s="1"/>
  <c r="I6" i="17"/>
  <c r="G6" i="17"/>
  <c r="K6" i="17"/>
  <c r="L6" i="17"/>
  <c r="L5" i="17" s="1"/>
  <c r="L4" i="17" s="1"/>
  <c r="O6" i="17"/>
  <c r="O5" i="17" s="1"/>
  <c r="O4" i="17" s="1"/>
  <c r="N6" i="17"/>
  <c r="J6" i="17"/>
  <c r="F55" i="17"/>
  <c r="H6" i="17"/>
  <c r="C6" i="17"/>
  <c r="C5" i="17" s="1"/>
  <c r="C4" i="17" s="1"/>
  <c r="F6" i="17"/>
  <c r="E6" i="17"/>
  <c r="E5" i="17" s="1"/>
  <c r="E4" i="17" s="1"/>
  <c r="N55" i="17"/>
  <c r="H55" i="17"/>
  <c r="G55" i="17"/>
  <c r="P22" i="17"/>
  <c r="Q22" i="17" s="1"/>
  <c r="P31" i="17"/>
  <c r="Q31" i="17" s="1"/>
  <c r="P94" i="17"/>
  <c r="M5" i="17"/>
  <c r="M4" i="17" s="1"/>
  <c r="J5" i="17" l="1"/>
  <c r="J4" i="17" s="1"/>
  <c r="K5" i="17"/>
  <c r="K4" i="17" s="1"/>
  <c r="R6" i="17" s="1"/>
  <c r="I5" i="17"/>
  <c r="I4" i="17" s="1"/>
  <c r="P55" i="17"/>
  <c r="Q55" i="17" s="1"/>
  <c r="Q94" i="17"/>
  <c r="H5" i="17"/>
  <c r="H4" i="17" s="1"/>
  <c r="G5" i="17"/>
  <c r="G4" i="17" s="1"/>
  <c r="F5" i="17"/>
  <c r="F4" i="17" s="1"/>
  <c r="N5" i="17"/>
  <c r="N4" i="17" s="1"/>
  <c r="P6" i="17"/>
  <c r="Q6" i="17" s="1"/>
  <c r="P5" i="17" l="1"/>
  <c r="P4" i="17" s="1"/>
  <c r="Q4" i="17" s="1"/>
  <c r="Q5" i="17" l="1"/>
  <c r="W821" i="1" l="1"/>
  <c r="W822" i="1"/>
  <c r="W820" i="1"/>
  <c r="W818" i="1"/>
  <c r="W817" i="1"/>
  <c r="W816" i="1"/>
  <c r="W815" i="1"/>
  <c r="A920" i="1" l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G27" i="1" l="1"/>
  <c r="G15" i="1" l="1"/>
  <c r="G13" i="1"/>
  <c r="D5" i="16" l="1"/>
  <c r="D10" i="16" s="1"/>
  <c r="E5" i="16"/>
  <c r="F5" i="16"/>
  <c r="G5" i="16"/>
  <c r="H5" i="16"/>
  <c r="L5" i="16"/>
  <c r="N10" i="16"/>
  <c r="G32" i="1" l="1"/>
  <c r="Q11" i="16" l="1"/>
  <c r="P11" i="16"/>
  <c r="J10" i="1" l="1"/>
  <c r="K10" i="1"/>
  <c r="L10" i="1"/>
  <c r="M10" i="1"/>
  <c r="N10" i="1"/>
  <c r="O10" i="1"/>
  <c r="P10" i="1"/>
  <c r="Q10" i="1"/>
  <c r="R10" i="1"/>
  <c r="S10" i="1"/>
  <c r="K13" i="1"/>
  <c r="L13" i="1"/>
  <c r="M13" i="1"/>
  <c r="N13" i="1"/>
  <c r="O13" i="1"/>
  <c r="P13" i="1"/>
  <c r="Q13" i="1"/>
  <c r="R13" i="1"/>
  <c r="S13" i="1"/>
  <c r="J14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7" i="1"/>
  <c r="L17" i="1"/>
  <c r="M17" i="1"/>
  <c r="N17" i="1"/>
  <c r="O17" i="1"/>
  <c r="P17" i="1"/>
  <c r="Q17" i="1"/>
  <c r="R17" i="1"/>
  <c r="S17" i="1"/>
  <c r="J18" i="1"/>
  <c r="K18" i="1"/>
  <c r="L18" i="1"/>
  <c r="M18" i="1"/>
  <c r="N18" i="1"/>
  <c r="O18" i="1"/>
  <c r="P18" i="1"/>
  <c r="Q18" i="1"/>
  <c r="R18" i="1"/>
  <c r="S18" i="1"/>
  <c r="J22" i="1"/>
  <c r="K22" i="1"/>
  <c r="L22" i="1"/>
  <c r="M22" i="1"/>
  <c r="N22" i="1"/>
  <c r="O22" i="1"/>
  <c r="P22" i="1"/>
  <c r="Q22" i="1"/>
  <c r="R22" i="1"/>
  <c r="S22" i="1"/>
  <c r="K27" i="1"/>
  <c r="L27" i="1"/>
  <c r="M27" i="1"/>
  <c r="N27" i="1"/>
  <c r="O27" i="1"/>
  <c r="P27" i="1"/>
  <c r="Q27" i="1"/>
  <c r="R27" i="1"/>
  <c r="S27" i="1"/>
  <c r="J32" i="1"/>
  <c r="K32" i="1"/>
  <c r="L32" i="1"/>
  <c r="M32" i="1"/>
  <c r="N32" i="1"/>
  <c r="O32" i="1"/>
  <c r="P32" i="1"/>
  <c r="Q32" i="1"/>
  <c r="R32" i="1"/>
  <c r="S32" i="1"/>
  <c r="J39" i="1"/>
  <c r="K39" i="1"/>
  <c r="L39" i="1"/>
  <c r="M39" i="1"/>
  <c r="N39" i="1"/>
  <c r="O39" i="1"/>
  <c r="P39" i="1"/>
  <c r="Q39" i="1"/>
  <c r="R39" i="1"/>
  <c r="S39" i="1"/>
  <c r="J46" i="1"/>
  <c r="K46" i="1"/>
  <c r="L46" i="1"/>
  <c r="M46" i="1"/>
  <c r="N46" i="1"/>
  <c r="O46" i="1"/>
  <c r="P46" i="1"/>
  <c r="Q46" i="1"/>
  <c r="R46" i="1"/>
  <c r="S46" i="1"/>
  <c r="N35" i="1" l="1"/>
  <c r="J21" i="1"/>
  <c r="N42" i="1"/>
  <c r="S41" i="1"/>
  <c r="Q41" i="1"/>
  <c r="L41" i="1"/>
  <c r="N41" i="1"/>
  <c r="R41" i="1"/>
  <c r="K41" i="1"/>
  <c r="P41" i="1"/>
  <c r="J41" i="1"/>
  <c r="O41" i="1"/>
  <c r="M41" i="1"/>
  <c r="Q30" i="1"/>
  <c r="K30" i="1"/>
  <c r="P30" i="1"/>
  <c r="J30" i="1"/>
  <c r="O30" i="1"/>
  <c r="N30" i="1"/>
  <c r="S30" i="1"/>
  <c r="M30" i="1"/>
  <c r="R30" i="1"/>
  <c r="L30" i="1"/>
  <c r="L42" i="1"/>
  <c r="R40" i="1"/>
  <c r="P43" i="1"/>
  <c r="J43" i="1"/>
  <c r="L40" i="1"/>
  <c r="K28" i="1"/>
  <c r="O6" i="1"/>
  <c r="P7" i="1"/>
  <c r="J7" i="1"/>
  <c r="R11" i="1"/>
  <c r="J17" i="1"/>
  <c r="J27" i="1"/>
  <c r="R42" i="1"/>
  <c r="Q11" i="1"/>
  <c r="K11" i="1"/>
  <c r="K44" i="1"/>
  <c r="Q16" i="1"/>
  <c r="Q28" i="1"/>
  <c r="S21" i="1"/>
  <c r="M21" i="1"/>
  <c r="S6" i="1"/>
  <c r="J15" i="1"/>
  <c r="P35" i="1"/>
  <c r="J13" i="1"/>
  <c r="M44" i="1"/>
  <c r="N43" i="1"/>
  <c r="O7" i="1"/>
  <c r="M6" i="1"/>
  <c r="N44" i="1"/>
  <c r="S35" i="1"/>
  <c r="M35" i="1"/>
  <c r="R44" i="1"/>
  <c r="O42" i="1"/>
  <c r="M37" i="1"/>
  <c r="S16" i="1"/>
  <c r="M16" i="1"/>
  <c r="R7" i="1"/>
  <c r="L7" i="1"/>
  <c r="N7" i="1"/>
  <c r="R6" i="1"/>
  <c r="L6" i="1"/>
  <c r="Q44" i="1"/>
  <c r="S44" i="1"/>
  <c r="P40" i="1"/>
  <c r="J40" i="1"/>
  <c r="R37" i="1"/>
  <c r="L37" i="1"/>
  <c r="O28" i="1"/>
  <c r="S11" i="1"/>
  <c r="M11" i="1"/>
  <c r="P44" i="1"/>
  <c r="J44" i="1"/>
  <c r="Q43" i="1"/>
  <c r="K43" i="1"/>
  <c r="Q42" i="1"/>
  <c r="K42" i="1"/>
  <c r="J37" i="1"/>
  <c r="N28" i="1"/>
  <c r="N23" i="1"/>
  <c r="O44" i="1"/>
  <c r="P16" i="1"/>
  <c r="P4" i="1"/>
  <c r="J4" i="1"/>
  <c r="P42" i="1"/>
  <c r="K37" i="1"/>
  <c r="O43" i="1"/>
  <c r="P37" i="1"/>
  <c r="Q8" i="1"/>
  <c r="J42" i="1"/>
  <c r="Q37" i="1"/>
  <c r="L45" i="1"/>
  <c r="S43" i="1"/>
  <c r="M43" i="1"/>
  <c r="O40" i="1"/>
  <c r="O37" i="1"/>
  <c r="O45" i="1"/>
  <c r="L44" i="1"/>
  <c r="Q40" i="1"/>
  <c r="Q35" i="1"/>
  <c r="N40" i="1"/>
  <c r="M42" i="1"/>
  <c r="K40" i="1"/>
  <c r="K35" i="1"/>
  <c r="R45" i="1"/>
  <c r="R43" i="1"/>
  <c r="L43" i="1"/>
  <c r="S37" i="1"/>
  <c r="J35" i="1"/>
  <c r="M28" i="1"/>
  <c r="S28" i="1"/>
  <c r="R23" i="1"/>
  <c r="L23" i="1"/>
  <c r="P21" i="1"/>
  <c r="K16" i="1"/>
  <c r="L11" i="1"/>
  <c r="N9" i="1"/>
  <c r="O21" i="1"/>
  <c r="R21" i="1"/>
  <c r="L21" i="1"/>
  <c r="N11" i="1"/>
  <c r="S7" i="1"/>
  <c r="M7" i="1"/>
  <c r="Q23" i="1"/>
  <c r="K23" i="1"/>
  <c r="Q21" i="1"/>
  <c r="K21" i="1"/>
  <c r="P11" i="1"/>
  <c r="J11" i="1"/>
  <c r="P8" i="1"/>
  <c r="N8" i="1"/>
  <c r="Q6" i="1"/>
  <c r="K6" i="1"/>
  <c r="N6" i="1"/>
  <c r="R9" i="1"/>
  <c r="R35" i="1"/>
  <c r="L35" i="1"/>
  <c r="O23" i="1"/>
  <c r="O11" i="1"/>
  <c r="Q7" i="1"/>
  <c r="K7" i="1"/>
  <c r="P9" i="1"/>
  <c r="J9" i="1"/>
  <c r="N45" i="1"/>
  <c r="N37" i="1"/>
  <c r="O35" i="1"/>
  <c r="R28" i="1"/>
  <c r="S45" i="1"/>
  <c r="M45" i="1"/>
  <c r="Q45" i="1"/>
  <c r="K45" i="1"/>
  <c r="S40" i="1"/>
  <c r="M40" i="1"/>
  <c r="P23" i="1"/>
  <c r="J23" i="1"/>
  <c r="P45" i="1"/>
  <c r="J45" i="1"/>
  <c r="S42" i="1"/>
  <c r="L28" i="1"/>
  <c r="J8" i="1"/>
  <c r="P28" i="1"/>
  <c r="J28" i="1"/>
  <c r="N21" i="1"/>
  <c r="O8" i="1"/>
  <c r="O4" i="1"/>
  <c r="S23" i="1"/>
  <c r="M23" i="1"/>
  <c r="N16" i="1"/>
  <c r="L8" i="1"/>
  <c r="O16" i="1"/>
  <c r="S8" i="1"/>
  <c r="M8" i="1"/>
  <c r="S5" i="1"/>
  <c r="L9" i="1"/>
  <c r="M5" i="1"/>
  <c r="S4" i="1"/>
  <c r="M4" i="1"/>
  <c r="R8" i="1"/>
  <c r="Q9" i="1"/>
  <c r="R5" i="1"/>
  <c r="R4" i="1"/>
  <c r="R16" i="1"/>
  <c r="L16" i="1"/>
  <c r="K8" i="1"/>
  <c r="K9" i="1"/>
  <c r="L5" i="1"/>
  <c r="S9" i="1"/>
  <c r="M9" i="1"/>
  <c r="N5" i="1"/>
  <c r="P6" i="1"/>
  <c r="J6" i="1"/>
  <c r="Q5" i="1"/>
  <c r="K5" i="1"/>
  <c r="Q4" i="1"/>
  <c r="K4" i="1"/>
  <c r="O9" i="1"/>
  <c r="N4" i="1"/>
  <c r="J5" i="1"/>
  <c r="P5" i="1"/>
  <c r="L4" i="1"/>
  <c r="O5" i="1"/>
  <c r="L25" i="1" l="1"/>
  <c r="P25" i="1"/>
  <c r="K25" i="1"/>
  <c r="S25" i="1"/>
  <c r="M25" i="1"/>
  <c r="N25" i="1"/>
  <c r="R25" i="1"/>
  <c r="O25" i="1"/>
  <c r="Q25" i="1"/>
  <c r="L34" i="1"/>
  <c r="K34" i="1"/>
  <c r="O34" i="1"/>
  <c r="O24" i="1"/>
  <c r="Q34" i="1"/>
  <c r="P34" i="1"/>
  <c r="S34" i="1"/>
  <c r="N34" i="1"/>
  <c r="M34" i="1"/>
  <c r="S24" i="1"/>
  <c r="P24" i="1"/>
  <c r="L24" i="1"/>
  <c r="R24" i="1"/>
  <c r="M24" i="1"/>
  <c r="J24" i="1"/>
  <c r="K24" i="1"/>
  <c r="N24" i="1"/>
  <c r="Q24" i="1"/>
  <c r="L29" i="1"/>
  <c r="Q29" i="1"/>
  <c r="P29" i="1"/>
  <c r="M29" i="1"/>
  <c r="R29" i="1"/>
  <c r="J29" i="1"/>
  <c r="K29" i="1"/>
  <c r="N29" i="1"/>
  <c r="S29" i="1"/>
  <c r="O29" i="1"/>
  <c r="J16" i="1"/>
  <c r="O33" i="1"/>
  <c r="N38" i="1"/>
  <c r="M31" i="1"/>
  <c r="K38" i="1"/>
  <c r="K31" i="1"/>
  <c r="K26" i="1"/>
  <c r="P26" i="1"/>
  <c r="P38" i="1"/>
  <c r="Q38" i="1"/>
  <c r="M38" i="1"/>
  <c r="S38" i="1"/>
  <c r="R34" i="1"/>
  <c r="J33" i="1"/>
  <c r="P33" i="1"/>
  <c r="J31" i="1"/>
  <c r="J26" i="1"/>
  <c r="R19" i="1"/>
  <c r="N19" i="1"/>
  <c r="O31" i="1"/>
  <c r="M33" i="1"/>
  <c r="R26" i="1"/>
  <c r="Q19" i="1"/>
  <c r="L19" i="1"/>
  <c r="N26" i="1"/>
  <c r="O38" i="1"/>
  <c r="S33" i="1"/>
  <c r="Q26" i="1"/>
  <c r="J38" i="1"/>
  <c r="J34" i="1"/>
  <c r="R33" i="1"/>
  <c r="P31" i="1"/>
  <c r="O19" i="1"/>
  <c r="R38" i="1"/>
  <c r="M26" i="1"/>
  <c r="P12" i="1"/>
  <c r="S26" i="1"/>
  <c r="L31" i="1"/>
  <c r="N33" i="1"/>
  <c r="N31" i="1"/>
  <c r="Q31" i="1"/>
  <c r="S31" i="1"/>
  <c r="L38" i="1"/>
  <c r="J12" i="1"/>
  <c r="L26" i="1"/>
  <c r="L33" i="1"/>
  <c r="R31" i="1"/>
  <c r="M19" i="1"/>
  <c r="Q33" i="1"/>
  <c r="S19" i="1"/>
  <c r="K33" i="1"/>
  <c r="R12" i="1"/>
  <c r="N12" i="1"/>
  <c r="K19" i="1"/>
  <c r="P19" i="1"/>
  <c r="K12" i="1"/>
  <c r="S12" i="1"/>
  <c r="O12" i="1"/>
  <c r="L12" i="1"/>
  <c r="Q12" i="1"/>
  <c r="M12" i="1"/>
  <c r="O26" i="1" l="1"/>
  <c r="J25" i="1"/>
  <c r="J19" i="1" l="1"/>
  <c r="W819" i="1"/>
  <c r="W823" i="1" s="1"/>
  <c r="T38" i="1" l="1"/>
  <c r="G41" i="1" l="1"/>
  <c r="I16" i="1" l="1"/>
  <c r="I46" i="1"/>
  <c r="I39" i="1"/>
  <c r="I32" i="1"/>
  <c r="I27" i="1"/>
  <c r="I22" i="1"/>
  <c r="I18" i="1"/>
  <c r="I17" i="1"/>
  <c r="I15" i="1"/>
  <c r="I14" i="1"/>
  <c r="I13" i="1"/>
  <c r="G22" i="1"/>
  <c r="G18" i="1"/>
  <c r="G17" i="1"/>
  <c r="I10" i="1"/>
  <c r="G28" i="1" l="1"/>
  <c r="I41" i="1"/>
  <c r="G31" i="1"/>
  <c r="G42" i="1"/>
  <c r="G30" i="1"/>
  <c r="G24" i="1"/>
  <c r="G23" i="1"/>
  <c r="G5" i="1"/>
  <c r="G4" i="1"/>
  <c r="G9" i="1"/>
  <c r="G8" i="1"/>
  <c r="I30" i="1"/>
  <c r="I8" i="1"/>
  <c r="I23" i="1"/>
  <c r="G45" i="1"/>
  <c r="G7" i="1"/>
  <c r="I6" i="1"/>
  <c r="G16" i="1"/>
  <c r="I28" i="1"/>
  <c r="I45" i="1"/>
  <c r="G6" i="1"/>
  <c r="I5" i="1"/>
  <c r="I7" i="1"/>
  <c r="I44" i="1"/>
  <c r="I9" i="1"/>
  <c r="G37" i="1"/>
  <c r="I42" i="1"/>
  <c r="I4" i="1"/>
  <c r="I11" i="1"/>
  <c r="G21" i="1"/>
  <c r="G29" i="1"/>
  <c r="G38" i="1"/>
  <c r="I40" i="1"/>
  <c r="I35" i="1"/>
  <c r="I43" i="1"/>
  <c r="I21" i="1"/>
  <c r="G19" i="1" l="1"/>
  <c r="G25" i="1"/>
  <c r="I24" i="1"/>
  <c r="I34" i="1"/>
  <c r="I29" i="1"/>
  <c r="I31" i="1"/>
  <c r="I37" i="1"/>
  <c r="I33" i="1"/>
  <c r="G33" i="1"/>
  <c r="I19" i="1"/>
  <c r="I38" i="1"/>
  <c r="G26" i="1"/>
  <c r="I26" i="1"/>
  <c r="I12" i="1"/>
  <c r="A559" i="1"/>
  <c r="I25" i="1" l="1"/>
  <c r="A203" i="1" l="1"/>
  <c r="M12" i="22" l="1"/>
  <c r="L10" i="22"/>
  <c r="N9" i="22"/>
  <c r="L9" i="22"/>
  <c r="N5" i="22"/>
  <c r="L5" i="22"/>
  <c r="I13" i="22"/>
  <c r="G13" i="22"/>
  <c r="D13" i="22"/>
  <c r="B13" i="22"/>
  <c r="I9" i="22"/>
  <c r="G9" i="22"/>
  <c r="D9" i="22"/>
  <c r="B9" i="22"/>
  <c r="I5" i="22"/>
  <c r="G5" i="22"/>
  <c r="D5" i="22"/>
  <c r="B5" i="22"/>
  <c r="L11" i="22" l="1"/>
  <c r="N11" i="22"/>
  <c r="I9" i="16" l="1"/>
  <c r="C9" i="16"/>
  <c r="F10" i="16"/>
  <c r="E10" i="16"/>
  <c r="H40" i="1" l="1"/>
  <c r="H41" i="1" l="1"/>
  <c r="T41" i="1" s="1"/>
  <c r="H35" i="1"/>
  <c r="T35" i="1" s="1"/>
  <c r="H43" i="1"/>
  <c r="T43" i="1" s="1"/>
  <c r="H37" i="1"/>
  <c r="T37" i="1" s="1"/>
  <c r="H42" i="1"/>
  <c r="T42" i="1" s="1"/>
  <c r="H33" i="1"/>
  <c r="T33" i="1" s="1"/>
  <c r="H27" i="1"/>
  <c r="T27" i="1" s="1"/>
  <c r="H17" i="1"/>
  <c r="T17" i="1" s="1"/>
  <c r="H22" i="1"/>
  <c r="T22" i="1" s="1"/>
  <c r="H18" i="1"/>
  <c r="T18" i="1" s="1"/>
  <c r="H15" i="1"/>
  <c r="T15" i="1" s="1"/>
  <c r="H14" i="1"/>
  <c r="T14" i="1" s="1"/>
  <c r="H10" i="1"/>
  <c r="T10" i="1" s="1"/>
  <c r="H46" i="1"/>
  <c r="T46" i="1" s="1"/>
  <c r="H45" i="1"/>
  <c r="T45" i="1" s="1"/>
  <c r="H44" i="1"/>
  <c r="T44" i="1" s="1"/>
  <c r="T40" i="1"/>
  <c r="H39" i="1"/>
  <c r="T39" i="1" s="1"/>
  <c r="H32" i="1"/>
  <c r="T32" i="1" s="1"/>
  <c r="H30" i="1" l="1"/>
  <c r="T30" i="1" s="1"/>
  <c r="H21" i="1"/>
  <c r="T21" i="1" s="1"/>
  <c r="H23" i="1"/>
  <c r="T23" i="1" s="1"/>
  <c r="H38" i="1"/>
  <c r="H13" i="1"/>
  <c r="T13" i="1" s="1"/>
  <c r="H16" i="1"/>
  <c r="T16" i="1" s="1"/>
  <c r="H11" i="1"/>
  <c r="T11" i="1" s="1"/>
  <c r="H6" i="1"/>
  <c r="T6" i="1" s="1"/>
  <c r="H7" i="1"/>
  <c r="T7" i="1" s="1"/>
  <c r="H5" i="1"/>
  <c r="T5" i="1" s="1"/>
  <c r="H4" i="1"/>
  <c r="T4" i="1" s="1"/>
  <c r="H9" i="1"/>
  <c r="T9" i="1" s="1"/>
  <c r="H25" i="1" l="1"/>
  <c r="T25" i="1" s="1"/>
  <c r="H28" i="1"/>
  <c r="T28" i="1" s="1"/>
  <c r="H34" i="1"/>
  <c r="T34" i="1" s="1"/>
  <c r="H29" i="1"/>
  <c r="T29" i="1" s="1"/>
  <c r="H26" i="1"/>
  <c r="T26" i="1" s="1"/>
  <c r="H24" i="1"/>
  <c r="T24" i="1" s="1"/>
  <c r="H20" i="1"/>
  <c r="H8" i="1"/>
  <c r="T8" i="1" s="1"/>
  <c r="T12" i="1" s="1"/>
  <c r="H12" i="1" l="1"/>
  <c r="H31" i="1"/>
  <c r="T31" i="1" s="1"/>
  <c r="H19" i="1"/>
  <c r="T19" i="1" s="1"/>
  <c r="A379" i="1" l="1"/>
  <c r="A419" i="1"/>
  <c r="A372" i="1"/>
  <c r="A368" i="1"/>
  <c r="A364" i="1"/>
  <c r="A361" i="1"/>
  <c r="A359" i="1"/>
  <c r="A357" i="1"/>
  <c r="A354" i="1"/>
  <c r="A348" i="1"/>
  <c r="A345" i="1"/>
  <c r="A341" i="1"/>
  <c r="A339" i="1"/>
  <c r="A336" i="1"/>
  <c r="A329" i="1"/>
  <c r="C10" i="16"/>
  <c r="M10" i="16"/>
  <c r="M11" i="16" s="1"/>
  <c r="H10" i="16"/>
  <c r="H11" i="16" s="1"/>
  <c r="G10" i="16"/>
  <c r="G11" i="16" s="1"/>
  <c r="F11" i="16"/>
  <c r="E11" i="16"/>
  <c r="D11" i="16"/>
  <c r="N11" i="16" l="1"/>
  <c r="K10" i="16"/>
  <c r="K11" i="16" s="1"/>
  <c r="J10" i="16"/>
  <c r="J11" i="16" s="1"/>
  <c r="A363" i="1"/>
  <c r="C11" i="16"/>
  <c r="L10" i="16"/>
  <c r="L11" i="16" s="1"/>
  <c r="I10" i="16"/>
  <c r="O10" i="16" l="1"/>
  <c r="I11" i="16"/>
  <c r="O11" i="16" s="1"/>
  <c r="O9" i="16"/>
  <c r="A220" i="1" l="1"/>
  <c r="A221" i="1" s="1"/>
  <c r="A393" i="1" l="1"/>
  <c r="A292" i="1"/>
  <c r="A406" i="1"/>
  <c r="A387" i="1"/>
  <c r="A1105" i="1"/>
  <c r="A1106" i="1" s="1"/>
  <c r="A1107" i="1" s="1"/>
  <c r="A1108" i="1" s="1"/>
  <c r="A1109" i="1" s="1"/>
  <c r="A1110" i="1" s="1"/>
  <c r="A1111" i="1" s="1"/>
  <c r="A204" i="1"/>
  <c r="A560" i="1"/>
  <c r="A561" i="1" s="1"/>
  <c r="A562" i="1" s="1"/>
  <c r="A563" i="1" s="1"/>
  <c r="A564" i="1" s="1"/>
  <c r="A295" i="1"/>
  <c r="A326" i="1"/>
  <c r="A438" i="1"/>
  <c r="A575" i="1"/>
  <c r="A576" i="1" s="1"/>
  <c r="A577" i="1" s="1"/>
  <c r="A579" i="1" s="1"/>
  <c r="A316" i="1"/>
  <c r="A434" i="1"/>
  <c r="A432" i="1"/>
  <c r="A426" i="1"/>
  <c r="A344" i="1"/>
  <c r="A332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N15" i="13"/>
  <c r="N46" i="13"/>
  <c r="L65" i="13"/>
  <c r="N53" i="13"/>
  <c r="N51" i="13"/>
  <c r="N45" i="13"/>
  <c r="N42" i="13"/>
  <c r="N40" i="13"/>
  <c r="N30" i="13"/>
  <c r="N21" i="13"/>
  <c r="N19" i="13"/>
  <c r="N17" i="13"/>
  <c r="G17" i="13"/>
  <c r="G16" i="13"/>
  <c r="H16" i="13" s="1"/>
  <c r="N11" i="13"/>
  <c r="F11" i="13"/>
  <c r="F9" i="13" s="1"/>
  <c r="F6" i="13"/>
  <c r="G6" i="13" s="1"/>
  <c r="H6" i="13" s="1"/>
  <c r="N57" i="13"/>
  <c r="M57" i="13"/>
  <c r="G57" i="13"/>
  <c r="H57" i="13" s="1"/>
  <c r="E57" i="13"/>
  <c r="N56" i="13"/>
  <c r="M56" i="13"/>
  <c r="H56" i="13"/>
  <c r="E56" i="13"/>
  <c r="N55" i="13"/>
  <c r="M55" i="13"/>
  <c r="G55" i="13"/>
  <c r="H55" i="13" s="1"/>
  <c r="E55" i="13"/>
  <c r="N54" i="13"/>
  <c r="M54" i="13"/>
  <c r="G54" i="13"/>
  <c r="H54" i="13" s="1"/>
  <c r="E54" i="13"/>
  <c r="M53" i="13"/>
  <c r="G53" i="13"/>
  <c r="H53" i="13" s="1"/>
  <c r="E53" i="13"/>
  <c r="N52" i="13"/>
  <c r="M52" i="13"/>
  <c r="G52" i="13"/>
  <c r="H52" i="13" s="1"/>
  <c r="E52" i="13"/>
  <c r="L51" i="13"/>
  <c r="M51" i="13" s="1"/>
  <c r="G51" i="13"/>
  <c r="D51" i="13"/>
  <c r="E51" i="13" s="1"/>
  <c r="N50" i="13"/>
  <c r="M50" i="13"/>
  <c r="G50" i="13"/>
  <c r="H50" i="13" s="1"/>
  <c r="N49" i="13"/>
  <c r="M49" i="13"/>
  <c r="H49" i="13"/>
  <c r="E49" i="13"/>
  <c r="N48" i="13"/>
  <c r="M48" i="13"/>
  <c r="G48" i="13"/>
  <c r="H48" i="13" s="1"/>
  <c r="E48" i="13"/>
  <c r="K47" i="13"/>
  <c r="F47" i="13"/>
  <c r="C47" i="13"/>
  <c r="K46" i="13"/>
  <c r="M46" i="13" s="1"/>
  <c r="G46" i="13"/>
  <c r="H46" i="13" s="1"/>
  <c r="C46" i="13"/>
  <c r="M45" i="13"/>
  <c r="G45" i="13"/>
  <c r="H45" i="13" s="1"/>
  <c r="N44" i="13"/>
  <c r="M44" i="13"/>
  <c r="G44" i="13"/>
  <c r="H44" i="13" s="1"/>
  <c r="M43" i="13"/>
  <c r="G43" i="13"/>
  <c r="H43" i="13" s="1"/>
  <c r="M42" i="13"/>
  <c r="G42" i="13"/>
  <c r="H42" i="13" s="1"/>
  <c r="N41" i="13"/>
  <c r="M41" i="13"/>
  <c r="G41" i="13"/>
  <c r="H41" i="13" s="1"/>
  <c r="G40" i="13"/>
  <c r="H40" i="13" s="1"/>
  <c r="M39" i="13"/>
  <c r="G39" i="13"/>
  <c r="H39" i="13" s="1"/>
  <c r="N38" i="13"/>
  <c r="K38" i="13"/>
  <c r="M38" i="13" s="1"/>
  <c r="G38" i="13"/>
  <c r="H38" i="13" s="1"/>
  <c r="C38" i="13"/>
  <c r="N37" i="13"/>
  <c r="K37" i="13"/>
  <c r="M37" i="13" s="1"/>
  <c r="G37" i="13"/>
  <c r="H37" i="13" s="1"/>
  <c r="C37" i="13"/>
  <c r="N36" i="13"/>
  <c r="M36" i="13"/>
  <c r="G36" i="13"/>
  <c r="H36" i="13" s="1"/>
  <c r="K35" i="13"/>
  <c r="M35" i="13" s="1"/>
  <c r="G35" i="13"/>
  <c r="H35" i="13" s="1"/>
  <c r="C35" i="13"/>
  <c r="L34" i="13"/>
  <c r="F34" i="13"/>
  <c r="N33" i="13"/>
  <c r="M33" i="13"/>
  <c r="G33" i="13"/>
  <c r="H33" i="13" s="1"/>
  <c r="N32" i="13"/>
  <c r="M32" i="13"/>
  <c r="G32" i="13"/>
  <c r="H32" i="13" s="1"/>
  <c r="N31" i="13"/>
  <c r="M31" i="13"/>
  <c r="G31" i="13"/>
  <c r="H31" i="13" s="1"/>
  <c r="M30" i="13"/>
  <c r="G30" i="13"/>
  <c r="H30" i="13" s="1"/>
  <c r="L29" i="13"/>
  <c r="K29" i="13"/>
  <c r="F29" i="13"/>
  <c r="C29" i="13"/>
  <c r="M28" i="13"/>
  <c r="G28" i="13"/>
  <c r="H28" i="13" s="1"/>
  <c r="M27" i="13"/>
  <c r="G27" i="13"/>
  <c r="H27" i="13" s="1"/>
  <c r="M26" i="13"/>
  <c r="G26" i="13"/>
  <c r="H26" i="13" s="1"/>
  <c r="M25" i="13"/>
  <c r="G25" i="13"/>
  <c r="H25" i="13" s="1"/>
  <c r="N24" i="13"/>
  <c r="L24" i="13"/>
  <c r="K24" i="13"/>
  <c r="F24" i="13"/>
  <c r="C24" i="13"/>
  <c r="G23" i="13"/>
  <c r="H23" i="13" s="1"/>
  <c r="C23" i="13"/>
  <c r="N22" i="13"/>
  <c r="K22" i="13"/>
  <c r="M22" i="13" s="1"/>
  <c r="G22" i="13"/>
  <c r="H22" i="13" s="1"/>
  <c r="M21" i="13"/>
  <c r="G21" i="13"/>
  <c r="H21" i="13" s="1"/>
  <c r="N20" i="13"/>
  <c r="G20" i="13"/>
  <c r="H20" i="13" s="1"/>
  <c r="K19" i="13"/>
  <c r="M19" i="13" s="1"/>
  <c r="G19" i="13"/>
  <c r="H19" i="13" s="1"/>
  <c r="C19" i="13"/>
  <c r="K18" i="13"/>
  <c r="M18" i="13" s="1"/>
  <c r="G18" i="13"/>
  <c r="C17" i="13"/>
  <c r="M16" i="13"/>
  <c r="M15" i="13"/>
  <c r="G15" i="13"/>
  <c r="H15" i="13" s="1"/>
  <c r="N14" i="13"/>
  <c r="M14" i="13"/>
  <c r="G14" i="13"/>
  <c r="H14" i="13" s="1"/>
  <c r="M13" i="13"/>
  <c r="G13" i="13"/>
  <c r="N12" i="13"/>
  <c r="M12" i="13"/>
  <c r="G12" i="13"/>
  <c r="H12" i="13" s="1"/>
  <c r="K11" i="13"/>
  <c r="M11" i="13" s="1"/>
  <c r="N10" i="13"/>
  <c r="K10" i="13"/>
  <c r="M10" i="13" s="1"/>
  <c r="G10" i="13"/>
  <c r="H10" i="13" s="1"/>
  <c r="L9" i="13"/>
  <c r="N8" i="13"/>
  <c r="M8" i="13"/>
  <c r="G8" i="13"/>
  <c r="H8" i="13" s="1"/>
  <c r="N7" i="13"/>
  <c r="M7" i="13"/>
  <c r="F7" i="13"/>
  <c r="G7" i="13" s="1"/>
  <c r="H7" i="13" s="1"/>
  <c r="N6" i="13"/>
  <c r="M6" i="13"/>
  <c r="N5" i="13"/>
  <c r="M5" i="13"/>
  <c r="F5" i="13"/>
  <c r="G5" i="13" s="1"/>
  <c r="H5" i="13" s="1"/>
  <c r="L4" i="13"/>
  <c r="K4" i="13"/>
  <c r="C4" i="13"/>
  <c r="A205" i="1" l="1"/>
  <c r="A206" i="1" s="1"/>
  <c r="A207" i="1" s="1"/>
  <c r="A208" i="1" s="1"/>
  <c r="A209" i="1" s="1"/>
  <c r="A210" i="1" s="1"/>
  <c r="A211" i="1" s="1"/>
  <c r="A212" i="1" s="1"/>
  <c r="U14" i="1"/>
  <c r="G11" i="13"/>
  <c r="H11" i="13" s="1"/>
  <c r="C34" i="13"/>
  <c r="H51" i="13"/>
  <c r="N34" i="13"/>
  <c r="M4" i="13"/>
  <c r="M29" i="13"/>
  <c r="C9" i="13"/>
  <c r="C3" i="13" s="1"/>
  <c r="N29" i="13"/>
  <c r="N47" i="13"/>
  <c r="N4" i="13"/>
  <c r="L3" i="13"/>
  <c r="N9" i="13"/>
  <c r="H29" i="13"/>
  <c r="H34" i="13"/>
  <c r="H9" i="13"/>
  <c r="M24" i="13"/>
  <c r="U10" i="1"/>
  <c r="H4" i="13"/>
  <c r="H24" i="13"/>
  <c r="H47" i="13"/>
  <c r="G29" i="13"/>
  <c r="K64" i="13" s="1"/>
  <c r="G34" i="13"/>
  <c r="K61" i="13" s="1"/>
  <c r="D47" i="13"/>
  <c r="K34" i="13"/>
  <c r="M34" i="13" s="1"/>
  <c r="G24" i="13"/>
  <c r="G47" i="13"/>
  <c r="G4" i="13"/>
  <c r="F4" i="13"/>
  <c r="F3" i="13" s="1"/>
  <c r="F58" i="13" s="1"/>
  <c r="K9" i="13"/>
  <c r="M9" i="13" s="1"/>
  <c r="L47" i="13"/>
  <c r="U4" i="1"/>
  <c r="U5" i="1"/>
  <c r="U15" i="1" l="1"/>
  <c r="U18" i="1"/>
  <c r="U43" i="1"/>
  <c r="U41" i="1"/>
  <c r="U27" i="1"/>
  <c r="U39" i="1"/>
  <c r="U32" i="1"/>
  <c r="U17" i="1"/>
  <c r="G9" i="13"/>
  <c r="G3" i="13" s="1"/>
  <c r="K62" i="13" s="1"/>
  <c r="N62" i="13" s="1"/>
  <c r="U46" i="1"/>
  <c r="H3" i="13"/>
  <c r="H58" i="13" s="1"/>
  <c r="N3" i="13"/>
  <c r="N58" i="13" s="1"/>
  <c r="G12" i="1"/>
  <c r="N61" i="13"/>
  <c r="K63" i="13"/>
  <c r="L58" i="13"/>
  <c r="M47" i="13"/>
  <c r="K3" i="13"/>
  <c r="M3" i="13" s="1"/>
  <c r="U7" i="1"/>
  <c r="U6" i="1"/>
  <c r="U9" i="1"/>
  <c r="U28" i="1" l="1"/>
  <c r="U30" i="1"/>
  <c r="U40" i="1"/>
  <c r="U21" i="1"/>
  <c r="U37" i="1"/>
  <c r="U23" i="1"/>
  <c r="U45" i="1"/>
  <c r="U44" i="1"/>
  <c r="U31" i="1"/>
  <c r="U42" i="1"/>
  <c r="U22" i="1"/>
  <c r="U29" i="1"/>
  <c r="G58" i="13"/>
  <c r="K65" i="13"/>
  <c r="N65" i="13" s="1"/>
  <c r="K58" i="13"/>
  <c r="M58" i="13" s="1"/>
  <c r="U8" i="1"/>
  <c r="U13" i="1"/>
  <c r="U35" i="1"/>
  <c r="U11" i="1"/>
  <c r="U12" i="1" l="1"/>
  <c r="U24" i="1"/>
  <c r="U25" i="1"/>
  <c r="U34" i="1"/>
  <c r="G47" i="1"/>
  <c r="G48" i="1" s="1"/>
  <c r="U33" i="1" l="1"/>
  <c r="U16" i="1"/>
  <c r="U38" i="1"/>
  <c r="U19" i="1" l="1"/>
  <c r="U26" i="1" l="1"/>
  <c r="R36" i="1"/>
  <c r="P36" i="1"/>
  <c r="H36" i="1"/>
  <c r="H47" i="1" s="1"/>
  <c r="H48" i="1" s="1"/>
  <c r="S36" i="1"/>
  <c r="M36" i="1"/>
  <c r="I36" i="1"/>
  <c r="L36" i="1"/>
  <c r="J36" i="1"/>
  <c r="Q36" i="1"/>
  <c r="N36" i="1"/>
  <c r="K36" i="1"/>
  <c r="O36" i="1"/>
  <c r="T36" i="1" l="1"/>
  <c r="U36" i="1" l="1"/>
  <c r="L20" i="1"/>
  <c r="L47" i="1" s="1"/>
  <c r="L48" i="1" s="1"/>
  <c r="K20" i="1"/>
  <c r="K47" i="1" s="1"/>
  <c r="K48" i="1" s="1"/>
  <c r="I20" i="1"/>
  <c r="P20" i="1"/>
  <c r="P47" i="1" s="1"/>
  <c r="P48" i="1" s="1"/>
  <c r="O20" i="1"/>
  <c r="O47" i="1" s="1"/>
  <c r="O48" i="1" s="1"/>
  <c r="S20" i="1"/>
  <c r="S47" i="1" s="1"/>
  <c r="S48" i="1" s="1"/>
  <c r="M20" i="1"/>
  <c r="M47" i="1" s="1"/>
  <c r="M48" i="1" s="1"/>
  <c r="N20" i="1"/>
  <c r="N47" i="1" s="1"/>
  <c r="N48" i="1" s="1"/>
  <c r="J20" i="1"/>
  <c r="J47" i="1" s="1"/>
  <c r="J48" i="1" s="1"/>
  <c r="Q20" i="1"/>
  <c r="Q47" i="1" s="1"/>
  <c r="Q48" i="1" s="1"/>
  <c r="R20" i="1"/>
  <c r="R47" i="1" s="1"/>
  <c r="R48" i="1" s="1"/>
  <c r="I47" i="1" l="1"/>
  <c r="I48" i="1" s="1"/>
  <c r="T20" i="1"/>
  <c r="T47" i="1" l="1"/>
  <c r="U20" i="1"/>
  <c r="U47" i="1" l="1"/>
  <c r="U48" i="1" s="1"/>
  <c r="T48" i="1"/>
</calcChain>
</file>

<file path=xl/sharedStrings.xml><?xml version="1.0" encoding="utf-8"?>
<sst xmlns="http://schemas.openxmlformats.org/spreadsheetml/2006/main" count="3284" uniqueCount="1446">
  <si>
    <t xml:space="preserve"> PROYECTO  PRESUPUESTO  2016 Versión 1  Nov. 2015</t>
  </si>
  <si>
    <t xml:space="preserve"> </t>
  </si>
  <si>
    <t xml:space="preserve">   ENERO </t>
  </si>
  <si>
    <t xml:space="preserve">    FEBRERO</t>
  </si>
  <si>
    <t xml:space="preserve">    MARZO</t>
  </si>
  <si>
    <t xml:space="preserve">    ABRIL</t>
  </si>
  <si>
    <t xml:space="preserve">    MAYO</t>
  </si>
  <si>
    <t xml:space="preserve">    JUNIO</t>
  </si>
  <si>
    <t xml:space="preserve">    JULIO</t>
  </si>
  <si>
    <t xml:space="preserve">    AGOSTO</t>
  </si>
  <si>
    <t xml:space="preserve">    SEPT </t>
  </si>
  <si>
    <t xml:space="preserve">    OCT</t>
  </si>
  <si>
    <t xml:space="preserve">    NOV</t>
  </si>
  <si>
    <t>DIC</t>
  </si>
  <si>
    <t xml:space="preserve">EJECUTADO </t>
  </si>
  <si>
    <t>%</t>
  </si>
  <si>
    <t>INGRESOS</t>
  </si>
  <si>
    <t>CUOTAS DE ENSEÑANZA</t>
  </si>
  <si>
    <t xml:space="preserve">MATRICULAS </t>
  </si>
  <si>
    <t xml:space="preserve">PRE ESPECIALIDAD </t>
  </si>
  <si>
    <t xml:space="preserve">DIPLOMADOS Y SEMINARIOS </t>
  </si>
  <si>
    <t xml:space="preserve">MAESTRÍAS, POSTGRADOS </t>
  </si>
  <si>
    <t>OTROS ARANCELES</t>
  </si>
  <si>
    <t xml:space="preserve">CIOPS ENCUESTAS </t>
  </si>
  <si>
    <t>OTROS INGRESOS</t>
  </si>
  <si>
    <t xml:space="preserve">  TOTAL DE INGRESOS </t>
  </si>
  <si>
    <t>SERVICIOS PROFESIONALES</t>
  </si>
  <si>
    <t>PRESTAMOS BANCARIOS</t>
  </si>
  <si>
    <t>SUELDOS ADMINISTRATIVOS</t>
  </si>
  <si>
    <t>SUELDOS ACADÉMICOS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</si>
  <si>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</si>
  <si>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SUELDOS DTC</t>
  </si>
  <si>
    <t>HORA CLASE</t>
  </si>
  <si>
    <t>SERVICIOS TECNOLOGICOS</t>
  </si>
  <si>
    <t>INVERSIONES Y PROYECTOS ESPECIALES</t>
  </si>
  <si>
    <t>PRESTACIONES AL PERSONAL</t>
  </si>
  <si>
    <t>SERVICIOS PÚBLICOS</t>
  </si>
  <si>
    <t>INVESTIGACIONES</t>
  </si>
  <si>
    <t>PROYECCION SOCIAL</t>
  </si>
  <si>
    <t>MAESTRÍAS Y POSTGRADOS</t>
  </si>
  <si>
    <t>MATERIAL DIDÁCTICO</t>
  </si>
  <si>
    <t>ALQUILERES</t>
  </si>
  <si>
    <t>MEDIOS DE COMUNICACIÓN</t>
  </si>
  <si>
    <t>COMUNICACIÓN INSTITUCIONAL</t>
  </si>
  <si>
    <t>MANTENIMIENTO</t>
  </si>
  <si>
    <t>SEGUROS</t>
  </si>
  <si>
    <t>CAPACITACIÓN AL PERSONAL</t>
  </si>
  <si>
    <t>GASTOS DE VIAJE</t>
  </si>
  <si>
    <t>NUEVO INGRESO</t>
  </si>
  <si>
    <t>DECANATO DE ESTUDIANTES</t>
  </si>
  <si>
    <t>EVENTOS INSTITUCIONALES</t>
  </si>
  <si>
    <t>INSUMOS DE OFICINA</t>
  </si>
  <si>
    <t>INSTITUTO DE GRADUADOS</t>
  </si>
  <si>
    <t xml:space="preserve">BIBLIOTECA </t>
  </si>
  <si>
    <t>MEMBRESIAS Y SUSCRIPCIONES</t>
  </si>
  <si>
    <t>DONACIONES</t>
  </si>
  <si>
    <t>RELACIONES INTERNACIONALES</t>
  </si>
  <si>
    <t xml:space="preserve">PROVEEDORES </t>
  </si>
  <si>
    <t>TOTAL EGRESOS</t>
  </si>
  <si>
    <t>RESULTADOS</t>
  </si>
  <si>
    <t>rango</t>
  </si>
  <si>
    <t>Cuenta</t>
  </si>
  <si>
    <t>correlativo</t>
  </si>
  <si>
    <t>Datos</t>
  </si>
  <si>
    <t>Concepto</t>
  </si>
  <si>
    <t>2022</t>
  </si>
  <si>
    <t>1,2,4</t>
  </si>
  <si>
    <t>R</t>
  </si>
  <si>
    <t>INGRESOS ACADEMIA</t>
  </si>
  <si>
    <t>N</t>
  </si>
  <si>
    <t xml:space="preserve"> FACULTAD CC EMPRESARIALES</t>
  </si>
  <si>
    <t xml:space="preserve"> CUOTAS DE ENSEÑANZA  </t>
  </si>
  <si>
    <t>S</t>
  </si>
  <si>
    <t xml:space="preserve"> Pre Grado                       </t>
  </si>
  <si>
    <t xml:space="preserve"> Técnicos                      </t>
  </si>
  <si>
    <t xml:space="preserve"> MATRICULAS</t>
  </si>
  <si>
    <t xml:space="preserve"> Pre Grado</t>
  </si>
  <si>
    <t xml:space="preserve"> Técnicos</t>
  </si>
  <si>
    <t xml:space="preserve"> OTROS ARANCELES CC EE</t>
  </si>
  <si>
    <t xml:space="preserve"> FACULTAD  INFORMATICA Y CC APLIC</t>
  </si>
  <si>
    <t xml:space="preserve"> Técnicos                         </t>
  </si>
  <si>
    <t xml:space="preserve"> OTROS ARANCELES</t>
  </si>
  <si>
    <t xml:space="preserve"> FACULTAD  CC SOCIALES</t>
  </si>
  <si>
    <t xml:space="preserve"> Pre Grado                     </t>
  </si>
  <si>
    <t xml:space="preserve"> Tecnicos</t>
  </si>
  <si>
    <t xml:space="preserve"> FACULTAD  CC JURIDICAS</t>
  </si>
  <si>
    <t>PRE- GRADO</t>
  </si>
  <si>
    <t>FACULTAD CC EMPRESARIALES</t>
  </si>
  <si>
    <t>FACULTAD  INFORMATICA Y CC APLIC</t>
  </si>
  <si>
    <t>FACULTAD CC SOCIALES</t>
  </si>
  <si>
    <t>FACULTAD CC JURIDICAS</t>
  </si>
  <si>
    <t>CARRERAS TECNICAS</t>
  </si>
  <si>
    <t>CENTRO DE FORMACION PROF</t>
  </si>
  <si>
    <t>DIPLOMADOS Y SEMINARIOS</t>
  </si>
  <si>
    <t xml:space="preserve">DIPLOMADOS </t>
  </si>
  <si>
    <t xml:space="preserve">FACULTAD CC EMPRESARIALES </t>
  </si>
  <si>
    <t>SEMINARIOS</t>
  </si>
  <si>
    <t>MAESTRIAS Y POSTGRADOS</t>
  </si>
  <si>
    <t>MAESTRIAS</t>
  </si>
  <si>
    <t>ADMINISTRACIÓN  FINANCIERA</t>
  </si>
  <si>
    <t>Matrículas</t>
  </si>
  <si>
    <t>Cuotas de enseñanza</t>
  </si>
  <si>
    <t xml:space="preserve">Seminario de graduación </t>
  </si>
  <si>
    <t>Otros Aranceles</t>
  </si>
  <si>
    <t>Derechos de Graduación</t>
  </si>
  <si>
    <t>ADMINISTRACIÓN DE NEGOCIOS</t>
  </si>
  <si>
    <t>BANCA Y FINANZAS</t>
  </si>
  <si>
    <t>TALENTO HUMANO VIRTUAL</t>
  </si>
  <si>
    <t>EN CRIMINOLOGIA</t>
  </si>
  <si>
    <t>TALENTO HUMANO</t>
  </si>
  <si>
    <t>ADMON.  NEGOCIOS VIRTUAL</t>
  </si>
  <si>
    <t>ADMON. FINANCIERA VIRTUAL</t>
  </si>
  <si>
    <t>AUDITORIA FORENSE</t>
  </si>
  <si>
    <t>INGENIERA CON ESPEC ROBOTIC</t>
  </si>
  <si>
    <t>POSTGRADOS</t>
  </si>
  <si>
    <t>Cursos, seminarios y otros</t>
  </si>
  <si>
    <t>Parqueos</t>
  </si>
  <si>
    <t>Alquileres</t>
  </si>
  <si>
    <t>CIOPS ENCUESTAS</t>
  </si>
  <si>
    <t>ENCUESTAS</t>
  </si>
  <si>
    <t xml:space="preserve">CONTRATADAS </t>
  </si>
  <si>
    <t>UNFPA-MINSAL</t>
  </si>
  <si>
    <t>ABANSA</t>
  </si>
  <si>
    <t xml:space="preserve"> OTROS INGRESOS DIVERSOS </t>
  </si>
  <si>
    <t>Ingresos Corrientes</t>
  </si>
  <si>
    <t>Alquiler locales</t>
  </si>
  <si>
    <t>Intereses Bancarios Plazos fijos</t>
  </si>
  <si>
    <t>Utec Verde</t>
  </si>
  <si>
    <t>Otros Ingresos diversos-  Desperdicios</t>
  </si>
  <si>
    <t xml:space="preserve"> Otros Ingresos- Patrocinios, ventas</t>
  </si>
  <si>
    <t>Instituto Rey Sejong  Clases coreano</t>
  </si>
  <si>
    <t>Instituto de graduados- Coaching del talento humano</t>
  </si>
  <si>
    <t>Sobrantes no facturados</t>
  </si>
  <si>
    <t xml:space="preserve">SERVICIOS PROFESIONALES </t>
  </si>
  <si>
    <t>Servicio Limpieza y vigilancia  Aloe $ 132,470.00.00 x 12</t>
  </si>
  <si>
    <t xml:space="preserve">Semae  mantenimiento $ 10,000 X 12 </t>
  </si>
  <si>
    <t>Servicio Vigilancia Ojos de Aguila $ 67,762.29 X12</t>
  </si>
  <si>
    <t>Asesoria Publicitaria G de  Duque  $ 3,000.00 X 12</t>
  </si>
  <si>
    <t>Servicios Prof.Lic Reynaldo Lopez G $ 1,000*12</t>
  </si>
  <si>
    <t>Honorarios Lic. Rita de Araujo $ 4,500.00 X12</t>
  </si>
  <si>
    <t>Asesoria Corporativa Lic. Medrano   $ 1,509.00 X 12</t>
  </si>
  <si>
    <t>Auditoria Externa Castellanos Chacón</t>
  </si>
  <si>
    <t>Servicio Seguridad  GPS $ 68.00</t>
  </si>
  <si>
    <t>Tecnoingenieria Ing Mario Fredy Hdez. $ 2,260 x 6</t>
  </si>
  <si>
    <t>Fredy Pineda ( Didactica $ 2,261.11 *12 )</t>
  </si>
  <si>
    <t>Otros Servicios no detallados</t>
  </si>
  <si>
    <t>La Ponderosa</t>
  </si>
  <si>
    <t>Estudio de Preferencia de marcas Montealban</t>
  </si>
  <si>
    <t>Otros honorarios Lc. Medrano</t>
  </si>
  <si>
    <t>BANCO CUSCATLÁN REF :  5278444 6 % $ 72,600.00 X 12</t>
  </si>
  <si>
    <t>DAVIVIENDA REF: 000704399016 5.90% $ 48,514.00</t>
  </si>
  <si>
    <t>BANCO PROMERICA REF 784005  6.50 % 38,974.00</t>
  </si>
  <si>
    <t>Gastos Financieros y comisiones bancarias</t>
  </si>
  <si>
    <t>Presidencia Junta GU</t>
  </si>
  <si>
    <t>Presidencia</t>
  </si>
  <si>
    <t xml:space="preserve">Vicepresidencia </t>
  </si>
  <si>
    <t>Secretaria General</t>
  </si>
  <si>
    <t xml:space="preserve">Vicerrectoría Financiera </t>
  </si>
  <si>
    <t>Vicerrectoría de operaciones</t>
  </si>
  <si>
    <t xml:space="preserve">  </t>
  </si>
  <si>
    <t>Dirección de Comunicaciones</t>
  </si>
  <si>
    <t>Dirección de Recursos Humanos</t>
  </si>
  <si>
    <t>Clinica Empresarial</t>
  </si>
  <si>
    <t xml:space="preserve">Servicios Generales </t>
  </si>
  <si>
    <t>Mantenimiento</t>
  </si>
  <si>
    <t>SUELDOS ACADEMICOS</t>
  </si>
  <si>
    <t>FACULTADES</t>
  </si>
  <si>
    <t>CC EMPRESARIALES</t>
  </si>
  <si>
    <t>CC INGENIERIA Y  CC APLICADAS</t>
  </si>
  <si>
    <t>CC SOCIALES</t>
  </si>
  <si>
    <t>CC JURIDICAS</t>
  </si>
  <si>
    <t>OTRAS UNIDADES ACADEMICAS</t>
  </si>
  <si>
    <t>Rectoría</t>
  </si>
  <si>
    <t>VR Académica</t>
  </si>
  <si>
    <t>Dirección Educación Virtual</t>
  </si>
  <si>
    <t>Dirección de Informática</t>
  </si>
  <si>
    <t>Admón Académica</t>
  </si>
  <si>
    <t>Relaciones Internacionales</t>
  </si>
  <si>
    <t>Nuevo Ingreso</t>
  </si>
  <si>
    <t>Sistema Bibliotecario</t>
  </si>
  <si>
    <t>Dirección de Cultura</t>
  </si>
  <si>
    <t xml:space="preserve">CC JURIDICAS </t>
  </si>
  <si>
    <t>DIRECCION DE INFORMÁTICA</t>
  </si>
  <si>
    <t>SERVICIO TECNOLOGICO</t>
  </si>
  <si>
    <t>SERVICIO INTERNET</t>
  </si>
  <si>
    <t>Otros Internet</t>
  </si>
  <si>
    <t>Enlace Comercial COLUMBUS NETWORKS  $ 11.966.7</t>
  </si>
  <si>
    <t>Enlace Comercial  Internet Alumnos Digicel $ 3,560.00</t>
  </si>
  <si>
    <t>Servicio extraordinario Nube inscripción ciclo 01 y  02-2022 Sega Corp y preinscripción 2022</t>
  </si>
  <si>
    <t xml:space="preserve">Plataforma Moodleroom Utec virtual </t>
  </si>
  <si>
    <t>SERVICIOS ADMINISTRATIVOS</t>
  </si>
  <si>
    <t>Portal Estudiantes y docentes  Mobiles El Salvador  $ 565.00</t>
  </si>
  <si>
    <t xml:space="preserve">SERVICIO MANTENIMIENTO DIN </t>
  </si>
  <si>
    <t>Puntos de red (nuevo y modificaciones)</t>
  </si>
  <si>
    <t>Mantenimiento de UPS Data Center/Anual</t>
  </si>
  <si>
    <t>Partes y suministros</t>
  </si>
  <si>
    <t xml:space="preserve">SOFTWARE </t>
  </si>
  <si>
    <t>Certificado de seguridad utec.edu.sv, Virtual Mae y Educ Virtual- SVNet OFFICE SUIT 365- Servinet</t>
  </si>
  <si>
    <t>NextGenesis Technology</t>
  </si>
  <si>
    <t>LICENCIAS</t>
  </si>
  <si>
    <t>LICENCIAS INSTITUCIONALES - DIN</t>
  </si>
  <si>
    <r>
      <t>Campus Agreement - Microsoft- Open Value- incluye IT Academy, Microsoft - 1 PACK mos Microsof y MTA FICA-</t>
    </r>
    <r>
      <rPr>
        <b/>
        <sz val="8"/>
        <color rgb="FFFF0000"/>
        <rFont val="Garamond"/>
        <family val="1"/>
      </rPr>
      <t xml:space="preserve"> Autodesk FICA</t>
    </r>
    <r>
      <rPr>
        <b/>
        <sz val="8"/>
        <color rgb="FF002060"/>
        <rFont val="Garamond"/>
        <family val="1"/>
      </rPr>
      <t>- GBM Ampliación A-3E-3 e inteligencia de negocios</t>
    </r>
  </si>
  <si>
    <t>Licencia active directory Premiun nube azure ITQS- Microsoft Azure  y office 365 SE SUMA EN SUSCRIPC</t>
  </si>
  <si>
    <t>Licenciamiento para 41 usuarios de las áreas de Contabilidad/Finanzas, Recursos Humanos, Activo fijo, Proveeduría, Presupuesto y Colecturía.</t>
  </si>
  <si>
    <t>Licencias Firewall Palo alto 2020 Y 2021 Gratis</t>
  </si>
  <si>
    <t>Suscripcion Adobe De Julio en adelante STB  y laboratorio sala de redaccion, incluye tambien CCEE Turismo. CCSS Idiomas y Lab Radio , Dirección Comunicaciones- certificaciones Microsoft FICA GBM- Licncias Nvivo pro Investigaciones. Se incluye lab. Sala de redacción 65 PC,                                               MICROSOFT AZURE OFFICE 365</t>
  </si>
  <si>
    <t>Licencia Survey Monkey # 1874948</t>
  </si>
  <si>
    <t xml:space="preserve">Antivirus Académico - ESET NOD 32 </t>
  </si>
  <si>
    <t xml:space="preserve">Antivirus administrativo ESET NOD 32 </t>
  </si>
  <si>
    <t>SERVICIO LEASING 2022</t>
  </si>
  <si>
    <t xml:space="preserve">SERVICIO LEASING PC ACADEMIA </t>
  </si>
  <si>
    <t>FACULTAD CIENCIAS EMPRESARIALES 4 PC</t>
  </si>
  <si>
    <t xml:space="preserve">3 Facultad de Ciencias Empresariales 3 x $ 45.00 $ 135.00 </t>
  </si>
  <si>
    <t>1 PC HP prodesk i5 Facultad de Ciencias Empresariales  1 X $ 86.00</t>
  </si>
  <si>
    <t>FACULTAD DE INFORMATICA Y CC APLICADAS 754 PC</t>
  </si>
  <si>
    <t>80 Lab 1 informatíca Francisco Morazan 50 planta 80 x $75.00 $ 6,000.00</t>
  </si>
  <si>
    <t>90 Lab. 2  Informatica Francisco Morazan  5ª planta  90x $ 81 $ 7,290.00</t>
  </si>
  <si>
    <t>126 Lab. 3  Informatica Benito Juarez Sotano  126 x $ 85.00 $ 10,710.00</t>
  </si>
  <si>
    <t>25 Lab 4 CISCO Francisco Morazan 1ª planta $ 45.00 x 25  $ 1,125.00</t>
  </si>
  <si>
    <t>60   Lab 5 Informatica de idiomas Giuseppe Garibaldi 1ª planta 60 x $ 79.00 $ 4740.00</t>
  </si>
  <si>
    <t>60   Lab 6 Informatica Giuseppe Garibaldi 1ª planta 60 x $ 85.00 $ 5100.00</t>
  </si>
  <si>
    <t>84  Lab 8 Redes Francisco Morazan 4ª planta   84 x$99 $ 8,316.00</t>
  </si>
  <si>
    <t>52  Lab 9 Arquitectura y diseño Giuseppe Garibaldi 2ª PLANTA   52x $ 125.00  $ 6,500.00</t>
  </si>
  <si>
    <t>50  Lab 10 Diseño Academia de microsoft  Benito Juarez 2ª Planta 50 x  $ 99 $ 4950.00</t>
  </si>
  <si>
    <t>33 Lab. 12 Diseño e innovación Simon Bolivar 2ª planta Sin licencia $ 153x 33 $  5,049.00</t>
  </si>
  <si>
    <t>12 Lab. 13. Electronica Casa del Estudiante 12 x  $ 45.00  $ 540.00</t>
  </si>
  <si>
    <t>66  Lab 14 Multimedia y animaciones Simon Bolivar 1ª planta $153.00x 66 $ 10,098.00</t>
  </si>
  <si>
    <t>10  Lab. Tecnología Movil   Gabriela Mistral 3ª Planta 10*$ 45.00  $ 450.00</t>
  </si>
  <si>
    <t xml:space="preserve">1 Dpto matematicas 1 x$45.00 </t>
  </si>
  <si>
    <t>2 Procesos Industriales  2x $ 45.00 $ 90.00</t>
  </si>
  <si>
    <t xml:space="preserve">1 Escuela CC aplicadas 1 x $45.00 </t>
  </si>
  <si>
    <t>2 PC Compaq Business DC5800 p/Escuela de informatica   2 x $ 45.00 $ 90.00</t>
  </si>
  <si>
    <t>FACULTAD DE CIENCIAS SOCIALES 76PC</t>
  </si>
  <si>
    <t>65   Lab 13 Sala de Redacción  Garcia Lorca 4 Planta  65 x 130   $ 8,450.00</t>
  </si>
  <si>
    <t>3 Facultad de Ciencias Sociales 3 x $ 45.00 $ 135.00</t>
  </si>
  <si>
    <t xml:space="preserve">3 Escuela de idiomas 3 x $ 45.00 $ 135.00  </t>
  </si>
  <si>
    <t xml:space="preserve">1 Psicologia ( clinica ) 1 x$45.00 </t>
  </si>
  <si>
    <t xml:space="preserve">1 Comunicaciones (cabina de edicion) 1x$45.00 </t>
  </si>
  <si>
    <t xml:space="preserve">2 Escuela de comunicación  2x  $ 45..00 $ 90.00 </t>
  </si>
  <si>
    <t>1 Comunicaciones (labo.de television) 1x $45.00</t>
  </si>
  <si>
    <t>FACULTAD DE CIENCIAS JURIDICAS 1 PC</t>
  </si>
  <si>
    <t xml:space="preserve">1 Facultad de Ciencias Juridicas 1 x $ 45.00 </t>
  </si>
  <si>
    <t>PRE ESPECIALIZACIÓN 32 PC</t>
  </si>
  <si>
    <t>30 Lab 11  Tomas Jefferson 1ª planta  30 x $68.00  $2.040.00</t>
  </si>
  <si>
    <t>2 Pre especialidad   2x$ 45.00 $ 90.00</t>
  </si>
  <si>
    <t>EDUCACIÓN VIRTUAL</t>
  </si>
  <si>
    <t xml:space="preserve"> 3 Dirección  Educación Virtual   3x$ 45.00 $ 135.00</t>
  </si>
  <si>
    <t>6 Dirección  Educación Virtual HP $ 6 x $ 148.00 $888.00</t>
  </si>
  <si>
    <t>SISTEMA BIBLIOTECARIO  59 EQUIPOS $ 5687.</t>
  </si>
  <si>
    <t>34 PC  34x $ 101.00 $ 3,434.00</t>
  </si>
  <si>
    <t>4 PC  4 x  $138 $ 552.00</t>
  </si>
  <si>
    <t>21  PC  21 x  $ 81 $ 1701.00</t>
  </si>
  <si>
    <t xml:space="preserve">NUEVO INGRESO </t>
  </si>
  <si>
    <t>10 PC HP Prodesk $ 75 x 10 $ 750.00</t>
  </si>
  <si>
    <t>2 Nuevo Ingreso Metrocentro 2x45.00 $ 90.00</t>
  </si>
  <si>
    <t>ADMINISTRACION ACADÉMICA</t>
  </si>
  <si>
    <t>3 Administración Académica 3 x $ 45.00 $ 135.00</t>
  </si>
  <si>
    <t>1 Relaciones internacionales  2 x$ 45 $ 90.00</t>
  </si>
  <si>
    <t xml:space="preserve">OTRAS ACADEMICAS Y ADMINISTRATIVAS  </t>
  </si>
  <si>
    <t xml:space="preserve">UNIDADES ADMINISTRATIVOS </t>
  </si>
  <si>
    <t>SECRETARIA GENERAL</t>
  </si>
  <si>
    <t xml:space="preserve">1 Secretaria General 1  $55.00 Dr. Burgos </t>
  </si>
  <si>
    <t>2 Secretaria General  2 X $ 45.00 $ 90.00</t>
  </si>
  <si>
    <t>VR DE FINANZAS</t>
  </si>
  <si>
    <t>5 Contabilidad 5 x $ 45.00 $ 225.00</t>
  </si>
  <si>
    <t>2 Planillas 2 x $45.00 $ 90.00</t>
  </si>
  <si>
    <t xml:space="preserve">1 Compras 1x $45.00   </t>
  </si>
  <si>
    <t>1 Secretaria Finanzas  1x $ 45.00</t>
  </si>
  <si>
    <t>2 Activo Fijo  2$45.00 $ 90.00</t>
  </si>
  <si>
    <t xml:space="preserve">TESORERIA </t>
  </si>
  <si>
    <t>8 PC HP  Prodesk 8 x  $ 75.00 x 8 $ 600.00</t>
  </si>
  <si>
    <t xml:space="preserve">7 Tesoreria 7 x $45.00 $ 315.00 </t>
  </si>
  <si>
    <t>RECURSOS HUMANOS</t>
  </si>
  <si>
    <t>3 Recursos Humanos  3 * $ 45.00 $ 135.00</t>
  </si>
  <si>
    <t>4 Comunicación Institucional  4x $ 45.00 $ 180.00</t>
  </si>
  <si>
    <t>SERVICIOS GENERALES</t>
  </si>
  <si>
    <t>3 Servicios Generales 3 x$45.00 $ 135.00</t>
  </si>
  <si>
    <t xml:space="preserve">OTRAS UNIDADES ACADEMICAS </t>
  </si>
  <si>
    <t>DIRECCION DE INFORMATICA</t>
  </si>
  <si>
    <t xml:space="preserve">9 Dirección de informática Bodega  9 x$45.00  $405.00  </t>
  </si>
  <si>
    <t>6 Dirección de informática Empleados  6x $45.00 $ 270.00</t>
  </si>
  <si>
    <t>5 Dirección de informática 5 x $ 45.00 $ 225.00</t>
  </si>
  <si>
    <t>VR INVESTIGACIÓN Y PROY SOCIAL</t>
  </si>
  <si>
    <t>5 Vr. Investigacion 5 x $45.00 $ 225.00</t>
  </si>
  <si>
    <t>2 VR Investigaciones 2 x $ 50.00 $ 100.00 nuevas</t>
  </si>
  <si>
    <t xml:space="preserve">3 Proyeccion Social  3 x $ 45.00  $ 135.00 </t>
  </si>
  <si>
    <t xml:space="preserve">1 Centro de Formación Profesional 1x $ 45.00 </t>
  </si>
  <si>
    <t>2 VR Academica 2 x  $45.00 $ 90.00</t>
  </si>
  <si>
    <t xml:space="preserve">1 Vr. Desarrollo Educativo $ 45.00 </t>
  </si>
  <si>
    <t xml:space="preserve">2 Dirección de Cultura  2 x $ 45.00 $ 90.00 </t>
  </si>
  <si>
    <t>5 Decanato de Estudiantes 5x$45.00 $ 225.00</t>
  </si>
  <si>
    <t>ACADEMICAS 18</t>
  </si>
  <si>
    <t>4 CCEE 1 Turismo, 1 Mercadeo, 1 Contabilidad, 1 Admón 4x 55 $ 220.00</t>
  </si>
  <si>
    <t>4 FICA 1 informatica, 1 Diseño Grafico, 1 Arquit, 1 CCAA 4x 55 $ 220.00</t>
  </si>
  <si>
    <t xml:space="preserve">1 CIOPS  1 x $ 112.00 </t>
  </si>
  <si>
    <t>4 CCSS 1 Sicologia, 1 Idiomas, 1 Comunicaciones, 1 Antropología 4x 55 $ 220.00</t>
  </si>
  <si>
    <t>1 CCJJ- Escuela Derecho 1x 55 $ 55.00</t>
  </si>
  <si>
    <t>4 CCJJ Facultad de Derecho 101 * 4 $ 404.00</t>
  </si>
  <si>
    <t xml:space="preserve">SERVICIO LEASING CAÑON   </t>
  </si>
  <si>
    <t>FACULTAD DE CIENCIAS EMPRESARIALES  23 CAÑONES</t>
  </si>
  <si>
    <t xml:space="preserve">8 Francisco Morazan Aulas, incluye pantallas  207, 208, 301, 303, 402, 403, 506 y 507   8 x $ 145.00  $ 1,160.00  </t>
  </si>
  <si>
    <t xml:space="preserve">2 Francisco Morazan Aulas 206 y 307  2 x $ 145.00 $ 290.00 </t>
  </si>
  <si>
    <t xml:space="preserve">11 Francisco Morazan Aulas $ 145.00 x 11  $ 1,595.00 </t>
  </si>
  <si>
    <t xml:space="preserve">2 Francisco Morazan Aulas 304 y 305  2 x 175 $ 350.00 </t>
  </si>
  <si>
    <t>5 Francisco Morazán aula 203,204,309,404,405 5 x $ 165.00 $ 825.00 Nuevos</t>
  </si>
  <si>
    <t xml:space="preserve">6  Aula 304,305,403,405 , 505 y 506 Benito Juarez   6 x $ 145.00  $ 870.00 </t>
  </si>
  <si>
    <t xml:space="preserve">5 Laboratorio  1,2,5,6 y 9  con pantalla Fco Morazan, G G  Glorca  5 x $ 145.00 $ 725.00 </t>
  </si>
  <si>
    <t xml:space="preserve">3 Simon Bolivar Aula 101,,403 y 508 3 x $ 145.00  $ 435.00 </t>
  </si>
  <si>
    <t xml:space="preserve">1 Decanato FICA  sala de reuniones Gabriela mistral 1 x  $145 </t>
  </si>
  <si>
    <t xml:space="preserve">3 Simon Bolivar Lab 3 y 10, 3x $ 170.00 $ 510.00 </t>
  </si>
  <si>
    <t xml:space="preserve">3 Simon Bolivar Aulas 201-404 calidad BJ  3 x   $ 145.00  $ 435.00 </t>
  </si>
  <si>
    <t xml:space="preserve">4 Benito Juaréz Aula 202-301-402-303  4 x  $ 175 $ 700.00 </t>
  </si>
  <si>
    <t xml:space="preserve">1 Laboratorio 12 de Informática $ 175  </t>
  </si>
  <si>
    <t xml:space="preserve">2 Laboratorio 3 de informática $ 175x 2 $ 350.00 </t>
  </si>
  <si>
    <t xml:space="preserve">3 Laboratorio de Redes 3 x $ 175.00 $ 525.00 </t>
  </si>
  <si>
    <t xml:space="preserve">8 aulas 203,302,401,501,502,503,504  JLB 1 301  8 x $ 165.00 $ 1320.00 Nuevos </t>
  </si>
  <si>
    <t>1 Laboratorio 11 TJ Nuevo 1 x $ 165.00</t>
  </si>
  <si>
    <t>FACULTAD DE CIENCIAS SOCIALES 28 CAÑONES</t>
  </si>
  <si>
    <t xml:space="preserve">2 Giuseppe Garibaldi Aula Magna 03 y aula 10 2 x $ 145.00  $ 290.00 </t>
  </si>
  <si>
    <t xml:space="preserve">1  Camara Gessel S. Bolivar 1 x  $ 145.00  </t>
  </si>
  <si>
    <t xml:space="preserve">1 Estudio de Fotografica  L. Borges   1 x $ 145  </t>
  </si>
  <si>
    <t xml:space="preserve">1 Sala de Redacción G. Lorca  1 x $ 145  </t>
  </si>
  <si>
    <t xml:space="preserve">1 Sala de Usos Multiples  GL 1 x  $  145.00  </t>
  </si>
  <si>
    <t xml:space="preserve">1  Aula 502 Garcia Lorca 1 x  $ 145.00 </t>
  </si>
  <si>
    <t xml:space="preserve">2  Aula 302 y 402 G. Lorca  2 x  $ 145.00 $ 290.00 </t>
  </si>
  <si>
    <t>3 Aula  GG107- GG109-GL 402  3x $ 145.00 $ 435.00</t>
  </si>
  <si>
    <t>1 JLB Aula 301 $ 165.00</t>
  </si>
  <si>
    <t xml:space="preserve">1  Laboratorio de Biologia  $ 170.00 </t>
  </si>
  <si>
    <t xml:space="preserve">6 Aula GG-11- GG-2- GG-3- GL-205- GL-204 GL 301  6 X $ 175.00 $ 1,050.00 </t>
  </si>
  <si>
    <t xml:space="preserve">6 Aulas  GL 203,206 GG 4,5,6,8  6 x  165 $ 990.00  nuevos </t>
  </si>
  <si>
    <t>FACULTAD DE CIENCIAS JURIDICAS 26 CAÑONES</t>
  </si>
  <si>
    <t xml:space="preserve">5  Aulas  205,206,302,303 y 408 S:B: 5 x  $ 145.00 $ 725.00 </t>
  </si>
  <si>
    <t xml:space="preserve">7 Aulas SB-306 SB-204- SB 301- SB-201- SB202 - SB305-SB501- 7x $ 175.00  $ 1,225.00 </t>
  </si>
  <si>
    <t>6 Aulas Simon Bolivar 404-105-406-407-409-410 $ 165.00 x 5 $ 990.00</t>
  </si>
  <si>
    <t>5 Simón Bolivar aula 411-503-505-507-510 5 x $165.00 825.00 nuevos</t>
  </si>
  <si>
    <t xml:space="preserve">1 Proyector  portatil  para uso docentes 1 x $ 165.00 </t>
  </si>
  <si>
    <t>2 Proyector portatil para uso docentes 2 x $ 145.00 $ 290.00</t>
  </si>
  <si>
    <t>PRE ESPECIALIDAD 14 CAÑONES</t>
  </si>
  <si>
    <t xml:space="preserve">3 Aulas ,203,206 y 207 3 x  $ 145.00 $ 435.00 </t>
  </si>
  <si>
    <t>3 Aulas 201,202,205 G. Garibaldi 3 x $ 145.00 $ 435.00</t>
  </si>
  <si>
    <t>4  Aulas 101,102,103 y 104 T. Jefferson 4 x $ 145.00 $ 580.00</t>
  </si>
  <si>
    <t xml:space="preserve">3 Aulas G. Garibaldi $ 145.00 x 3 $  435.00 </t>
  </si>
  <si>
    <t>1 Aula TJ 108  $ 175.00</t>
  </si>
  <si>
    <t>INVESTIGACIONES 2 CAÑONES</t>
  </si>
  <si>
    <t>2   Casa Ing. Adolfo Araujo $ 154.50 X 1   $154.50 x 2 $ $ 309</t>
  </si>
  <si>
    <t>UNIDADES ACADEMICAS 3 CAÑONES</t>
  </si>
  <si>
    <t>1 Vr. Académica     1 x  $ 145.00</t>
  </si>
  <si>
    <t xml:space="preserve">1 Nuevo Ingreso portatil  $ 145 </t>
  </si>
  <si>
    <t xml:space="preserve">1 CFP $175 x 12  </t>
  </si>
  <si>
    <t xml:space="preserve">UNIDADES ADMINISTRATIVAS  2 CAÑONES </t>
  </si>
  <si>
    <t>1 Auditorio La Paz   1 x $ 145.00</t>
  </si>
  <si>
    <t>1 Auditorio Araujo  1 x  $ 145.00</t>
  </si>
  <si>
    <t xml:space="preserve">Red de conectividad perifericos  $ 20,250.00 </t>
  </si>
  <si>
    <t>INVERSIONES</t>
  </si>
  <si>
    <t>ACADEMIA</t>
  </si>
  <si>
    <t>CIENCIAS EMPRESARIALES</t>
  </si>
  <si>
    <t>Suite de simuladores Company Game 1/4</t>
  </si>
  <si>
    <t>CIENCIAS SOCIALES</t>
  </si>
  <si>
    <t>1 Laptop Director Antropologia CC Sociales</t>
  </si>
  <si>
    <t>1 Laptop DTC CC Sociales</t>
  </si>
  <si>
    <t>1 Impresora decana</t>
  </si>
  <si>
    <t>1 Silla ejecutiva DTC CC Sociales</t>
  </si>
  <si>
    <t>1 cortina vertical</t>
  </si>
  <si>
    <t>INFORMATICA Y CC APLICADAS</t>
  </si>
  <si>
    <t>1 Trituradora de papel</t>
  </si>
  <si>
    <t>DERECHO</t>
  </si>
  <si>
    <t>2 Licencias para Canva</t>
  </si>
  <si>
    <t>2 Discos duros 1 TB</t>
  </si>
  <si>
    <t>1 Silla ejecutiva Decano</t>
  </si>
  <si>
    <t>1 Silla ejecutiva vicedecano</t>
  </si>
  <si>
    <t>1 Laptop VR Investigaciones</t>
  </si>
  <si>
    <t>1 Laptop VR Academico</t>
  </si>
  <si>
    <t>1 Impresor secretaria Dirección informatica</t>
  </si>
  <si>
    <t>UNIDADES ADMINISTRATIVAS</t>
  </si>
  <si>
    <t>OTRAS UNIDADES ADMINISTRATIVAS</t>
  </si>
  <si>
    <t>7 Impresores Tesorería</t>
  </si>
  <si>
    <t>1 Impresor Servicios Generales</t>
  </si>
  <si>
    <t>1 Aire acondicionado Contabilidad</t>
  </si>
  <si>
    <t>2 Impresores, 1 Pagaduría , 1 Tesorería</t>
  </si>
  <si>
    <t>1 PC HP Probook Arq Duran</t>
  </si>
  <si>
    <t>EDIFICIO LOS FUNDADORES</t>
  </si>
  <si>
    <t>1 Silla Ejecutiva Secretaria General</t>
  </si>
  <si>
    <t>1 PC HP AIO Secretaria General</t>
  </si>
  <si>
    <t>1 Archivo robot Asistencia Presidencia</t>
  </si>
  <si>
    <t>1 Laptop Director asuntos economicos</t>
  </si>
  <si>
    <t>1 Impresor Presidencia</t>
  </si>
  <si>
    <t>1 PC HP Presidencia</t>
  </si>
  <si>
    <t>1 Impresor asistente Vice presidencia</t>
  </si>
  <si>
    <t xml:space="preserve">1 Aire acondicionado Asesora Presidencia </t>
  </si>
  <si>
    <t>1 PC ALL ONE Directora corporativa</t>
  </si>
  <si>
    <t>1 Laptop Colaborador Presidencia HMLD</t>
  </si>
  <si>
    <t>1 Silla ejecutiva Asesora de Presidencia</t>
  </si>
  <si>
    <t>2 PC Vicepresidencia</t>
  </si>
  <si>
    <t>1 Macbook Air Asesora Presidencia</t>
  </si>
  <si>
    <t>1 Sala de reuniones Asesora Presidencia</t>
  </si>
  <si>
    <t>1 Impresora Asesora Presidencia</t>
  </si>
  <si>
    <t>1 60 % Aire Acondicionado Asesora Presidencia</t>
  </si>
  <si>
    <t>PROYECTOS ESPECIALES</t>
  </si>
  <si>
    <t>Remodelación despacho cumbres</t>
  </si>
  <si>
    <t>Beca Personal Ejecutivo Luciana L. y G Duque</t>
  </si>
  <si>
    <t>Otros no detallados</t>
  </si>
  <si>
    <t>Correción libros Dr Pleites</t>
  </si>
  <si>
    <t>212 Libros Sucesos historícos FAES</t>
  </si>
  <si>
    <t>PRESENTACION LIBRO DR ULLOA</t>
  </si>
  <si>
    <t>Libros una vida ejemplar 68549</t>
  </si>
  <si>
    <t>Renta de Toldos</t>
  </si>
  <si>
    <t>Arreglos florales</t>
  </si>
  <si>
    <t>Sonido y audio</t>
  </si>
  <si>
    <t>Restauracion tarimas</t>
  </si>
  <si>
    <t>Alfombrado de tarima</t>
  </si>
  <si>
    <t>Coctel</t>
  </si>
  <si>
    <t>60 Botellas de vino</t>
  </si>
  <si>
    <t>Viaticos personal comunicaciones</t>
  </si>
  <si>
    <t>Insumos de bioseguridad</t>
  </si>
  <si>
    <t>Afiches, rollup y brochures</t>
  </si>
  <si>
    <t>PROYECTO RETORNO A CLASES 01-2022</t>
  </si>
  <si>
    <t>Mamparas</t>
  </si>
  <si>
    <t>Muppies y rotulos</t>
  </si>
  <si>
    <t>Bocinas y amplificadores</t>
  </si>
  <si>
    <t>20 Microfonos</t>
  </si>
  <si>
    <t>30 Dispensadores de alcohol DM Medic</t>
  </si>
  <si>
    <t>4 Bebederos</t>
  </si>
  <si>
    <t>Pintura y material Freund</t>
  </si>
  <si>
    <t>1 Bomba rociadora</t>
  </si>
  <si>
    <t>Alcohol gel y etilico</t>
  </si>
  <si>
    <t xml:space="preserve">20 termometros digitales </t>
  </si>
  <si>
    <t>LABORATORIO 3 D LAB UTEC</t>
  </si>
  <si>
    <t>Pasantías</t>
  </si>
  <si>
    <t xml:space="preserve">MEJORAS EDIFICIOS </t>
  </si>
  <si>
    <t>PROYECTOS ADMINISTRADOS POR VCP</t>
  </si>
  <si>
    <t>Complemento diseño escaleras</t>
  </si>
  <si>
    <t>Complemento impermeabilizacion</t>
  </si>
  <si>
    <t>Planta de emergencia Edif Simon Bolivar</t>
  </si>
  <si>
    <t>Escalera de emergencia Los Fundadores</t>
  </si>
  <si>
    <t>Refuerzo Muro Edif Benito Juárez</t>
  </si>
  <si>
    <t>FINANCIAMIENTO MINED PROYECTO AVANZO</t>
  </si>
  <si>
    <t>PROYECTO AVANZO</t>
  </si>
  <si>
    <t>Planillas de sueldos</t>
  </si>
  <si>
    <t>Cuotas patronales</t>
  </si>
  <si>
    <t>Refrigerios</t>
  </si>
  <si>
    <t>Diseño y cuadernillos</t>
  </si>
  <si>
    <t>Impresiones</t>
  </si>
  <si>
    <t>Cajas embalajes</t>
  </si>
  <si>
    <t>Desembolsos Mined</t>
  </si>
  <si>
    <t>Insumos de papelería y utiles y despensa</t>
  </si>
  <si>
    <t>Insumos Bioseguridad</t>
  </si>
  <si>
    <t>PROYECTO RADIO Y TV MINED</t>
  </si>
  <si>
    <t>Personal comunicaciones</t>
  </si>
  <si>
    <t>Honorarios Comunicaciones</t>
  </si>
  <si>
    <t>Prestaciones legales y laborales corrientes</t>
  </si>
  <si>
    <t>Cuotas Clubes Sociales</t>
  </si>
  <si>
    <t>Gastos Médicos Licda G d D</t>
  </si>
  <si>
    <t>Café, Agua, azucar y otros</t>
  </si>
  <si>
    <t>Liquidaciones laborales y compensaciones</t>
  </si>
  <si>
    <t>Prestación laboral por defunción familiar</t>
  </si>
  <si>
    <t>Atención floral   por defunción familiar</t>
  </si>
  <si>
    <t>Préstamos al personal sin fecha de pago</t>
  </si>
  <si>
    <t>Apoyo estadia en España Lic. Daniel Amaya</t>
  </si>
  <si>
    <t xml:space="preserve">OTROS AL PERSONAL </t>
  </si>
  <si>
    <t>Licencias pruebas sicológicas</t>
  </si>
  <si>
    <t>450 camisas ocres # 69196- 69066</t>
  </si>
  <si>
    <t>Uniformes motorista PJGU</t>
  </si>
  <si>
    <t>Carnet</t>
  </si>
  <si>
    <t>CLINICA EMPRESARIAL</t>
  </si>
  <si>
    <t>CSSP</t>
  </si>
  <si>
    <t>Retiro desechos clínicos</t>
  </si>
  <si>
    <t>Papelería y Utiles y fotocopias</t>
  </si>
  <si>
    <t>Medicamentos</t>
  </si>
  <si>
    <t>OTROS INSUMOS Y EQUIPOS</t>
  </si>
  <si>
    <t>1 Estetoscopio</t>
  </si>
  <si>
    <t>1 Otoscopio</t>
  </si>
  <si>
    <t>1 Glucometro</t>
  </si>
  <si>
    <t>2 Tensiometros</t>
  </si>
  <si>
    <t>1 Set parto precipitado</t>
  </si>
  <si>
    <t>Seguros de vehiculo y vivienda funcionarios</t>
  </si>
  <si>
    <t>Reynaldo López Nuila</t>
  </si>
  <si>
    <t>Maria de los Angeles Loucel</t>
  </si>
  <si>
    <t xml:space="preserve">Gastos Médicos </t>
  </si>
  <si>
    <t>Pruebas Covid al personal</t>
  </si>
  <si>
    <t>Insumos de bioseguridad (Mascarillas, amonio, etc)</t>
  </si>
  <si>
    <t>Sanitización bioseguridad oficinas</t>
  </si>
  <si>
    <t>Gastos médico Dr. Burgos</t>
  </si>
  <si>
    <t xml:space="preserve">Otros Gastos médicos </t>
  </si>
  <si>
    <t>Energía Eléctrica</t>
  </si>
  <si>
    <t>Imptos Fiscales y municipales</t>
  </si>
  <si>
    <t>Servicio de Agua</t>
  </si>
  <si>
    <t>Servicio Telefónico</t>
  </si>
  <si>
    <t>Impuesto valor agregado - IVA</t>
  </si>
  <si>
    <t xml:space="preserve">Servicio planta telefónica </t>
  </si>
  <si>
    <t>Servicio de Cables</t>
  </si>
  <si>
    <t>Servicio de Currier</t>
  </si>
  <si>
    <t>GASTOS FIJOS</t>
  </si>
  <si>
    <t xml:space="preserve">Sueldos  </t>
  </si>
  <si>
    <t>Asesoria Montealban $ 47.883.33 Sept $ 84750.</t>
  </si>
  <si>
    <t>Fotocopias $ 1,020.00 x 12</t>
  </si>
  <si>
    <t>Papelería y Utiles</t>
  </si>
  <si>
    <t>FONDO DE INVESTIGACION</t>
  </si>
  <si>
    <t>DIVULGACION</t>
  </si>
  <si>
    <t>Brochures convocatorias</t>
  </si>
  <si>
    <t xml:space="preserve">Plan de divulgación </t>
  </si>
  <si>
    <t>Libros revueltas populares</t>
  </si>
  <si>
    <t>Licencia Canva</t>
  </si>
  <si>
    <t>Revista Entorno</t>
  </si>
  <si>
    <t>OTROS GASTOS</t>
  </si>
  <si>
    <t>Registro CNR</t>
  </si>
  <si>
    <t>Licencias SPSS 1 profesional y 2 estudiantes</t>
  </si>
  <si>
    <t>Gastos Genesis Swisscontac</t>
  </si>
  <si>
    <t xml:space="preserve">SUELDOS </t>
  </si>
  <si>
    <t>Planilla</t>
  </si>
  <si>
    <t>RESPONSABILIDAD SOCIAL UNIVERSITARIA</t>
  </si>
  <si>
    <t>Proyecto RSU Cursos sabatinos 2022</t>
  </si>
  <si>
    <t>PROYECTOS Y ACTIVIDADES DE PROY SOC</t>
  </si>
  <si>
    <t>Facultad CC Emprsariales</t>
  </si>
  <si>
    <t>Facultad de informática</t>
  </si>
  <si>
    <t>Facultad de ciencias sociales</t>
  </si>
  <si>
    <t>Facultad de derecho</t>
  </si>
  <si>
    <t>LABORATORIO  NUCLEO</t>
  </si>
  <si>
    <t>Insumos</t>
  </si>
  <si>
    <t>Diplomas</t>
  </si>
  <si>
    <t>Papelería y útiles</t>
  </si>
  <si>
    <t>Herramienta Zoom</t>
  </si>
  <si>
    <t>CAFETERÍA</t>
  </si>
  <si>
    <t>Insumo de oficina ( café, azucar, vasos,etc)</t>
  </si>
  <si>
    <t xml:space="preserve">Agua cristal </t>
  </si>
  <si>
    <t xml:space="preserve">MEMBRESIAS </t>
  </si>
  <si>
    <t>Membresía Fundemas</t>
  </si>
  <si>
    <t>DIFUSION</t>
  </si>
  <si>
    <t>Boleitn informativo 2021</t>
  </si>
  <si>
    <t>INCENTIVOS</t>
  </si>
  <si>
    <t>Diplomas estudiantes y docentes</t>
  </si>
  <si>
    <t>SEGUIMIENTOS PROYECTOS</t>
  </si>
  <si>
    <t>Visitas de seguimiento y evaluación de proyectos</t>
  </si>
  <si>
    <t>Lavado y planchado chalecos</t>
  </si>
  <si>
    <t>DIRECCION DE CULTURA</t>
  </si>
  <si>
    <t xml:space="preserve"> EXPOSICIONES TEMPORALES</t>
  </si>
  <si>
    <t xml:space="preserve">EXPOSICIONES  </t>
  </si>
  <si>
    <t>Materiales  e invitaciones</t>
  </si>
  <si>
    <t>Collage de publicaciones</t>
  </si>
  <si>
    <t>Cedulas introductorias y rotulaciones</t>
  </si>
  <si>
    <t>Día de la Cruz</t>
  </si>
  <si>
    <t>Vinil dia de la cruz</t>
  </si>
  <si>
    <t>GASTOS ADMINISTRATIVOS</t>
  </si>
  <si>
    <t>Sueldos</t>
  </si>
  <si>
    <t xml:space="preserve">Sueldos </t>
  </si>
  <si>
    <t>Gastos Generales</t>
  </si>
  <si>
    <t>Insumos de Oficina</t>
  </si>
  <si>
    <t>Insumos de cafeteria y Agua</t>
  </si>
  <si>
    <t>Papeleria y Utiles de escritorio</t>
  </si>
  <si>
    <t xml:space="preserve">Mantenimiento aire acondicionado </t>
  </si>
  <si>
    <t>Mantenimiento odorizacion baños $ 320.64</t>
  </si>
  <si>
    <t>Mantenimiento Asensores Thyssenkrupp$ 130.40</t>
  </si>
  <si>
    <t>Mantenimiento de Planta emergencia $ 271.20 *4 Sr. Duron</t>
  </si>
  <si>
    <t>Material de limpieza</t>
  </si>
  <si>
    <t>Mantenimiento instalaciones y fumigaciones</t>
  </si>
  <si>
    <t>Material de jardineria</t>
  </si>
  <si>
    <t>Servicios Publicos</t>
  </si>
  <si>
    <t xml:space="preserve">Servicio de Agua </t>
  </si>
  <si>
    <t xml:space="preserve">Energia Eléctrica </t>
  </si>
  <si>
    <t>Impuestos municipales  $ 1,293.00 x 12</t>
  </si>
  <si>
    <t>Servicio de Teléfono $ 339.00 X 12</t>
  </si>
  <si>
    <t>Servicio Planta Telefónica $ 403 X 12</t>
  </si>
  <si>
    <t>Servicios Profesionales incluye leasing</t>
  </si>
  <si>
    <t>Servicios Profesionales</t>
  </si>
  <si>
    <t xml:space="preserve">Seguridad Ojos de Aguila $ 10,100.00 *12 </t>
  </si>
  <si>
    <t xml:space="preserve">Servicio de ordenanzas y jardineros Aloe $ 3,718.42 X12 </t>
  </si>
  <si>
    <t>Servicio de internet Columbus $ 2,576.40</t>
  </si>
  <si>
    <t>Servicio Leasing</t>
  </si>
  <si>
    <t>COMPUTADORAS  7</t>
  </si>
  <si>
    <t>Servicio Leasing  6  laptop $ 270.00</t>
  </si>
  <si>
    <t>Servicio Leasing 1 Laptop Docentes  $ 55.00</t>
  </si>
  <si>
    <t>PROYECTORES DE CAÑON  (8)</t>
  </si>
  <si>
    <t>Servicio Leasing 4 Proyectores de cañon Aulas $ 154.5* 4 x 12 $ 618.00</t>
  </si>
  <si>
    <t>2 Servicio Leasing  Proyectores de cañon Auditorios  $ 257.50*12 $515.00</t>
  </si>
  <si>
    <t>1 Proyector de cañon Sala reuniones $ 257.50</t>
  </si>
  <si>
    <t xml:space="preserve">Servicio Leasing 1 Proyector de cañon Sala Reuniones $ 170.00 x 12  </t>
  </si>
  <si>
    <t>PANTALLAS INTERACTIVAS</t>
  </si>
  <si>
    <t>8 Pantallas interactivas de 65 " $ 2,408.00</t>
  </si>
  <si>
    <t xml:space="preserve">GASTOS MAESTRIAS </t>
  </si>
  <si>
    <t>Horas Clases plan de estudios (MECO + MDHCC)</t>
  </si>
  <si>
    <t>HORAS CLASE MAESTRIAS</t>
  </si>
  <si>
    <t xml:space="preserve">Horas Clase </t>
  </si>
  <si>
    <t>Horas clase Procesos de Graduación</t>
  </si>
  <si>
    <t>Coordinador Robótica $ 800.00 x 12</t>
  </si>
  <si>
    <t>MATERIAL DIDACTICO MAE</t>
  </si>
  <si>
    <t>Fotocopias $ 2,840.00 x 12</t>
  </si>
  <si>
    <t>Boligrafos</t>
  </si>
  <si>
    <t>Folder impresos</t>
  </si>
  <si>
    <t>Otra papeleria y utiles</t>
  </si>
  <si>
    <t>PUBLICIDAD PROMOCIONAL MAE y PG</t>
  </si>
  <si>
    <t>Periodicos Digitales</t>
  </si>
  <si>
    <t>Redes Sociales (Facebook Promoción Maestrías</t>
  </si>
  <si>
    <t>Pantallas Digitales</t>
  </si>
  <si>
    <t>Muppies</t>
  </si>
  <si>
    <t>Pantallas en Centros Comerciales</t>
  </si>
  <si>
    <t>Google ADS (Adwords, YouTube, Gmail) Revista El Economista</t>
  </si>
  <si>
    <t>Impresiones digitales (brochures, flyers, banner, afiches) Hojas sueltas</t>
  </si>
  <si>
    <t>Conferencias empresariales</t>
  </si>
  <si>
    <t>Artículos promocionales</t>
  </si>
  <si>
    <t>Promotoras Educativas</t>
  </si>
  <si>
    <t>GASTOS GRADUACIONES  MAE</t>
  </si>
  <si>
    <t>Títulos Maestrías</t>
  </si>
  <si>
    <t>Portatítulos</t>
  </si>
  <si>
    <t>Fotografías</t>
  </si>
  <si>
    <t>Pines</t>
  </si>
  <si>
    <t xml:space="preserve">GASTOS POSTGRADOS </t>
  </si>
  <si>
    <t xml:space="preserve">HORAS CLASE </t>
  </si>
  <si>
    <t>Horas clase</t>
  </si>
  <si>
    <t>Supervisión Carlos Molina  $ 800 x 12</t>
  </si>
  <si>
    <t>GASTOS GRADUACIONES  PG</t>
  </si>
  <si>
    <t>SUSCRIPCIONES Y MEMBRESIAS</t>
  </si>
  <si>
    <t>Membresía AUIP</t>
  </si>
  <si>
    <t>1 Impresor Epson</t>
  </si>
  <si>
    <t xml:space="preserve">MATERIAL DIDÁCTICO </t>
  </si>
  <si>
    <t>PAPELERIA Y UTILES</t>
  </si>
  <si>
    <t>CC Empresariales</t>
  </si>
  <si>
    <t>Tintas, Toner, cintas</t>
  </si>
  <si>
    <t>Papel t/oficio examenes</t>
  </si>
  <si>
    <t>Informatica y CC Aplicadas</t>
  </si>
  <si>
    <t>CC Sociales</t>
  </si>
  <si>
    <t>CC Juridicas</t>
  </si>
  <si>
    <t>INSUMOS PROFESORES</t>
  </si>
  <si>
    <t>Plumones Pizarras $ 0.23</t>
  </si>
  <si>
    <t>Borradores Pizarras $ 0.43</t>
  </si>
  <si>
    <t>Plumones Pizarras</t>
  </si>
  <si>
    <t>Borradores Pizarras</t>
  </si>
  <si>
    <t>MATERIAL PRACTICAS LABORATORIOS</t>
  </si>
  <si>
    <t>Ponente</t>
  </si>
  <si>
    <t>Viaticos  ponente</t>
  </si>
  <si>
    <t>RADIO UTEC AM</t>
  </si>
  <si>
    <t>Técnico de Mtto. Radio Vasquez Hidalgo $ 229.00</t>
  </si>
  <si>
    <t>PRACTICAS SOCORRO JURIDICO</t>
  </si>
  <si>
    <t>Cuota funcionamiento centro resolución de conflictos</t>
  </si>
  <si>
    <t>MATERIAL IMPRESO ACADEMICO</t>
  </si>
  <si>
    <t>FOTOCOPIAS EXAMENES</t>
  </si>
  <si>
    <t>CC Empresariales $ 3,460 x 12</t>
  </si>
  <si>
    <t>Informática y CC Aplicadas $ 8,520.00 x 12</t>
  </si>
  <si>
    <t>CC Sociales $ 5820 x 12</t>
  </si>
  <si>
    <t>CC Jurídicas $ 2840 x 12</t>
  </si>
  <si>
    <t>PAQUETES DIDACTICOS, GUIAS Y LIBROS</t>
  </si>
  <si>
    <t>Paquetes CC Empresariales</t>
  </si>
  <si>
    <t>Paquetes didácticos, guías y libros</t>
  </si>
  <si>
    <t>Zona Utec</t>
  </si>
  <si>
    <t>Cuadernos Setaco</t>
  </si>
  <si>
    <t>Paquetes CC Aplicadas Esc informatica</t>
  </si>
  <si>
    <t>Paquetes CC Sociales</t>
  </si>
  <si>
    <t>Dominio Go Gaddy La Palabra Universitaria</t>
  </si>
  <si>
    <t>Paquetes CC Juridicas</t>
  </si>
  <si>
    <t>OTRA PAPELERIA  IMPRESA</t>
  </si>
  <si>
    <t>INSTRUCTIVO ACADEMICOS  $ 0.77</t>
  </si>
  <si>
    <t>Informática y CC Aplicadas</t>
  </si>
  <si>
    <t>CC Jurídicas</t>
  </si>
  <si>
    <t>CARNET $ 2.79 c/u</t>
  </si>
  <si>
    <t>PAPELERIA Y UTILES OTRAS UNIDADES ACADEM</t>
  </si>
  <si>
    <t>Insumos de oficina varios</t>
  </si>
  <si>
    <t>Fotocopias oficinas otras unidades academicas $ 8580.00 x 12</t>
  </si>
  <si>
    <t>Papeleria y Utiles otras unidades Academicas</t>
  </si>
  <si>
    <t xml:space="preserve">Montealban $ 30,000.00 x 12  </t>
  </si>
  <si>
    <t>Montealban Caasa 119 Ex Hotel</t>
  </si>
  <si>
    <t>Tecnoimpresos  Casa 116   $ 2,260.00</t>
  </si>
  <si>
    <t>Los Magaña-  $ 4700*12</t>
  </si>
  <si>
    <t>Apartamento Maquilishuat $ 4,294.00 x 12</t>
  </si>
  <si>
    <t>Despacho en Cumbres de Cuscatlán $ 4,294.00 x 12</t>
  </si>
  <si>
    <t>Casa  118 Edith de Molina Neira $ 2292.28*12</t>
  </si>
  <si>
    <t>Noris de López Apto. Marbella  $ 1500*12</t>
  </si>
  <si>
    <t>Arrendamiento antena  Radio Utec $ 734.50</t>
  </si>
  <si>
    <t>Bodega Externa Presidencia$   $ 210.00</t>
  </si>
  <si>
    <t>Bodega externa Admon Académica  Datasafe</t>
  </si>
  <si>
    <t>Terrenos El Volcan y El Pimental Evlqz $ 1,130.00</t>
  </si>
  <si>
    <t>PRE ESPECIALIDAD</t>
  </si>
  <si>
    <t>Salarios - $ 2,350.00</t>
  </si>
  <si>
    <t>Horas Clase</t>
  </si>
  <si>
    <t>Modulos</t>
  </si>
  <si>
    <t>Asesoria Tesis</t>
  </si>
  <si>
    <t>Jurado de Tesis técnicos</t>
  </si>
  <si>
    <t>Toelf Toeic</t>
  </si>
  <si>
    <t>Suficiencias</t>
  </si>
  <si>
    <t>Investigaciones</t>
  </si>
  <si>
    <t>Cohorte Loucel University</t>
  </si>
  <si>
    <t>Gastos Graduacion Pre Grado</t>
  </si>
  <si>
    <t>Graduación 2022</t>
  </si>
  <si>
    <t xml:space="preserve">Titulos </t>
  </si>
  <si>
    <t xml:space="preserve">Portatitulos </t>
  </si>
  <si>
    <t>Bolsas, sticker  y clips titulos</t>
  </si>
  <si>
    <t>Pines $ 2.97</t>
  </si>
  <si>
    <t>Papeleria y utiles y programas</t>
  </si>
  <si>
    <t>Portanombre</t>
  </si>
  <si>
    <t>MATERIAL DIDACTICO</t>
  </si>
  <si>
    <t xml:space="preserve">Papelería y Utiles </t>
  </si>
  <si>
    <t xml:space="preserve">CANAL 33  $ 116,0000 x 12 </t>
  </si>
  <si>
    <t>Publicidad $ 116,000.00 x 12</t>
  </si>
  <si>
    <t>Servicio enlace canal 33 RA $ 300 x 12</t>
  </si>
  <si>
    <t>Servicio asesoria canal 33 W. Melendez $ 500.00 x 12</t>
  </si>
  <si>
    <t xml:space="preserve">OTROS PROYECTOS  </t>
  </si>
  <si>
    <t>ESTUDIO DE TELEVISIÓN</t>
  </si>
  <si>
    <t xml:space="preserve">Locutora institucional </t>
  </si>
  <si>
    <t>Librerías de imágenes, música y proyectos ( Shutterstock)</t>
  </si>
  <si>
    <t>Librerías de imágenes, música y proyectos ( Envato)</t>
  </si>
  <si>
    <t>Material estudio (cables, conectores y accesorios)</t>
  </si>
  <si>
    <t>Mantenimiento de vehículo</t>
  </si>
  <si>
    <t xml:space="preserve">Combustible vehículo </t>
  </si>
  <si>
    <t>Mantenimiento equipo</t>
  </si>
  <si>
    <t>Transporte y viáticos al personal</t>
  </si>
  <si>
    <t>SITIO WEB Y REDES SOCIALES INSTITUCIONALES</t>
  </si>
  <si>
    <t>Desarrollador y administrador del sitio web (Trend)   $ 802.00</t>
  </si>
  <si>
    <t xml:space="preserve">Licencia Buffer </t>
  </si>
  <si>
    <t>Suscripción periodicos locales LPG</t>
  </si>
  <si>
    <t>Suscripción periodicos locales EDH</t>
  </si>
  <si>
    <t>PUBLICACIONES</t>
  </si>
  <si>
    <t>Catálogo institucional</t>
  </si>
  <si>
    <t>Folletos y boletines</t>
  </si>
  <si>
    <t>Bancos de imágenes Clips y pistas shutterstock</t>
  </si>
  <si>
    <t>Estipendios pasantes (2)</t>
  </si>
  <si>
    <t>MEDIOS</t>
  </si>
  <si>
    <t>Medios digitales- contrapunto $ 450.00 x 12</t>
  </si>
  <si>
    <t>Carteleras en periódicos de actividades (agendas)</t>
  </si>
  <si>
    <t>Felicitacion Aguilas - Semana Migrante</t>
  </si>
  <si>
    <t>Publicidad libro Dr Pleites</t>
  </si>
  <si>
    <t>Comunicados y esquelas</t>
  </si>
  <si>
    <t>PUBLICIDAD PROMOCIONAL</t>
  </si>
  <si>
    <t>PRODUCCION MATERIAL PUBLICITARIO</t>
  </si>
  <si>
    <t>Producción de radio, televisión y fotografía</t>
  </si>
  <si>
    <t xml:space="preserve">Concepto creativo </t>
  </si>
  <si>
    <t>Producción agencia de publicidad</t>
  </si>
  <si>
    <t>Almuerzos y refrigerios para modelos</t>
  </si>
  <si>
    <t>PUBLICIDAD INSTITUCIONAL</t>
  </si>
  <si>
    <t xml:space="preserve">Producción materiales publicitarios </t>
  </si>
  <si>
    <t>COMUNICACIÓN INTERNA</t>
  </si>
  <si>
    <t>Rotulación interna</t>
  </si>
  <si>
    <t>Estipendio pasante (1)</t>
  </si>
  <si>
    <t>Afiches, banner, mupis y roll-ups</t>
  </si>
  <si>
    <t>Protocolo y eventos (vestuario, acrílicos, bolígrafos y agua)</t>
  </si>
  <si>
    <t>Suscripción Mailchimp</t>
  </si>
  <si>
    <t>Mantenimiento carteleras</t>
  </si>
  <si>
    <t>Implementacion plataforma telefonica DADA</t>
  </si>
  <si>
    <t>Diademas</t>
  </si>
  <si>
    <t>Suscripcion Gogaddy</t>
  </si>
  <si>
    <t xml:space="preserve">MANTENIMIENTO </t>
  </si>
  <si>
    <t>MANTENIMIENTO GENERAL</t>
  </si>
  <si>
    <t>MANTENIMIENTO DE VEHICULOS</t>
  </si>
  <si>
    <t xml:space="preserve">P-409688 Presidencia - Tahoe </t>
  </si>
  <si>
    <t>P-495663 Presidencia JGU Tahoe</t>
  </si>
  <si>
    <t>P-252192 Rectoría  Jeep Gran Cherokee</t>
  </si>
  <si>
    <t>P-100500 Vicepresidencia Jeep Grand Cherokee</t>
  </si>
  <si>
    <t>P-760931- Pickup doble cabina VC Presidencia</t>
  </si>
  <si>
    <t>P-728258 Jeep Wrangler Sahara  Asistente Vicepresidencia</t>
  </si>
  <si>
    <t xml:space="preserve">P-256472  Kia Carens Decanato de Estudiantes </t>
  </si>
  <si>
    <t>P-538441 Kia Sorrento Decanato de Estudiantes</t>
  </si>
  <si>
    <t>P 867473 Pickup Toyota Serv Grales</t>
  </si>
  <si>
    <t>P-860543 Microbus Toyota Serv Grales</t>
  </si>
  <si>
    <t>P-860558 Microbus Toyota Serv Grales</t>
  </si>
  <si>
    <t>P-643654 Servicios Grales  Van Suzuki</t>
  </si>
  <si>
    <t>P-644017 Servicios Grales  Microbus Mazda</t>
  </si>
  <si>
    <t>P-501185 Servicios Grales. Pickup d/c Mazda</t>
  </si>
  <si>
    <t>P- 647824  Servicios Grales. Micro Mitsubishi</t>
  </si>
  <si>
    <t>P-619158  Suzuki Rojo Servicios Grles</t>
  </si>
  <si>
    <t>P-669446 Camion Kia K300 Servicios Grales</t>
  </si>
  <si>
    <t>P-760933 Microbus Toyota Serv. Grales-</t>
  </si>
  <si>
    <t>P-762271 Microbus Chevrolet N-300</t>
  </si>
  <si>
    <t>Combustible vehículos mantenimiento</t>
  </si>
  <si>
    <t>MANTENIMIENTO DE AIRES ACONDICIONADOS</t>
  </si>
  <si>
    <t xml:space="preserve">Contrato de Mantenimiento Aires Acondicionados </t>
  </si>
  <si>
    <t>Materiales Mantenimiento A/A</t>
  </si>
  <si>
    <t>MANTENIMIENTO DE EQUIPO Y MOBILIARIOS</t>
  </si>
  <si>
    <t>Mantenimiento de oficinas, mobiliario y equipo</t>
  </si>
  <si>
    <t>Mantenimiento Asensores $ 282.50*12</t>
  </si>
  <si>
    <t>Matto preventivo planta fotovoltaíca (trimestral)</t>
  </si>
  <si>
    <t>Mantenimiento Bebederos Ultima H</t>
  </si>
  <si>
    <t xml:space="preserve">Mantenimiento Plantas Emergencia- Smega-Cia Gral de equipos </t>
  </si>
  <si>
    <t>Mantenimiento subestaciones eléctricas</t>
  </si>
  <si>
    <t>Mantenimiento de Extintores</t>
  </si>
  <si>
    <t>MANTENIMIENTO INSTALACIONES CAMPUS</t>
  </si>
  <si>
    <t>Materiales para Construcción para Proveeduria</t>
  </si>
  <si>
    <t>Materiales Eléctricos para Proveeduría</t>
  </si>
  <si>
    <t>Materiales mantenimiento en Proveeduría</t>
  </si>
  <si>
    <t xml:space="preserve">Mantto Odorización  Baños Aulas </t>
  </si>
  <si>
    <t>Mantenimiento de Limpieza</t>
  </si>
  <si>
    <t xml:space="preserve">Mantenimiento Fumigaciones </t>
  </si>
  <si>
    <t xml:space="preserve">Mantenimiento Pintura </t>
  </si>
  <si>
    <t>Mantenimiento de Jardines</t>
  </si>
  <si>
    <t>OTROS MANTENIMIENTOS</t>
  </si>
  <si>
    <t>Mantenimiento El Palmarcito</t>
  </si>
  <si>
    <t>Mantenimiento paneles solares</t>
  </si>
  <si>
    <t>Remodelacion Aula 103 Tomas Jefferson Antropología</t>
  </si>
  <si>
    <t>Mantenimiento instalaciones Planes de Renderos</t>
  </si>
  <si>
    <t>Mantenimiento terreno Ciudad Delgado</t>
  </si>
  <si>
    <t>Mtto Techos</t>
  </si>
  <si>
    <t>Enmarcados</t>
  </si>
  <si>
    <t>HERRAMIENTAS VARIAS</t>
  </si>
  <si>
    <t>Reparación Aguila de fuente</t>
  </si>
  <si>
    <t>Equipo area electrica y civil</t>
  </si>
  <si>
    <t>1 Desgramadora</t>
  </si>
  <si>
    <t>Heramientas jardineros</t>
  </si>
  <si>
    <t xml:space="preserve">EQUIPO DE SEGURIDAD </t>
  </si>
  <si>
    <t>Gabachas y jeans</t>
  </si>
  <si>
    <t>Seguro de Incendio- ACSA Aseguradora Agri 8 cuo</t>
  </si>
  <si>
    <t>Seguro Valores ACSA 8 cuotas</t>
  </si>
  <si>
    <t>Seguro Vehiculos ACSA 8 cuotas</t>
  </si>
  <si>
    <t>Seguro Vida Colectivo-  SISA 6 cuotas</t>
  </si>
  <si>
    <t>Seguro Médico Hospitalario SISA 6 cuotas</t>
  </si>
  <si>
    <t>CENTRO DE FORMACION PROFESIONAL y EXT U</t>
  </si>
  <si>
    <t xml:space="preserve">Sueldos colaboradora </t>
  </si>
  <si>
    <t>Fotocopias $ 1420.00 x 12</t>
  </si>
  <si>
    <t xml:space="preserve">Insumos de oficina varios </t>
  </si>
  <si>
    <t>DIPLOMADOS Y SEMINARIOS INTERNOS UTEC</t>
  </si>
  <si>
    <t>AMADEUS</t>
  </si>
  <si>
    <t>Licencia</t>
  </si>
  <si>
    <t>Insumos diplomas, fotocopias, refrigerios,etc</t>
  </si>
  <si>
    <t>Ponente Amadeus</t>
  </si>
  <si>
    <t>Insumos Diplomados</t>
  </si>
  <si>
    <t xml:space="preserve">Ponente </t>
  </si>
  <si>
    <t>Suscripcion  CSVCP</t>
  </si>
  <si>
    <t>Publicidad Facebook</t>
  </si>
  <si>
    <t>Comisiones CSVCP</t>
  </si>
  <si>
    <t>Insumos Diplomados y Refrigerios</t>
  </si>
  <si>
    <t>POSTGRADO CAMPUS VIRTUAL</t>
  </si>
  <si>
    <t>ACADEMIA MICROSOFT</t>
  </si>
  <si>
    <t>Certificaciones VLOV FEE Fica</t>
  </si>
  <si>
    <t>Publicidad</t>
  </si>
  <si>
    <t>Insumos diplomados y Refrigerios</t>
  </si>
  <si>
    <t>Seminarios Varios</t>
  </si>
  <si>
    <t>Ponentes</t>
  </si>
  <si>
    <t>Licncia Harvard Bussiness Publishing 1/4</t>
  </si>
  <si>
    <t xml:space="preserve">Insumos y refrigerios </t>
  </si>
  <si>
    <t>Insumos Seminarios y refrigerios</t>
  </si>
  <si>
    <t>Revista Derecho</t>
  </si>
  <si>
    <t>PERSONAL ACADEMICOS (FACULTADES, DOCTORADOS, OTRAS UNIDADES ACADÉMICAS)</t>
  </si>
  <si>
    <t>CAPACITACION  FACULTADES (FACE, FICA, FADE, FACS,  MAE</t>
  </si>
  <si>
    <t>Facultad de Ciencias Empresariales</t>
  </si>
  <si>
    <t>Seminario Facturación Director</t>
  </si>
  <si>
    <t>Facultad de Informática y Ciencias Aplicadas</t>
  </si>
  <si>
    <t>Mae ingeniera en Robótica Ing Jorge Acevedo</t>
  </si>
  <si>
    <t>Mae ingeniera en Robótica Ing Douglas Aguilar</t>
  </si>
  <si>
    <t>Mae ingeniera en Robótica Ing Francisco Ramos</t>
  </si>
  <si>
    <t>Mae ingeniera en Robótica Ing Julio Rosales</t>
  </si>
  <si>
    <t>Facultad de Ciencias Sociales</t>
  </si>
  <si>
    <t>Maestria en Ingeniera industrial Dr Ruben A. Funez $ 56.00</t>
  </si>
  <si>
    <t>Facultad de Ciencias Juridicas</t>
  </si>
  <si>
    <t>Maestría Lic. Pamela Vanegas</t>
  </si>
  <si>
    <t>Facultad Maestrias y Postgrados</t>
  </si>
  <si>
    <t xml:space="preserve">Maestría  Rossy Iasmeen Quezada </t>
  </si>
  <si>
    <t>OTRAS CAPACITACIONES ACADEMICOS</t>
  </si>
  <si>
    <t>TALLER METODOLOGIA  CASOS A DOCENTES</t>
  </si>
  <si>
    <t>TALLER PRINCIPIOS Y VALORES DOCENTES</t>
  </si>
  <si>
    <t>Viaticos</t>
  </si>
  <si>
    <t>Boletos</t>
  </si>
  <si>
    <t>CAPACITACIONES ADMINISTRATIVAS</t>
  </si>
  <si>
    <t xml:space="preserve">CONTABILIDAD </t>
  </si>
  <si>
    <t>PRESIDENCIA   y PJGU</t>
  </si>
  <si>
    <t>Mae Virtual Admón Utec Clara Santamaría  $ 83.00</t>
  </si>
  <si>
    <t>Refuerzo ingles PJGU</t>
  </si>
  <si>
    <t>TALLER PRINCIPIOS Y VALORES</t>
  </si>
  <si>
    <t>Combustible Administrativos</t>
  </si>
  <si>
    <t>Servicio combustible</t>
  </si>
  <si>
    <t xml:space="preserve">Mensajero $ 180.00 </t>
  </si>
  <si>
    <t>Motorista Presidencia</t>
  </si>
  <si>
    <t>Boletos y viaticos a ejecutivos</t>
  </si>
  <si>
    <t>PJGU</t>
  </si>
  <si>
    <t>Asesoría Presidencia</t>
  </si>
  <si>
    <t>BOLETOS Y VIATICOS PERSONAL ACADEMICO</t>
  </si>
  <si>
    <t xml:space="preserve">Decano de Derecho </t>
  </si>
  <si>
    <t>Decano de Estudiantes</t>
  </si>
  <si>
    <t>Rector</t>
  </si>
  <si>
    <t>Vicedecano Derecho</t>
  </si>
  <si>
    <t>Director comunicaciones Fac. CC Sociales</t>
  </si>
  <si>
    <t>Investigadora a Mexico</t>
  </si>
  <si>
    <t>Traslado valores de Tesoreria</t>
  </si>
  <si>
    <t>Otros viaticos al personal</t>
  </si>
  <si>
    <t>Administración Académica</t>
  </si>
  <si>
    <t>Din</t>
  </si>
  <si>
    <t>Tesorería</t>
  </si>
  <si>
    <t>Personal Presidencia PJU</t>
  </si>
  <si>
    <t>Contabilidad</t>
  </si>
  <si>
    <t>INSUMOS DE OFICINA Y PAPELERÍA</t>
  </si>
  <si>
    <t>Guías de nuevo ingreso</t>
  </si>
  <si>
    <t>Alumno promotor  $ 20.00</t>
  </si>
  <si>
    <t>Viaticos y atenciones a Personal proceso inscripción</t>
  </si>
  <si>
    <t xml:space="preserve">Reconocimientos </t>
  </si>
  <si>
    <t>Fotocopias $ 3,060.00 X 12</t>
  </si>
  <si>
    <t>Papelería y  Utiles de escritorio</t>
  </si>
  <si>
    <t>MERCADEO DIGITAL</t>
  </si>
  <si>
    <t>Publicidad en períodicos digitales- Social Media Day</t>
  </si>
  <si>
    <t>Publicidad en Facebook</t>
  </si>
  <si>
    <t>Publicidad en Twitter</t>
  </si>
  <si>
    <t>Publicidad en Google</t>
  </si>
  <si>
    <t>Publicidad en Tik Tok</t>
  </si>
  <si>
    <t>Suscripción Mail Chimp $ 640.X 12</t>
  </si>
  <si>
    <t>Licencias Feepick- Banco de Imágenes</t>
  </si>
  <si>
    <t xml:space="preserve">Consumos Movil $ 45 </t>
  </si>
  <si>
    <t>MERCADEO PROMOCIONAL Y BTL</t>
  </si>
  <si>
    <t>Promoción carreras virtuales y con énfasis</t>
  </si>
  <si>
    <t>Patrocinio Programa La Tribu</t>
  </si>
  <si>
    <t>(Promocionales / Vales combustible/Diplomados)</t>
  </si>
  <si>
    <t>Publicidad en exteriores</t>
  </si>
  <si>
    <t>Pantallas  en centros comerciales</t>
  </si>
  <si>
    <t xml:space="preserve">Muppies en vía pública- Lonas </t>
  </si>
  <si>
    <t>Promocionales</t>
  </si>
  <si>
    <t>Camisas promocionales</t>
  </si>
  <si>
    <t>Squezze</t>
  </si>
  <si>
    <t>Otros promocionales(Gorras, tasas, bolsas, plumas)</t>
  </si>
  <si>
    <t>Red de empresas</t>
  </si>
  <si>
    <t xml:space="preserve">Membresia ALTHES </t>
  </si>
  <si>
    <t>Coordinador Red empresas</t>
  </si>
  <si>
    <t>Equipo para oficina</t>
  </si>
  <si>
    <t>Mobiliario</t>
  </si>
  <si>
    <t>Articulos promocionales</t>
  </si>
  <si>
    <t>Evento anual empresas/patrocinios</t>
  </si>
  <si>
    <t>RED DE COLEGIOS NUEVO INGRESO</t>
  </si>
  <si>
    <t>Desayunos  y eventos Directores Educ. Media</t>
  </si>
  <si>
    <t>Desayunos  Red Utec 27-5-2021</t>
  </si>
  <si>
    <t>Eventos Especiales a directores</t>
  </si>
  <si>
    <t>Evento padres red de colegios Liceos Cristianos</t>
  </si>
  <si>
    <t>Evento Asociación de Colegios privados de El Salvador</t>
  </si>
  <si>
    <t>Evento Padres Red de Colegios Católicos</t>
  </si>
  <si>
    <t>Promocionales para directores</t>
  </si>
  <si>
    <t>Capacitación docentes educación media</t>
  </si>
  <si>
    <t>Capacitaciones a docentes entornos virtuales</t>
  </si>
  <si>
    <t>Horas clase capacitadores Pedagogía Teatral</t>
  </si>
  <si>
    <t>Diplomas y cartapacios para certificados</t>
  </si>
  <si>
    <t xml:space="preserve">Programa de valores, capacitaciones y escuela de padres </t>
  </si>
  <si>
    <t>Publicidad programa de valores en línea alumnos</t>
  </si>
  <si>
    <t>Ponente y viaticos Principios y valores</t>
  </si>
  <si>
    <t>Rifas</t>
  </si>
  <si>
    <t>Publicidad programa de valores en línea padres</t>
  </si>
  <si>
    <t>Tour Utec</t>
  </si>
  <si>
    <t>Personal 3 $2,760.00 X 13</t>
  </si>
  <si>
    <t>Donación libros de texto</t>
  </si>
  <si>
    <t>Publicidad promocional Tour</t>
  </si>
  <si>
    <t>Transportes</t>
  </si>
  <si>
    <t>Suscripción anual ZOOM y  Webbinar</t>
  </si>
  <si>
    <t>Viaticos y hospedaje Ferias</t>
  </si>
  <si>
    <t>Publicidad Feria</t>
  </si>
  <si>
    <t>Open house digital atración 2023</t>
  </si>
  <si>
    <t>SERVICIO METROCENTRO 4150801</t>
  </si>
  <si>
    <t>Sueldos Leonardo, Luis y  Brenda $ 1700 x 13</t>
  </si>
  <si>
    <t xml:space="preserve">Alquiler de Local $ 3108*12 </t>
  </si>
  <si>
    <t>Mantenimiento de local $ 436.23</t>
  </si>
  <si>
    <t>Mantenimiento equipos $ 19.* 12</t>
  </si>
  <si>
    <t>Mantenimiento limpieza funigaciones</t>
  </si>
  <si>
    <t>Servicio Internet $ 203.*12</t>
  </si>
  <si>
    <t>Servicio telefónico</t>
  </si>
  <si>
    <t xml:space="preserve">Servicio Energia Eléctrica </t>
  </si>
  <si>
    <t>Parqueo vehiculos del personal $ 40</t>
  </si>
  <si>
    <t>Fotocopias $1,020.00 x12</t>
  </si>
  <si>
    <t>Utiles de Escritorio y otros</t>
  </si>
  <si>
    <t>Aromatización $ 55.00 * 12</t>
  </si>
  <si>
    <t>CENTRO DE SOLUCIONES</t>
  </si>
  <si>
    <t xml:space="preserve">Sueldos 6 personas  Jessica, Ana Henrry Guadalupe, Carlota, Cyntia  $ 2900.00 x 13 </t>
  </si>
  <si>
    <t>Servicio telefónico Telefonica $ 425 x 12</t>
  </si>
  <si>
    <t>Servicio telefono móvil $ 35 x 12</t>
  </si>
  <si>
    <t>Planta telefonica Dada Dada $ 814 x 12</t>
  </si>
  <si>
    <t>Remodelación Centro de Soluciones (módulos, sillas, credenza)</t>
  </si>
  <si>
    <t>Materiale de proveeduria</t>
  </si>
  <si>
    <t>KIOSCO PLAZA MUNDO</t>
  </si>
  <si>
    <t>Sueldos $ 1,100 x 13</t>
  </si>
  <si>
    <t>Renta de local $ 2,689 x 12 a partir Junio $2,796.21</t>
  </si>
  <si>
    <t>Seguridad CAM</t>
  </si>
  <si>
    <t xml:space="preserve">Energia electrica </t>
  </si>
  <si>
    <t>Servicio de agua $ 10.00</t>
  </si>
  <si>
    <t xml:space="preserve">Servicio telefónico </t>
  </si>
  <si>
    <t>Imptos municipales</t>
  </si>
  <si>
    <t>Servicio internet $ 203 x 12</t>
  </si>
  <si>
    <t>Publicidad $ 339.00 x 12</t>
  </si>
  <si>
    <t>Mtto aire acondicionado  $ 35.00</t>
  </si>
  <si>
    <t>Insumos de oficina- agua cristal $ 44.00 y oasis</t>
  </si>
  <si>
    <t>GASTOS DE DIRECCION</t>
  </si>
  <si>
    <t xml:space="preserve"> Sueldo de Decano de Estudiantes secretaria y Marcela Zuniga</t>
  </si>
  <si>
    <t>Fotocopias $ 1,020 x 12</t>
  </si>
  <si>
    <t>Membresia Club</t>
  </si>
  <si>
    <t>Papeleria e  insumos  de escritorio</t>
  </si>
  <si>
    <t>UNIDAD DE TUTORES</t>
  </si>
  <si>
    <r>
      <t xml:space="preserve">Sueldo Lic. Carlos Magno </t>
    </r>
    <r>
      <rPr>
        <b/>
        <sz val="8"/>
        <color theme="8" tint="-0.499984740745262"/>
        <rFont val="Garamond"/>
        <family val="1"/>
      </rPr>
      <t>Pineda $ 1700*13</t>
    </r>
  </si>
  <si>
    <t>UNIDAD DE SERVICIO SOCIAL</t>
  </si>
  <si>
    <t>Sueldos  Lic. Juan  Montano ys secretaria</t>
  </si>
  <si>
    <t>SERVICIOS ESTUDIANTILES</t>
  </si>
  <si>
    <t>Sueldo Lic. Willian  Colocho + secretaria</t>
  </si>
  <si>
    <t>UNIDAD DE DEPORTES  Y RECREACION</t>
  </si>
  <si>
    <t>Sueldo Encargado Unidad</t>
  </si>
  <si>
    <t>Entrenadores</t>
  </si>
  <si>
    <t>Arbitrajes</t>
  </si>
  <si>
    <t>Servicio de agua cristal</t>
  </si>
  <si>
    <t>EVENTOS ACADEMICOS, CULTURALES  E INSTITUCIONALES</t>
  </si>
  <si>
    <t>EVENTOS INSTITUCIONALES Y SOCIALES</t>
  </si>
  <si>
    <t>EVENTOS INSTITUCIONALES  INTERNOS</t>
  </si>
  <si>
    <t>Sesiones y conferencias   Senado Consultivo</t>
  </si>
  <si>
    <t>Comites ejecutivos</t>
  </si>
  <si>
    <t>Dietas</t>
  </si>
  <si>
    <t>Reuniones Rectoria</t>
  </si>
  <si>
    <t>Direción corporativa</t>
  </si>
  <si>
    <t>Atencion Floral  y esquelas por defunsiones</t>
  </si>
  <si>
    <t>EVENTOS DE PROYECCION</t>
  </si>
  <si>
    <t>Gastos de Representacion Lic. Garay</t>
  </si>
  <si>
    <t>Gastos de Representacion Dr. Loucel $ 8888.88</t>
  </si>
  <si>
    <t>EVENTOS ACADEMICOS</t>
  </si>
  <si>
    <t>EVENTOS AL PERSONAL DOCENTE</t>
  </si>
  <si>
    <t xml:space="preserve">Reuniones con Docentes  </t>
  </si>
  <si>
    <t xml:space="preserve">CC SOCIALES </t>
  </si>
  <si>
    <t>Vinculación Padres de Familia</t>
  </si>
  <si>
    <t>Toner, Tintas, etc</t>
  </si>
  <si>
    <t>Café, Agua, PH, Vasos, Servilletas, etc</t>
  </si>
  <si>
    <t>Insumos de limpieza</t>
  </si>
  <si>
    <t>Empastados</t>
  </si>
  <si>
    <t>Papeleria impresa</t>
  </si>
  <si>
    <t xml:space="preserve">Gastos Admón </t>
  </si>
  <si>
    <t xml:space="preserve">Sueldos Personal tiempo completo </t>
  </si>
  <si>
    <t>Fotocopias</t>
  </si>
  <si>
    <t>Papeleria y Utiles mas gastos licitaciones</t>
  </si>
  <si>
    <t xml:space="preserve">Gastos Encuestas Contratadas </t>
  </si>
  <si>
    <t>Encuesta UNFPA MINSAL</t>
  </si>
  <si>
    <t>Diseño de instrumento y plataforma P/recolección</t>
  </si>
  <si>
    <t>Depuracion Base de Datos</t>
  </si>
  <si>
    <t>Consultor Ma. Elena Paz</t>
  </si>
  <si>
    <t>Elaboración informes estadisticos</t>
  </si>
  <si>
    <t>ENCUESTA ABANSA</t>
  </si>
  <si>
    <t>Analitika</t>
  </si>
  <si>
    <t>Encuestadores, viaticos y capacitaciones y telefono</t>
  </si>
  <si>
    <t>Programador Diego González</t>
  </si>
  <si>
    <t>SALARIO  $ 3,550.00 X 13</t>
  </si>
  <si>
    <t xml:space="preserve">PUBLICIDAD PROMOCIONAL </t>
  </si>
  <si>
    <t>Pagina Web Trend $ 339*12</t>
  </si>
  <si>
    <t>Papelería, utiles y fotocopias</t>
  </si>
  <si>
    <t>Mtto equipo</t>
  </si>
  <si>
    <t>Iknowwho $ 41.66 *12</t>
  </si>
  <si>
    <t>Carnet graduados</t>
  </si>
  <si>
    <t>Revistas virtuales</t>
  </si>
  <si>
    <t>EVENTOS</t>
  </si>
  <si>
    <t xml:space="preserve">Capacitación y desarrollo de  graduados Utec  </t>
  </si>
  <si>
    <t>Ponente  Dr. Malumbres</t>
  </si>
  <si>
    <t>Eventos presenciales graduados</t>
  </si>
  <si>
    <t xml:space="preserve">SISTEMA BIBLIOTECARIO  </t>
  </si>
  <si>
    <t xml:space="preserve">LIBROS </t>
  </si>
  <si>
    <t>Papelería y utiles</t>
  </si>
  <si>
    <t xml:space="preserve">1 Impresor </t>
  </si>
  <si>
    <t>Fotocopias  $ 1,020.00 x 12</t>
  </si>
  <si>
    <t>Restauracion libros</t>
  </si>
  <si>
    <t>CAPACITACIONES  LATINDEX</t>
  </si>
  <si>
    <t>MEMBRESIAS BIBLIOTECA</t>
  </si>
  <si>
    <t>EBSCO</t>
  </si>
  <si>
    <t>Suscripción Tirant Lo Blanch</t>
  </si>
  <si>
    <t>CBUES membresia 2022</t>
  </si>
  <si>
    <t>e-Libros catedra ingles</t>
  </si>
  <si>
    <t>Heramienta de trabajo lista encabezamiento</t>
  </si>
  <si>
    <t>Diario oficial</t>
  </si>
  <si>
    <t>Reserch for life</t>
  </si>
  <si>
    <t xml:space="preserve">MEMBRESIAS Y SUSCRIPCIONES </t>
  </si>
  <si>
    <t>Suscripciones y membresias varias</t>
  </si>
  <si>
    <t>Periodicos Nacionales</t>
  </si>
  <si>
    <t>Membresia Camara de Comercio $574.27</t>
  </si>
  <si>
    <t>Membresia Camara Americana Amcham</t>
  </si>
  <si>
    <t>Membresia Price Smart Licda Marielos L.</t>
  </si>
  <si>
    <t>Renovación servicio Pay Way</t>
  </si>
  <si>
    <t>Apdo Postal</t>
  </si>
  <si>
    <t>Codigo de barras</t>
  </si>
  <si>
    <t>Membresias Bco _Cuscatlan y America Central</t>
  </si>
  <si>
    <t>Revista Estrategias y Negocios</t>
  </si>
  <si>
    <t>Suscripciones y membresias FICA</t>
  </si>
  <si>
    <t xml:space="preserve">Membresia Cleai Fica </t>
  </si>
  <si>
    <t>Membresia CISCO Fepade FICA</t>
  </si>
  <si>
    <t>Membresia Casa.Tic</t>
  </si>
  <si>
    <t xml:space="preserve">DONACIONES </t>
  </si>
  <si>
    <t>Donaciones Recurrentes</t>
  </si>
  <si>
    <t>Asociacion Padre Vito Guarato</t>
  </si>
  <si>
    <t>ANEP</t>
  </si>
  <si>
    <t>Teen Challenge</t>
  </si>
  <si>
    <t>Guardavidas Salvadoreños</t>
  </si>
  <si>
    <t>Cruz Verde Salvadoreña</t>
  </si>
  <si>
    <t>Asociacion Diakonya</t>
  </si>
  <si>
    <t>Pro Arte</t>
  </si>
  <si>
    <t>Academia  Salvadoreña de la Lengua</t>
  </si>
  <si>
    <t>Academia  Salvadoreña de Historia</t>
  </si>
  <si>
    <t>Otras no detalladas</t>
  </si>
  <si>
    <t>Alcaldia municipal de San Salvador</t>
  </si>
  <si>
    <t>FEDERACIÓN SALVADOREÑA DE BEISBALL</t>
  </si>
  <si>
    <t>Federación Salvadoreña de Beisball Patrocinios</t>
  </si>
  <si>
    <t>Federación de beisball Zacamil</t>
  </si>
  <si>
    <t>Uniformes de entrenos</t>
  </si>
  <si>
    <t>Víaticos</t>
  </si>
  <si>
    <t>Entrenador</t>
  </si>
  <si>
    <t>Manager</t>
  </si>
  <si>
    <t>Pitcher</t>
  </si>
  <si>
    <t>3a Base</t>
  </si>
  <si>
    <t>Implementos deportivos</t>
  </si>
  <si>
    <t>Reconocimientos</t>
  </si>
  <si>
    <t>Patrocinio Torneo Golf</t>
  </si>
  <si>
    <t>Tarjetas juegos</t>
  </si>
  <si>
    <t>Insumos de oficina</t>
  </si>
  <si>
    <t>Fotocopias $ 1,020.00 x 12 a partir abril $500</t>
  </si>
  <si>
    <t>Papeleria y Utiles+ UPS</t>
  </si>
  <si>
    <t>Pagina Web Meaning y dominio</t>
  </si>
  <si>
    <t>Herramienta Dropbok</t>
  </si>
  <si>
    <t>Membresía a Redes internacionales</t>
  </si>
  <si>
    <t>HACU</t>
  </si>
  <si>
    <t>INCA</t>
  </si>
  <si>
    <t>RLCU</t>
  </si>
  <si>
    <t>Producción de materiales para negociación digital e impresos</t>
  </si>
  <si>
    <t>Brochure internacional Utec</t>
  </si>
  <si>
    <t>Licencia Zoom</t>
  </si>
  <si>
    <t>Productos promocionales (porta tarjetas y artesanías)</t>
  </si>
  <si>
    <t>Correo internacional (DHL)</t>
  </si>
  <si>
    <t xml:space="preserve">Inversión Equipo </t>
  </si>
  <si>
    <t>1 PC HP Directora Relaciones Intls</t>
  </si>
  <si>
    <t>Programa Becas</t>
  </si>
  <si>
    <t>Programa de becas Redes Internacionales</t>
  </si>
  <si>
    <t>Programa Amity (11 cupos), USA</t>
  </si>
  <si>
    <t xml:space="preserve">Eventos internacionales  </t>
  </si>
  <si>
    <t>Eventos Varios</t>
  </si>
  <si>
    <t>Reunión general y final  Proyecto PROFIC de Erasmus+</t>
  </si>
  <si>
    <t>Proyecto Portuges-Español con Universidad de Pestemburgo, Brasil</t>
  </si>
  <si>
    <t>Asamblea general Red Inca</t>
  </si>
  <si>
    <t>Fería Europa Coopera 2022</t>
  </si>
  <si>
    <t>Atención a visitas internacionales</t>
  </si>
  <si>
    <t>PROVEEDORES LOCALES</t>
  </si>
  <si>
    <t>DADA DADA</t>
  </si>
  <si>
    <t>FREUND</t>
  </si>
  <si>
    <t>TECNOIMPRESOS</t>
  </si>
  <si>
    <t>GRACIELA MAGAÑA</t>
  </si>
  <si>
    <t>CASTELLANOS CHACON AUDITORES</t>
  </si>
  <si>
    <t>JOSE FERNANDO VALLADARES</t>
  </si>
  <si>
    <t>BANCO CUSCATLAN</t>
  </si>
  <si>
    <t>ACADEMIA SALVADOREÑA DE LA LENGUA</t>
  </si>
  <si>
    <t>AMATE TRAVEL</t>
  </si>
  <si>
    <t>LA CONSTANCIA LTDA</t>
  </si>
  <si>
    <t>OTROS PROVEEDORES</t>
  </si>
  <si>
    <t>INVERSIONES DIDACTICAS</t>
  </si>
  <si>
    <t>PROVEEDORES EXTERNOS</t>
  </si>
  <si>
    <t>LOUCEL UNIVERSITY</t>
  </si>
  <si>
    <t>UNIVERSIDAD TECNOLÓGICA DE EL SALVADOR</t>
  </si>
  <si>
    <t>CONTROL  INGRESOS DIPLOMADOS Y SEMINARIOS  2022</t>
  </si>
  <si>
    <t xml:space="preserve">INGRESOS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</si>
  <si>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</si>
  <si>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</si>
  <si>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</si>
  <si>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</si>
  <si>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</si>
  <si>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</si>
  <si>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</si>
  <si>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</si>
  <si>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</t>
  </si>
  <si>
    <t>OCTUBRE</t>
  </si>
  <si>
    <t>NOV</t>
  </si>
  <si>
    <t>EJECUTADO</t>
  </si>
  <si>
    <t>CENTRO DE FORMACIÓN PROFESIONAL</t>
  </si>
  <si>
    <t>EXTENSION UNIVERSITARIA</t>
  </si>
  <si>
    <t>DIPLOMADOS  INTERNOS</t>
  </si>
  <si>
    <t>FAC. CC. EMPRESARIALES</t>
  </si>
  <si>
    <t>Diplomado de  Administración</t>
  </si>
  <si>
    <t>Diplomado de  Contabilidad</t>
  </si>
  <si>
    <t>Diplomado de  Economía</t>
  </si>
  <si>
    <t>Diplomado de  Emprendimiento</t>
  </si>
  <si>
    <t>Diplomado de  Mercadeo</t>
  </si>
  <si>
    <t>Diplomado de  Turismo</t>
  </si>
  <si>
    <t>Exportaciones e importaciones</t>
  </si>
  <si>
    <t>Logística y transporte internacional</t>
  </si>
  <si>
    <t>Actualización financiera gerencial</t>
  </si>
  <si>
    <t>Talleres AMADEUS</t>
  </si>
  <si>
    <t>Aplicación de un sistema contable de acuerdo a las NIIF</t>
  </si>
  <si>
    <t>Actualizacion de leyes tributarias</t>
  </si>
  <si>
    <t>Gestion de riesgos Risk Management</t>
  </si>
  <si>
    <t>FAC.  INFORMATICA Y CC APLICADAS</t>
  </si>
  <si>
    <t>ESCUELA DE INFORMATICA</t>
  </si>
  <si>
    <t>Postgrado en Campus Virtuales para la Práctica Educativa</t>
  </si>
  <si>
    <t>Certificación CISCO ( CCNA Router )</t>
  </si>
  <si>
    <t>Academia Microsotft MOS</t>
  </si>
  <si>
    <t>Academia Microsotft  MTA</t>
  </si>
  <si>
    <t>ESCUELA DE CIENCIAS APLICADAS</t>
  </si>
  <si>
    <t>Práctica Básica Constructiva</t>
  </si>
  <si>
    <t>Preparación certificación User en Fusion 360</t>
  </si>
  <si>
    <t xml:space="preserve">FAC. DE CC SOCIALES </t>
  </si>
  <si>
    <t>Escuela de Antropología</t>
  </si>
  <si>
    <t>Violencia, feminicidios y desaparecidos: efectos en la sociedad</t>
  </si>
  <si>
    <t>Gobernabilidad y gestión política en El Salvador</t>
  </si>
  <si>
    <t>Escuela de Comunicaciones</t>
  </si>
  <si>
    <t>Locución Comercial</t>
  </si>
  <si>
    <t>Taller de aplicación de Normas APA en la producción de textos</t>
  </si>
  <si>
    <t>Gestión de las PR a través de la comunicación multimedia</t>
  </si>
  <si>
    <t>Aplicación del protocolo oficial y corporativo</t>
  </si>
  <si>
    <t>Comunicación corporativa digital</t>
  </si>
  <si>
    <t>Escuela de Psicología</t>
  </si>
  <si>
    <t>Diplomado en Reclutamiento y Selección (modalidad virtual)</t>
  </si>
  <si>
    <t>Diplomado en  Test Psicológicos (modalidad semipresencial)</t>
  </si>
  <si>
    <t>Escuela de Idiomas</t>
  </si>
  <si>
    <t>Diplomado TOEIC</t>
  </si>
  <si>
    <t>Test of english for Intl</t>
  </si>
  <si>
    <t>Diplomado Koreano</t>
  </si>
  <si>
    <t>Catedra de Genero</t>
  </si>
  <si>
    <t>Diplomado: Abordaje Psicosocial de Adultos Mayores desde un enfoque de DDHH</t>
  </si>
  <si>
    <t>Diplomado de Masculinidades, Género y Prevención de la Violencia</t>
  </si>
  <si>
    <t>FAC. DE CC JURIDICAS</t>
  </si>
  <si>
    <t>Derecho procesal constitucional</t>
  </si>
  <si>
    <t>SEMINARIOS INTERNOS</t>
  </si>
  <si>
    <t>ESCUELA DE NEGOCIOS</t>
  </si>
  <si>
    <t>Seminario de  Administración</t>
  </si>
  <si>
    <t>Seminario de  Economía</t>
  </si>
  <si>
    <t>Seminario de  Mercadeo</t>
  </si>
  <si>
    <t>Seminario de  Turismo</t>
  </si>
  <si>
    <t>Seminario de  Contabilidad</t>
  </si>
  <si>
    <t>El Crowfunding como sistema financiero alterno</t>
  </si>
  <si>
    <t>Pasos para crear na marca online</t>
  </si>
  <si>
    <t>Planeacion estrategica</t>
  </si>
  <si>
    <t>Procesos de integración comercial y su aporte a la compañía</t>
  </si>
  <si>
    <t>Habilidades blandas de proyect manager del futuro</t>
  </si>
  <si>
    <t>Introduccón al employer branding</t>
  </si>
  <si>
    <t>Sistema de reserva Avanzado</t>
  </si>
  <si>
    <t>Sisema de reserva básico</t>
  </si>
  <si>
    <t>Sistema de reserva intermedio</t>
  </si>
  <si>
    <t>Metodologia de casos</t>
  </si>
  <si>
    <t>Describir el rol del consultor independiente</t>
  </si>
  <si>
    <t>El valor razonable aplicado a las NIIF y marco legal</t>
  </si>
  <si>
    <t>Estado de flujos de efectivo según NIIF para PYMES</t>
  </si>
  <si>
    <t>Innovacion y creatividad</t>
  </si>
  <si>
    <t>Tratamiento contable de los activos según NIIF</t>
  </si>
  <si>
    <t>Operaciones básicas con celdas para elaborar</t>
  </si>
  <si>
    <t>Técnicas del método DUPON para la toma de decisiones</t>
  </si>
  <si>
    <t>Coaching gerencial</t>
  </si>
  <si>
    <t>Inteligencia emocional en empleos sector turistico</t>
  </si>
  <si>
    <t>La Versatilidad de la consultoría administrativa</t>
  </si>
  <si>
    <t>Simulador Contrainer</t>
  </si>
  <si>
    <t>Simulador Corbatul</t>
  </si>
  <si>
    <t>Simulador Fitness Gym</t>
  </si>
  <si>
    <t>Simulador Food Company</t>
  </si>
  <si>
    <t>Simulador Hotel Virtual</t>
  </si>
  <si>
    <t>Cortes básicos culinarios</t>
  </si>
  <si>
    <t>Técnicas Gerenciales antes los desafios</t>
  </si>
  <si>
    <t>Power BI</t>
  </si>
  <si>
    <t>Simulador Energy &amp; Co</t>
  </si>
  <si>
    <t>Simulador Global 2020</t>
  </si>
  <si>
    <t>FAC. DE INFORMATICA Y CC APLICADAS</t>
  </si>
  <si>
    <t>Herramientas Web 2.0 de Google</t>
  </si>
  <si>
    <t>Domotica con PLC</t>
  </si>
  <si>
    <t>Programación de dispositivos Moviles con Sofware libre</t>
  </si>
  <si>
    <t>Introducción a Big Data</t>
  </si>
  <si>
    <t>Sistemas operativos Linux</t>
  </si>
  <si>
    <t>Diseño de impresos con ENE</t>
  </si>
  <si>
    <t>Vectores Bidemensionales y mult para Java</t>
  </si>
  <si>
    <t>Creación de componentes encapsulados (DLL)</t>
  </si>
  <si>
    <t>Programación en LINQ</t>
  </si>
  <si>
    <t>Administración e implementacion de infraestructura en red</t>
  </si>
  <si>
    <t>Herramientas de geogebra para matematica I</t>
  </si>
  <si>
    <t>Excell para matematica financiera</t>
  </si>
  <si>
    <t>Desing Thinking para el desarrollo de producto o servicio</t>
  </si>
  <si>
    <t>Teoria del color aplicada a Character desing</t>
  </si>
  <si>
    <t>Branding animation</t>
  </si>
  <si>
    <t>Técnicas creativas para desbloquear tu cerebro</t>
  </si>
  <si>
    <t>Serigrafía diseño textil</t>
  </si>
  <si>
    <t>Autocad Básico</t>
  </si>
  <si>
    <t>Project Básico</t>
  </si>
  <si>
    <t>Metodo solver para optimizar recursos</t>
  </si>
  <si>
    <t>Método LOB</t>
  </si>
  <si>
    <t>Control númerico computarizado</t>
  </si>
  <si>
    <t>Certificación Microsoft Word 2016</t>
  </si>
  <si>
    <t>Certificación Excel 2016</t>
  </si>
  <si>
    <t>Certificación Word especialista</t>
  </si>
  <si>
    <t>Certificación Excell 2016 especialista</t>
  </si>
  <si>
    <t>Certificación Fundamentos de Admon de bases de datos</t>
  </si>
  <si>
    <t>Certificación Fundamentos de redes</t>
  </si>
  <si>
    <t>Certificación Fundamentos de la Nube AZ-900</t>
  </si>
  <si>
    <t>Certificacion desarrollo de software</t>
  </si>
  <si>
    <t>Machine learning aplicada en Phyton</t>
  </si>
  <si>
    <t>Implementando servicios Web usando ASP.Net con IIS</t>
  </si>
  <si>
    <t>Creación de tableros utilizando Power BI y SQL Server</t>
  </si>
  <si>
    <t>Diseño e implementación de sitios Web con plataforma WordPress</t>
  </si>
  <si>
    <t>Modelación de datos con SQL</t>
  </si>
  <si>
    <t>Diseño y configuración de IPv6 para servidores</t>
  </si>
  <si>
    <t>Simuladores GNS 3 y GNS 4</t>
  </si>
  <si>
    <t>Modulo Cisco Ter3</t>
  </si>
  <si>
    <t>Macros con Excel</t>
  </si>
  <si>
    <t>Tablas dinámicas</t>
  </si>
  <si>
    <t>CINEMA 3 D</t>
  </si>
  <si>
    <t>Aplicaciones moviles con Arduino</t>
  </si>
  <si>
    <t>Sistemas de control neumáticos e hidraulicos</t>
  </si>
  <si>
    <t>Herdening para sisema operativo Linux</t>
  </si>
  <si>
    <t>PSPP aplicado a la investigación</t>
  </si>
  <si>
    <t>Character Desing y Digital painting en photoshop</t>
  </si>
  <si>
    <t>Creacion de tableros utilizando Power BI y SQL server</t>
  </si>
  <si>
    <t>La Maqueta como herramienta en proceso de diseño</t>
  </si>
  <si>
    <t>MATLAB I</t>
  </si>
  <si>
    <t>FAC. DE CIENCIAS SOCIALES</t>
  </si>
  <si>
    <t>Radiografia del neoliberalismo actual</t>
  </si>
  <si>
    <t>Politica y autoritarismo</t>
  </si>
  <si>
    <t>Democracia y politica de El Salvador</t>
  </si>
  <si>
    <t>Análisis del sistema educativo salvadoreño</t>
  </si>
  <si>
    <t>Cultura y etica de la violencia</t>
  </si>
  <si>
    <t>Desafios eticos y politicos  de la empresa salvadoreña</t>
  </si>
  <si>
    <t>Machismo, feminicidio y derechos humanos</t>
  </si>
  <si>
    <t>Análisis ético de los medios de comunicación salvadoreños</t>
  </si>
  <si>
    <t>Cultura y violencia: feminicidios en El Salvador</t>
  </si>
  <si>
    <t>Medio ambiente: producción de energía en El Salvador</t>
  </si>
  <si>
    <t>La nueva conformación de poder en el mundo</t>
  </si>
  <si>
    <t>Construcción del discurso en la oratoria</t>
  </si>
  <si>
    <t>Aplicación de las Normas APA en los textos académicos</t>
  </si>
  <si>
    <t>Comunicación organizacional en plataformas multimedia</t>
  </si>
  <si>
    <t>Edición audio y Video</t>
  </si>
  <si>
    <t>Historias, tipos y mercados</t>
  </si>
  <si>
    <t>Técnicas avanzadas de retoque fotográfico digital</t>
  </si>
  <si>
    <t>Redacción periodística para medios digital</t>
  </si>
  <si>
    <t>Redacción y oratoria</t>
  </si>
  <si>
    <t>Periodismo Multimedia</t>
  </si>
  <si>
    <t>Taller creativo para publicidad en Redes Sociales</t>
  </si>
  <si>
    <t>Uso de herrramientas de comunicación PR 3.0</t>
  </si>
  <si>
    <t>Estrategias de contenido digital para posicionar marca</t>
  </si>
  <si>
    <t>Jornada de oratoria, redacción y liderazgo comunicativo</t>
  </si>
  <si>
    <t>Seminario Gamificación para el desarrollo de tareas</t>
  </si>
  <si>
    <t>Seminario taller de Turismo y Arqueología</t>
  </si>
  <si>
    <t>Seminario Traducción e Interpretación</t>
  </si>
  <si>
    <t>Mi proyecto de vida</t>
  </si>
  <si>
    <t>Peritaje Ssicologico</t>
  </si>
  <si>
    <t>Espectro autista</t>
  </si>
  <si>
    <t>Catedra de Género</t>
  </si>
  <si>
    <t>Seminario-Taller: Redacción de noticias con perspectiva de género</t>
  </si>
  <si>
    <t>Lucha legislativa entono al aborto</t>
  </si>
  <si>
    <t>Seminario-Escuela de Debate.</t>
  </si>
  <si>
    <t>Producción de energía en El Salvador</t>
  </si>
  <si>
    <t>FAC. DE CIENCIAS JURIDICAS</t>
  </si>
  <si>
    <t>Catedra de Asignaturas</t>
  </si>
  <si>
    <t>Catedra de Derecho Público</t>
  </si>
  <si>
    <t>Beneficios fiscales como mecanismo</t>
  </si>
  <si>
    <t>Obligaciones de los empresarios mercantiles</t>
  </si>
  <si>
    <t>El uso de la tecnología en cibercrimen transnacional</t>
  </si>
  <si>
    <t>La politica Nacional de medio ambiente como fuente de derecho</t>
  </si>
  <si>
    <t>Ventajas del proceso en linea de tramite de matricula de empresas</t>
  </si>
  <si>
    <t>El Habeas Data y su proteccion</t>
  </si>
  <si>
    <t>Catedra de Derecho Privado</t>
  </si>
  <si>
    <t>Nulidad y validez de los actos procesales</t>
  </si>
  <si>
    <t>El ejercicio de la protección constitucional de la información</t>
  </si>
  <si>
    <t>Aplicación de la normativa en cibercriminalidad</t>
  </si>
  <si>
    <t>La importancia del acceso a la informacion / justicia</t>
  </si>
  <si>
    <t>Los derechos y garatías en ordenamiento jurídico</t>
  </si>
  <si>
    <t>Oportunidades de la ciberseguridad y su aplicación</t>
  </si>
  <si>
    <t>Antiguos</t>
    <phoneticPr fontId="0" type="noConversion"/>
  </si>
  <si>
    <t>Nuevos</t>
    <phoneticPr fontId="0" type="noConversion"/>
  </si>
  <si>
    <t>Reingresos</t>
    <phoneticPr fontId="0" type="noConversion"/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</si>
  <si>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</si>
  <si>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</si>
  <si>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</si>
  <si>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</si>
  <si>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</si>
  <si>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</si>
  <si>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</si>
  <si>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</si>
  <si>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</si>
  <si>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</si>
  <si>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</si>
  <si>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</si>
  <si>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Matrículas </t>
  </si>
  <si>
    <t xml:space="preserve">Cuotas de enseñanza </t>
  </si>
  <si>
    <t>TOTAL</t>
  </si>
  <si>
    <t xml:space="preserve"> CÁLCULO CON 2do CICLO 2020</t>
  </si>
  <si>
    <t>CÁLCULO CON 1er CICLO 2020</t>
  </si>
  <si>
    <t xml:space="preserve">POR CICLO SEPARADOS </t>
  </si>
  <si>
    <t>CUOTAS</t>
  </si>
  <si>
    <t>MATRICULAS</t>
  </si>
  <si>
    <t>CUOTAS 01-2020</t>
  </si>
  <si>
    <t>MATRICULAS 01-2021</t>
  </si>
  <si>
    <t>CUOTAS 02-2020</t>
  </si>
  <si>
    <t>MATRICULAS 02-2021</t>
  </si>
  <si>
    <t xml:space="preserve"> PRESUPUESTOS SUELDOS ACADEMICOS Y HORAS CLASE 2015 </t>
  </si>
  <si>
    <t xml:space="preserve"> PRESUPUESTOS SUELDOS ACADEMICOS Y HORAS CLASE 2016</t>
  </si>
  <si>
    <t xml:space="preserve">SUELDOS ACADEMICOS Y ADMINISTRATIVOS </t>
  </si>
  <si>
    <t>Ejecutado 2015</t>
  </si>
  <si>
    <t>Proyectado 2015</t>
  </si>
  <si>
    <t>PCD Y PCA 2016</t>
  </si>
  <si>
    <t>ANUAL *  13</t>
  </si>
  <si>
    <t xml:space="preserve"> Proyectado 2016</t>
  </si>
  <si>
    <t>INGENIERIA Y  CC APLICADAS</t>
  </si>
  <si>
    <t xml:space="preserve"> INGENIERIA Y  CC APLICADAS</t>
  </si>
  <si>
    <t>Rectoria</t>
  </si>
  <si>
    <t>VR Academica</t>
  </si>
  <si>
    <t>VR Desarrollo Educativo</t>
  </si>
  <si>
    <t>Proyeccion Social</t>
  </si>
  <si>
    <t>DIN</t>
  </si>
  <si>
    <t>Tesoreria</t>
  </si>
  <si>
    <t>Direccion Apoyo Academico-Edutec</t>
  </si>
  <si>
    <t>VR Educacion Virtual</t>
  </si>
  <si>
    <t>Admon Academica</t>
  </si>
  <si>
    <t>Centro de Formacion Profesional</t>
  </si>
  <si>
    <t>Direccion de Cultura 2016 $ 7,075*13</t>
  </si>
  <si>
    <t>Direccion de Cultura</t>
  </si>
  <si>
    <t>Presidencia Junta Gral Universitaria</t>
  </si>
  <si>
    <t>VR Gestion Institucional</t>
  </si>
  <si>
    <t>Direccion de Comunicaciones</t>
  </si>
  <si>
    <t>Administración de Finanzas</t>
  </si>
  <si>
    <t>Direccion de Recursos Humanos</t>
  </si>
  <si>
    <t xml:space="preserve">Direccion de Planificacion </t>
  </si>
  <si>
    <t>OTRAS UNIDADES CENTROS DE COSTO</t>
  </si>
  <si>
    <t>Maestrias</t>
  </si>
  <si>
    <t>VR Investigaciones</t>
  </si>
  <si>
    <t>Decanato de Estudiantes</t>
  </si>
  <si>
    <t>Ciops</t>
  </si>
  <si>
    <t>Instituto de Graduados</t>
  </si>
  <si>
    <t>Unidad de Egresados</t>
  </si>
  <si>
    <t>Metrocentro</t>
  </si>
  <si>
    <t>Utec Guatemala</t>
  </si>
  <si>
    <t>TOTAL PCA + PCD</t>
  </si>
  <si>
    <t>Sueldos Administrativos</t>
  </si>
  <si>
    <t>Sueldos Academicos</t>
  </si>
  <si>
    <t>Otras unidades</t>
  </si>
  <si>
    <t>DTC</t>
  </si>
  <si>
    <t>MINISTERIO DE SALUD</t>
  </si>
  <si>
    <t>VRI FUNDEMAS Swisscontact GENESIS</t>
  </si>
  <si>
    <t xml:space="preserve">VRI FUNDEMAS </t>
  </si>
  <si>
    <t>Honorarios Agosto a Dic Ing Zepeda Proy Mined</t>
  </si>
  <si>
    <t>34 Lab. 12 Diseño e innovación Simon Bolivar 2ª planta Sin licencia $ 141 x 34 $ 4,794.00 a partir Agto</t>
  </si>
  <si>
    <t>65  Lab 14 Multimedia y animaciones Simon Bolivar 1ª planta $ 141.00 x 65  $ 9,165.00 a partir Agto</t>
  </si>
  <si>
    <t>1 PC Diseño Gráfico Lic. Araujo $ 140 a partir Agto</t>
  </si>
  <si>
    <t>SERVICIO LEASING LAPTOP 18</t>
  </si>
  <si>
    <t>FACULTAD DE INFORMATICA 40 CAÑONES</t>
  </si>
  <si>
    <t>1 PC HP Probook Contador Gral</t>
  </si>
  <si>
    <t>1 Vehículo asignado a la Ingra de Rodríguez</t>
  </si>
  <si>
    <t>1 Impresor VR Operaciones</t>
  </si>
  <si>
    <t>1 Mc Book PJGU</t>
  </si>
  <si>
    <t>Insumos Clinicos</t>
  </si>
  <si>
    <t>Impresón 3D</t>
  </si>
  <si>
    <t>Corte Grabado Laser</t>
  </si>
  <si>
    <t>Electronica</t>
  </si>
  <si>
    <t>Componentes electrocinos"compra de insumos sistema de riegos V3_electrónicos_montajes " FREUND</t>
  </si>
  <si>
    <t>Pozos plantas de emergencia total $ 13,165.00</t>
  </si>
  <si>
    <t xml:space="preserve">Refuerzo estructural Los Fundadores </t>
  </si>
  <si>
    <t>50% Instalación piso Centro de Datos DIN</t>
  </si>
  <si>
    <t>Remodelación casa 17 av norte ctgo MUA y Admón</t>
  </si>
  <si>
    <t>Brigadas de emergencia</t>
  </si>
  <si>
    <t>Insumos Simulacro terremoto</t>
  </si>
  <si>
    <t xml:space="preserve">Gastos médicos </t>
  </si>
  <si>
    <t>Para proyectos de investigación en 7 áreas del conocimiento. Deacuerdo al artículo 37, leteral "d" de la Ley de Educación Superior las universidades deben de realizar al menos un proyecto de investiagación por área del conocimiento</t>
  </si>
  <si>
    <t>Revista Koot</t>
  </si>
  <si>
    <t>Publicidad Radio- La Tribu</t>
  </si>
  <si>
    <t>Parqueo Calleja 12 $  10,100.81 a partir oct 10336.57</t>
  </si>
  <si>
    <t>Renta de Hotel</t>
  </si>
  <si>
    <t>Lavado de togas</t>
  </si>
  <si>
    <t>Viaticos al personal nuevo ingreso</t>
  </si>
  <si>
    <t>Arreglos Florales</t>
  </si>
  <si>
    <t>Invitaciones</t>
  </si>
  <si>
    <t>Matrícula en medios ( suma Mac Est TV)</t>
  </si>
  <si>
    <t>Mantenimiento de cámaras de seguridad</t>
  </si>
  <si>
    <t>Mejoras Auditorio Duarte</t>
  </si>
  <si>
    <t>Complemento 40% planos Claudia Lars</t>
  </si>
  <si>
    <t>2 Esmeriles</t>
  </si>
  <si>
    <t>Personal Recursos Humanos</t>
  </si>
  <si>
    <t>Sistema de prevensión Ley lavado de dinero</t>
  </si>
  <si>
    <t>Vicerrectoria Finanzas</t>
  </si>
  <si>
    <t>Asistente VC Presidencia</t>
  </si>
  <si>
    <t xml:space="preserve">Instalacion </t>
  </si>
  <si>
    <t>Fotocopias a partir de abril $ 1020 x 9</t>
  </si>
  <si>
    <t>Fotocopias administrativas $ 5,300 x12 Sept $ 5,900.00</t>
  </si>
  <si>
    <t>Getabstract  4 CUOTAS</t>
  </si>
  <si>
    <t>Libros  y Revistas</t>
  </si>
  <si>
    <t>FIHNEC</t>
  </si>
  <si>
    <t>Viaticos Canada Programa Energy Leader Dra Orantes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</si>
</sst>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#,##0.00;[Red]#,##0.00"/>
    <numFmt numFmtId="168" formatCode="_([$$-440A]* #,##0.00_);_([$$-440A]* \(#,##0.00\);_([$$-440A]* &quot;-&quot;??_);_(@_)"/>
    <numFmt numFmtId="169" formatCode="_-* #,##0.00\ &quot;€&quot;_-;\-* #,##0.00\ &quot;€&quot;_-;_-* &quot;-&quot;??\ &quot;€&quot;_-;_-@_-"/>
    <numFmt numFmtId="170" formatCode="_-[$$-440A]* #,##0.00_-;\-[$$-440A]* #,##0.00_-;_-[$$-440A]* &quot;-&quot;??_-;_-@_-"/>
    <numFmt numFmtId="171" formatCode="#,##0.00_ ;[Red]\-#,##0.00\ 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8"/>
      <name val="Garamond"/>
      <family val="1"/>
    </font>
    <font>
      <b/>
      <sz val="10"/>
      <color rgb="FF002060"/>
      <name val="Garamond"/>
      <family val="1"/>
    </font>
    <font>
      <b/>
      <sz val="12"/>
      <color rgb="FF002060"/>
      <name val="Garamond"/>
      <family val="1"/>
    </font>
    <font>
      <b/>
      <sz val="14"/>
      <color rgb="FF002060"/>
      <name val="Garamond"/>
      <family val="1"/>
    </font>
    <font>
      <b/>
      <sz val="10"/>
      <color rgb="FF6C0000"/>
      <name val="Garamond"/>
      <family val="1"/>
    </font>
    <font>
      <b/>
      <sz val="12"/>
      <color rgb="FF002060"/>
      <name val="Book Antiqua"/>
      <family val="1"/>
    </font>
    <font>
      <b/>
      <sz val="14"/>
      <color rgb="FF002060"/>
      <name val="Book Antiqua"/>
      <family val="1"/>
    </font>
    <font>
      <b/>
      <sz val="12"/>
      <color indexed="56"/>
      <name val="Garamond"/>
      <family val="1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1"/>
      <name val="Arial"/>
      <family val="2"/>
    </font>
    <font>
      <b/>
      <sz val="14"/>
      <color indexed="18"/>
      <name val="Arial"/>
      <family val="2"/>
    </font>
    <font>
      <sz val="11"/>
      <color rgb="FF002060"/>
      <name val="Calibri"/>
      <family val="2"/>
      <scheme val="minor"/>
    </font>
    <font>
      <sz val="10"/>
      <color theme="1"/>
      <name val="Book Antiqua"/>
      <family val="2"/>
    </font>
    <font>
      <b/>
      <sz val="11"/>
      <color rgb="FF002060"/>
      <name val="Garamond"/>
      <family val="1"/>
    </font>
    <font>
      <b/>
      <sz val="8"/>
      <color rgb="FF002060"/>
      <name val="Garamond"/>
      <family val="1"/>
    </font>
    <font>
      <b/>
      <sz val="9"/>
      <color rgb="FF002060"/>
      <name val="Garamond"/>
      <family val="1"/>
    </font>
    <font>
      <b/>
      <sz val="7"/>
      <color rgb="FF002060"/>
      <name val="Garamond"/>
      <family val="1"/>
    </font>
    <font>
      <b/>
      <sz val="8"/>
      <color rgb="FFFF0000"/>
      <name val="Garamond"/>
      <family val="1"/>
    </font>
    <font>
      <sz val="10"/>
      <color indexed="8"/>
      <name val="Arial"/>
      <family val="2"/>
    </font>
    <font>
      <b/>
      <sz val="28"/>
      <name val="Arial Black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8" tint="-0.499984740745262"/>
      <name val="Garamond"/>
      <family val="1"/>
    </font>
    <font>
      <b/>
      <sz val="12"/>
      <color rgb="FF7030A0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8"/>
      <color indexed="18"/>
      <name val="Garamond"/>
      <family val="1"/>
    </font>
    <font>
      <b/>
      <sz val="16"/>
      <color rgb="FF002060"/>
      <name val="Garamond"/>
      <family val="1"/>
    </font>
    <font>
      <sz val="9"/>
      <color rgb="FF002060"/>
      <name val="Garamond"/>
      <family val="1"/>
    </font>
    <font>
      <b/>
      <sz val="9"/>
      <color indexed="18"/>
      <name val="Garamond"/>
      <family val="1"/>
    </font>
    <font>
      <b/>
      <sz val="10"/>
      <color indexed="18"/>
      <name val="Garamond"/>
      <family val="1"/>
    </font>
    <font>
      <sz val="10"/>
      <color rgb="FF002060"/>
      <name val="Garamond"/>
      <family val="1"/>
    </font>
    <font>
      <sz val="16"/>
      <color rgb="FF002060"/>
      <name val="Garamond"/>
      <family val="1"/>
    </font>
    <font>
      <sz val="11"/>
      <color rgb="FF002060"/>
      <name val="Garamond"/>
      <family val="1"/>
    </font>
    <font>
      <b/>
      <sz val="8"/>
      <color rgb="FF002060"/>
      <name val="Book Antiqua"/>
      <family val="1"/>
    </font>
    <font>
      <b/>
      <sz val="8"/>
      <color rgb="FF000066"/>
      <name val="Garamond"/>
      <family val="1"/>
    </font>
    <font>
      <b/>
      <sz val="10"/>
      <color rgb="FF000066"/>
      <name val="Garamond"/>
      <family val="1"/>
    </font>
    <font>
      <b/>
      <sz val="9"/>
      <color rgb="FF000066"/>
      <name val="Garamond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1"/>
      <name val="Garamond"/>
      <family val="1"/>
    </font>
    <font>
      <b/>
      <sz val="8"/>
      <color theme="1"/>
      <name val="Calibri"/>
      <family val="2"/>
      <scheme val="minor"/>
    </font>
    <font>
      <b/>
      <sz val="9"/>
      <color theme="1"/>
      <name val="Garamond"/>
      <family val="1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name val="Garamond"/>
      <family val="1"/>
    </font>
    <font>
      <b/>
      <sz val="8"/>
      <color rgb="FF002060"/>
      <name val="Georgia"/>
      <family val="1"/>
    </font>
    <font>
      <b/>
      <sz val="8"/>
      <color rgb="FF00B0F0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89CC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FFF66"/>
        <bgColor indexed="64"/>
      </patternFill>
    </fill>
    <fill>
      <patternFill patternType="solid">
        <fgColor rgb="FFB5F8FD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/>
    <xf numFmtId="0" fontId="2" fillId="0" borderId="0"/>
    <xf numFmtId="0" fontId="1" fillId="0" borderId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2" fillId="0" borderId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52" fillId="0" borderId="0"/>
  </cellStyleXfs>
  <cellXfs count="398">
    <xf numFmtId="0" fontId="0" fillId="0" borderId="0" xfId="0"/>
    <xf numFmtId="0" fontId="4" fillId="4" borderId="6" xfId="2" applyFont="1" applyFill="1" applyBorder="1"/>
    <xf numFmtId="166" fontId="4" fillId="4" borderId="6" xfId="2" applyNumberFormat="1" applyFont="1" applyFill="1" applyBorder="1"/>
    <xf numFmtId="0" fontId="4" fillId="0" borderId="0" xfId="2" applyFont="1"/>
    <xf numFmtId="0" fontId="6" fillId="0" borderId="0" xfId="2" applyFont="1" applyAlignment="1">
      <alignment horizontal="right"/>
    </xf>
    <xf numFmtId="166" fontId="7" fillId="4" borderId="6" xfId="2" applyNumberFormat="1" applyFont="1" applyFill="1" applyBorder="1"/>
    <xf numFmtId="10" fontId="4" fillId="4" borderId="6" xfId="2" applyNumberFormat="1" applyFont="1" applyFill="1" applyBorder="1"/>
    <xf numFmtId="0" fontId="13" fillId="0" borderId="0" xfId="0" applyFont="1"/>
    <xf numFmtId="166" fontId="0" fillId="0" borderId="0" xfId="0" applyNumberFormat="1"/>
    <xf numFmtId="166" fontId="15" fillId="0" borderId="0" xfId="0" applyNumberFormat="1" applyFont="1"/>
    <xf numFmtId="0" fontId="15" fillId="0" borderId="7" xfId="0" applyFont="1" applyBorder="1"/>
    <xf numFmtId="166" fontId="15" fillId="0" borderId="8" xfId="0" applyNumberFormat="1" applyFont="1" applyBorder="1"/>
    <xf numFmtId="0" fontId="15" fillId="0" borderId="8" xfId="0" applyFont="1" applyBorder="1"/>
    <xf numFmtId="166" fontId="15" fillId="0" borderId="11" xfId="0" applyNumberFormat="1" applyFont="1" applyBorder="1"/>
    <xf numFmtId="0" fontId="15" fillId="0" borderId="12" xfId="0" applyFont="1" applyBorder="1"/>
    <xf numFmtId="0" fontId="15" fillId="0" borderId="0" xfId="0" applyFont="1"/>
    <xf numFmtId="166" fontId="15" fillId="0" borderId="13" xfId="0" applyNumberFormat="1" applyFont="1" applyBorder="1"/>
    <xf numFmtId="0" fontId="15" fillId="0" borderId="10" xfId="0" applyFont="1" applyBorder="1"/>
    <xf numFmtId="166" fontId="15" fillId="0" borderId="9" xfId="0" applyNumberFormat="1" applyFont="1" applyBorder="1"/>
    <xf numFmtId="0" fontId="15" fillId="0" borderId="9" xfId="0" applyFont="1" applyBorder="1"/>
    <xf numFmtId="0" fontId="15" fillId="0" borderId="14" xfId="0" applyFont="1" applyBorder="1"/>
    <xf numFmtId="166" fontId="15" fillId="9" borderId="0" xfId="0" applyNumberFormat="1" applyFont="1" applyFill="1"/>
    <xf numFmtId="0" fontId="19" fillId="0" borderId="4" xfId="1" applyFont="1" applyBorder="1" applyAlignment="1">
      <alignment horizontal="center" vertical="center" wrapText="1"/>
    </xf>
    <xf numFmtId="166" fontId="18" fillId="5" borderId="6" xfId="2" applyNumberFormat="1" applyFont="1" applyFill="1" applyBorder="1"/>
    <xf numFmtId="166" fontId="19" fillId="0" borderId="3" xfId="1" applyNumberFormat="1" applyFont="1" applyBorder="1"/>
    <xf numFmtId="0" fontId="0" fillId="0" borderId="15" xfId="0" applyBorder="1"/>
    <xf numFmtId="0" fontId="0" fillId="0" borderId="18" xfId="0" applyBorder="1"/>
    <xf numFmtId="0" fontId="24" fillId="0" borderId="0" xfId="0" applyFont="1"/>
    <xf numFmtId="0" fontId="24" fillId="0" borderId="15" xfId="0" applyFont="1" applyBorder="1"/>
    <xf numFmtId="3" fontId="24" fillId="0" borderId="0" xfId="0" applyNumberFormat="1" applyFont="1"/>
    <xf numFmtId="3" fontId="25" fillId="0" borderId="0" xfId="0" applyNumberFormat="1" applyFont="1"/>
    <xf numFmtId="4" fontId="24" fillId="15" borderId="8" xfId="0" applyNumberFormat="1" applyFont="1" applyFill="1" applyBorder="1" applyAlignment="1">
      <alignment horizontal="center"/>
    </xf>
    <xf numFmtId="0" fontId="24" fillId="15" borderId="10" xfId="0" applyFont="1" applyFill="1" applyBorder="1" applyAlignment="1">
      <alignment horizontal="center"/>
    </xf>
    <xf numFmtId="9" fontId="2" fillId="15" borderId="9" xfId="0" applyNumberFormat="1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9" fontId="24" fillId="0" borderId="0" xfId="0" applyNumberFormat="1" applyFont="1" applyAlignment="1">
      <alignment horizontal="center"/>
    </xf>
    <xf numFmtId="0" fontId="26" fillId="15" borderId="21" xfId="0" applyFont="1" applyFill="1" applyBorder="1" applyAlignment="1">
      <alignment horizontal="center" vertical="center"/>
    </xf>
    <xf numFmtId="0" fontId="26" fillId="15" borderId="22" xfId="0" applyFont="1" applyFill="1" applyBorder="1" applyAlignment="1">
      <alignment horizontal="center" vertical="center"/>
    </xf>
    <xf numFmtId="0" fontId="26" fillId="15" borderId="23" xfId="0" applyFont="1" applyFill="1" applyBorder="1" applyAlignment="1">
      <alignment horizontal="center" vertical="center"/>
    </xf>
    <xf numFmtId="0" fontId="0" fillId="0" borderId="24" xfId="0" applyBorder="1"/>
    <xf numFmtId="164" fontId="24" fillId="0" borderId="24" xfId="0" applyNumberFormat="1" applyFont="1" applyBorder="1" applyProtection="1">
      <protection locked="0"/>
    </xf>
    <xf numFmtId="164" fontId="24" fillId="0" borderId="25" xfId="0" applyNumberFormat="1" applyFont="1" applyBorder="1" applyProtection="1">
      <protection locked="0"/>
    </xf>
    <xf numFmtId="170" fontId="0" fillId="0" borderId="0" xfId="0" applyNumberFormat="1"/>
    <xf numFmtId="167" fontId="19" fillId="2" borderId="4" xfId="1" applyNumberFormat="1" applyFont="1" applyFill="1" applyBorder="1"/>
    <xf numFmtId="40" fontId="19" fillId="2" borderId="4" xfId="1" applyNumberFormat="1" applyFont="1" applyFill="1" applyBorder="1"/>
    <xf numFmtId="167" fontId="19" fillId="2" borderId="5" xfId="1" applyNumberFormat="1" applyFont="1" applyFill="1" applyBorder="1"/>
    <xf numFmtId="167" fontId="19" fillId="0" borderId="4" xfId="1" applyNumberFormat="1" applyFont="1" applyBorder="1"/>
    <xf numFmtId="0" fontId="4" fillId="2" borderId="0" xfId="2" applyFont="1" applyFill="1"/>
    <xf numFmtId="0" fontId="5" fillId="2" borderId="0" xfId="2" applyFont="1" applyFill="1"/>
    <xf numFmtId="0" fontId="19" fillId="4" borderId="6" xfId="2" applyFont="1" applyFill="1" applyBorder="1"/>
    <xf numFmtId="0" fontId="17" fillId="2" borderId="0" xfId="2" applyFont="1" applyFill="1"/>
    <xf numFmtId="0" fontId="18" fillId="2" borderId="0" xfId="2" applyFont="1" applyFill="1"/>
    <xf numFmtId="0" fontId="18" fillId="0" borderId="0" xfId="2" applyFont="1" applyAlignment="1">
      <alignment horizontal="right"/>
    </xf>
    <xf numFmtId="0" fontId="18" fillId="2" borderId="0" xfId="2" applyFont="1" applyFill="1" applyAlignment="1">
      <alignment horizontal="right"/>
    </xf>
    <xf numFmtId="0" fontId="27" fillId="2" borderId="0" xfId="2" applyFont="1" applyFill="1"/>
    <xf numFmtId="0" fontId="28" fillId="13" borderId="3" xfId="2" applyFont="1" applyFill="1" applyBorder="1"/>
    <xf numFmtId="0" fontId="18" fillId="3" borderId="6" xfId="1" applyFont="1" applyFill="1" applyBorder="1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3" xfId="1" applyFont="1" applyBorder="1" applyAlignment="1">
      <alignment horizontal="center"/>
    </xf>
    <xf numFmtId="0" fontId="33" fillId="0" borderId="4" xfId="1" applyFont="1" applyBorder="1" applyAlignment="1">
      <alignment horizontal="center" vertical="center" wrapText="1"/>
    </xf>
    <xf numFmtId="0" fontId="34" fillId="2" borderId="4" xfId="1" applyFont="1" applyFill="1" applyBorder="1"/>
    <xf numFmtId="0" fontId="34" fillId="2" borderId="0" xfId="1" applyFont="1" applyFill="1"/>
    <xf numFmtId="0" fontId="3" fillId="0" borderId="4" xfId="1" applyFont="1" applyBorder="1" applyAlignment="1">
      <alignment horizontal="center"/>
    </xf>
    <xf numFmtId="0" fontId="35" fillId="2" borderId="0" xfId="1" applyFont="1" applyFill="1"/>
    <xf numFmtId="0" fontId="34" fillId="2" borderId="5" xfId="1" applyFont="1" applyFill="1" applyBorder="1"/>
    <xf numFmtId="0" fontId="35" fillId="0" borderId="0" xfId="1" applyFont="1"/>
    <xf numFmtId="0" fontId="35" fillId="0" borderId="3" xfId="1" applyFont="1" applyBorder="1" applyAlignment="1">
      <alignment horizontal="center"/>
    </xf>
    <xf numFmtId="0" fontId="36" fillId="0" borderId="0" xfId="2" applyFont="1"/>
    <xf numFmtId="0" fontId="36" fillId="2" borderId="0" xfId="2" applyFont="1" applyFill="1"/>
    <xf numFmtId="0" fontId="37" fillId="2" borderId="0" xfId="2" applyFont="1" applyFill="1"/>
    <xf numFmtId="0" fontId="38" fillId="0" borderId="0" xfId="0" applyFont="1" applyAlignment="1">
      <alignment vertical="center"/>
    </xf>
    <xf numFmtId="0" fontId="27" fillId="3" borderId="6" xfId="1" applyFont="1" applyFill="1" applyBorder="1" applyAlignment="1">
      <alignment vertical="center" wrapText="1"/>
    </xf>
    <xf numFmtId="164" fontId="0" fillId="0" borderId="0" xfId="0" applyNumberFormat="1"/>
    <xf numFmtId="0" fontId="17" fillId="2" borderId="15" xfId="0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0" fillId="0" borderId="16" xfId="0" applyBorder="1"/>
    <xf numFmtId="0" fontId="4" fillId="0" borderId="0" xfId="2" applyFont="1" applyAlignment="1">
      <alignment horizontal="right" vertical="center"/>
    </xf>
    <xf numFmtId="0" fontId="0" fillId="0" borderId="0" xfId="0" applyAlignment="1">
      <alignment vertical="center"/>
    </xf>
    <xf numFmtId="0" fontId="43" fillId="0" borderId="0" xfId="0" applyFont="1" applyAlignment="1">
      <alignment vertical="center"/>
    </xf>
    <xf numFmtId="1" fontId="45" fillId="15" borderId="7" xfId="0" applyNumberFormat="1" applyFont="1" applyFill="1" applyBorder="1" applyAlignment="1">
      <alignment horizontal="center"/>
    </xf>
    <xf numFmtId="4" fontId="46" fillId="15" borderId="8" xfId="0" applyNumberFormat="1" applyFont="1" applyFill="1" applyBorder="1" applyAlignment="1">
      <alignment horizontal="center"/>
    </xf>
    <xf numFmtId="168" fontId="44" fillId="0" borderId="24" xfId="0" applyNumberFormat="1" applyFont="1" applyBorder="1" applyProtection="1">
      <protection locked="0"/>
    </xf>
    <xf numFmtId="0" fontId="47" fillId="14" borderId="0" xfId="2" applyFont="1" applyFill="1"/>
    <xf numFmtId="0" fontId="35" fillId="0" borderId="0" xfId="1" applyFont="1" applyAlignment="1">
      <alignment horizontal="center"/>
    </xf>
    <xf numFmtId="166" fontId="19" fillId="0" borderId="0" xfId="1" applyNumberFormat="1" applyFont="1"/>
    <xf numFmtId="166" fontId="18" fillId="0" borderId="0" xfId="1" applyNumberFormat="1" applyFont="1"/>
    <xf numFmtId="10" fontId="18" fillId="0" borderId="0" xfId="1" applyNumberFormat="1" applyFont="1"/>
    <xf numFmtId="167" fontId="0" fillId="0" borderId="0" xfId="0" applyNumberFormat="1"/>
    <xf numFmtId="0" fontId="19" fillId="0" borderId="3" xfId="1" applyFont="1" applyBorder="1" applyAlignment="1">
      <alignment horizontal="center" wrapText="1"/>
    </xf>
    <xf numFmtId="167" fontId="19" fillId="2" borderId="0" xfId="1" applyNumberFormat="1" applyFont="1" applyFill="1"/>
    <xf numFmtId="0" fontId="18" fillId="0" borderId="0" xfId="1" applyFont="1" applyAlignment="1">
      <alignment horizontal="center" wrapText="1"/>
    </xf>
    <xf numFmtId="167" fontId="19" fillId="2" borderId="18" xfId="1" applyNumberFormat="1" applyFont="1" applyFill="1" applyBorder="1"/>
    <xf numFmtId="3" fontId="20" fillId="0" borderId="15" xfId="1" applyNumberFormat="1" applyFont="1" applyBorder="1" applyAlignment="1">
      <alignment horizontal="right" wrapText="1"/>
    </xf>
    <xf numFmtId="3" fontId="20" fillId="0" borderId="20" xfId="1" applyNumberFormat="1" applyFont="1" applyBorder="1" applyAlignment="1">
      <alignment horizontal="right" wrapText="1"/>
    </xf>
    <xf numFmtId="167" fontId="19" fillId="9" borderId="17" xfId="1" applyNumberFormat="1" applyFont="1" applyFill="1" applyBorder="1"/>
    <xf numFmtId="167" fontId="49" fillId="0" borderId="0" xfId="0" applyNumberFormat="1" applyFont="1"/>
    <xf numFmtId="0" fontId="49" fillId="0" borderId="0" xfId="0" applyFont="1"/>
    <xf numFmtId="3" fontId="4" fillId="0" borderId="15" xfId="1" applyNumberFormat="1" applyFont="1" applyBorder="1" applyAlignment="1">
      <alignment horizontal="right" wrapText="1"/>
    </xf>
    <xf numFmtId="3" fontId="4" fillId="0" borderId="20" xfId="1" applyNumberFormat="1" applyFont="1" applyBorder="1" applyAlignment="1">
      <alignment horizontal="right" wrapText="1"/>
    </xf>
    <xf numFmtId="3" fontId="0" fillId="0" borderId="0" xfId="0" applyNumberFormat="1"/>
    <xf numFmtId="167" fontId="19" fillId="9" borderId="18" xfId="1" applyNumberFormat="1" applyFont="1" applyFill="1" applyBorder="1"/>
    <xf numFmtId="167" fontId="19" fillId="9" borderId="3" xfId="1" applyNumberFormat="1" applyFont="1" applyFill="1" applyBorder="1"/>
    <xf numFmtId="44" fontId="18" fillId="7" borderId="6" xfId="12" applyNumberFormat="1" applyFont="1" applyFill="1" applyBorder="1" applyAlignment="1">
      <alignment horizontal="center"/>
    </xf>
    <xf numFmtId="4" fontId="0" fillId="0" borderId="0" xfId="0" applyNumberFormat="1"/>
    <xf numFmtId="0" fontId="32" fillId="0" borderId="3" xfId="1" applyFont="1" applyBorder="1" applyAlignment="1">
      <alignment horizontal="center" wrapText="1"/>
    </xf>
    <xf numFmtId="10" fontId="19" fillId="0" borderId="3" xfId="1" applyNumberFormat="1" applyFont="1" applyBorder="1"/>
    <xf numFmtId="10" fontId="33" fillId="2" borderId="4" xfId="1" applyNumberFormat="1" applyFont="1" applyFill="1" applyBorder="1"/>
    <xf numFmtId="10" fontId="0" fillId="0" borderId="0" xfId="0" applyNumberFormat="1"/>
    <xf numFmtId="0" fontId="47" fillId="0" borderId="0" xfId="2" applyFont="1"/>
    <xf numFmtId="0" fontId="18" fillId="0" borderId="0" xfId="2" applyFont="1"/>
    <xf numFmtId="0" fontId="5" fillId="0" borderId="0" xfId="2" applyFont="1"/>
    <xf numFmtId="0" fontId="17" fillId="0" borderId="0" xfId="2" applyFont="1"/>
    <xf numFmtId="0" fontId="18" fillId="21" borderId="6" xfId="2" applyFont="1" applyFill="1" applyBorder="1" applyAlignment="1">
      <alignment horizontal="justify" wrapText="1"/>
    </xf>
    <xf numFmtId="171" fontId="19" fillId="2" borderId="4" xfId="1" applyNumberFormat="1" applyFont="1" applyFill="1" applyBorder="1"/>
    <xf numFmtId="164" fontId="25" fillId="0" borderId="6" xfId="0" applyNumberFormat="1" applyFont="1" applyBorder="1" applyAlignment="1" applyProtection="1">
      <alignment horizontal="right"/>
      <protection locked="0"/>
    </xf>
    <xf numFmtId="0" fontId="26" fillId="9" borderId="3" xfId="0" applyFont="1" applyFill="1" applyBorder="1" applyAlignment="1">
      <alignment horizontal="center" vertical="center" wrapText="1"/>
    </xf>
    <xf numFmtId="4" fontId="18" fillId="22" borderId="26" xfId="18" applyNumberFormat="1" applyFont="1" applyFill="1" applyBorder="1"/>
    <xf numFmtId="164" fontId="26" fillId="0" borderId="6" xfId="0" applyNumberFormat="1" applyFont="1" applyBorder="1" applyAlignment="1" applyProtection="1">
      <alignment horizontal="right"/>
      <protection locked="0"/>
    </xf>
    <xf numFmtId="4" fontId="18" fillId="0" borderId="26" xfId="18" applyNumberFormat="1" applyFont="1" applyBorder="1"/>
    <xf numFmtId="0" fontId="18" fillId="12" borderId="6" xfId="2" applyFont="1" applyFill="1" applyBorder="1" applyAlignment="1">
      <alignment horizontal="left"/>
    </xf>
    <xf numFmtId="0" fontId="27" fillId="23" borderId="6" xfId="1" applyFont="1" applyFill="1" applyBorder="1" applyAlignment="1">
      <alignment vertical="center" wrapText="1"/>
    </xf>
    <xf numFmtId="4" fontId="18" fillId="23" borderId="6" xfId="2" applyNumberFormat="1" applyFont="1" applyFill="1" applyBorder="1"/>
    <xf numFmtId="4" fontId="18" fillId="0" borderId="16" xfId="2" applyNumberFormat="1" applyFont="1" applyBorder="1"/>
    <xf numFmtId="171" fontId="19" fillId="2" borderId="5" xfId="1" applyNumberFormat="1" applyFont="1" applyFill="1" applyBorder="1"/>
    <xf numFmtId="0" fontId="19" fillId="0" borderId="16" xfId="1" applyFont="1" applyBorder="1" applyAlignment="1">
      <alignment horizontal="justify" wrapText="1"/>
    </xf>
    <xf numFmtId="0" fontId="18" fillId="13" borderId="6" xfId="2" applyFont="1" applyFill="1" applyBorder="1"/>
    <xf numFmtId="0" fontId="4" fillId="4" borderId="6" xfId="2" applyFont="1" applyFill="1" applyBorder="1" applyAlignment="1">
      <alignment horizontal="right" vertical="center"/>
    </xf>
    <xf numFmtId="0" fontId="19" fillId="4" borderId="6" xfId="2" applyFont="1" applyFill="1" applyBorder="1" applyAlignment="1">
      <alignment horizontal="right" vertical="center"/>
    </xf>
    <xf numFmtId="0" fontId="18" fillId="0" borderId="6" xfId="2" applyFont="1" applyBorder="1" applyAlignment="1">
      <alignment horizontal="right" vertical="center" wrapText="1"/>
    </xf>
    <xf numFmtId="0" fontId="18" fillId="0" borderId="6" xfId="2" applyFont="1" applyBorder="1" applyAlignment="1">
      <alignment horizontal="right" vertical="center"/>
    </xf>
    <xf numFmtId="0" fontId="27" fillId="3" borderId="6" xfId="1" applyFont="1" applyFill="1" applyBorder="1" applyAlignment="1">
      <alignment horizontal="right" vertical="center" wrapText="1"/>
    </xf>
    <xf numFmtId="0" fontId="27" fillId="23" borderId="6" xfId="1" applyFont="1" applyFill="1" applyBorder="1" applyAlignment="1">
      <alignment horizontal="right" vertical="center" wrapText="1"/>
    </xf>
    <xf numFmtId="0" fontId="18" fillId="13" borderId="6" xfId="2" applyFont="1" applyFill="1" applyBorder="1" applyAlignment="1">
      <alignment horizontal="right" vertical="center"/>
    </xf>
    <xf numFmtId="0" fontId="18" fillId="3" borderId="6" xfId="1" applyFont="1" applyFill="1" applyBorder="1" applyAlignment="1">
      <alignment horizontal="right" vertical="center" wrapText="1"/>
    </xf>
    <xf numFmtId="0" fontId="18" fillId="21" borderId="6" xfId="2" applyFont="1" applyFill="1" applyBorder="1" applyAlignment="1">
      <alignment horizontal="right" vertical="center" wrapText="1"/>
    </xf>
    <xf numFmtId="0" fontId="19" fillId="5" borderId="27" xfId="2" applyFont="1" applyFill="1" applyBorder="1" applyAlignment="1">
      <alignment horizontal="right" vertical="center"/>
    </xf>
    <xf numFmtId="0" fontId="19" fillId="6" borderId="27" xfId="2" applyFont="1" applyFill="1" applyBorder="1" applyAlignment="1">
      <alignment horizontal="right" vertical="center"/>
    </xf>
    <xf numFmtId="0" fontId="18" fillId="0" borderId="27" xfId="2" applyFont="1" applyBorder="1" applyAlignment="1">
      <alignment horizontal="right" vertical="center" wrapText="1"/>
    </xf>
    <xf numFmtId="0" fontId="19" fillId="0" borderId="27" xfId="2" applyFont="1" applyBorder="1" applyAlignment="1">
      <alignment horizontal="right" vertical="center" wrapText="1"/>
    </xf>
    <xf numFmtId="0" fontId="19" fillId="4" borderId="27" xfId="2" applyFont="1" applyFill="1" applyBorder="1" applyAlignment="1">
      <alignment horizontal="right" vertical="center"/>
    </xf>
    <xf numFmtId="0" fontId="19" fillId="6" borderId="27" xfId="9" applyFont="1" applyFill="1" applyBorder="1" applyAlignment="1">
      <alignment horizontal="right" vertical="center"/>
    </xf>
    <xf numFmtId="0" fontId="4" fillId="13" borderId="27" xfId="2" applyFont="1" applyFill="1" applyBorder="1" applyAlignment="1">
      <alignment horizontal="right" vertical="center"/>
    </xf>
    <xf numFmtId="164" fontId="19" fillId="7" borderId="27" xfId="2" applyNumberFormat="1" applyFont="1" applyFill="1" applyBorder="1" applyAlignment="1">
      <alignment horizontal="right" vertical="center"/>
    </xf>
    <xf numFmtId="164" fontId="19" fillId="10" borderId="27" xfId="2" applyNumberFormat="1" applyFont="1" applyFill="1" applyBorder="1" applyAlignment="1">
      <alignment horizontal="right" vertical="center"/>
    </xf>
    <xf numFmtId="0" fontId="21" fillId="0" borderId="27" xfId="2" applyFont="1" applyBorder="1" applyAlignment="1">
      <alignment horizontal="right" vertical="center" wrapText="1"/>
    </xf>
    <xf numFmtId="164" fontId="18" fillId="7" borderId="27" xfId="2" applyNumberFormat="1" applyFont="1" applyFill="1" applyBorder="1" applyAlignment="1">
      <alignment horizontal="right" vertical="center"/>
    </xf>
    <xf numFmtId="0" fontId="19" fillId="6" borderId="27" xfId="2" applyFont="1" applyFill="1" applyBorder="1" applyAlignment="1">
      <alignment horizontal="right" vertical="center" wrapText="1"/>
    </xf>
    <xf numFmtId="0" fontId="18" fillId="6" borderId="27" xfId="2" applyFont="1" applyFill="1" applyBorder="1" applyAlignment="1">
      <alignment horizontal="right" vertical="center"/>
    </xf>
    <xf numFmtId="0" fontId="19" fillId="7" borderId="27" xfId="2" applyFont="1" applyFill="1" applyBorder="1" applyAlignment="1">
      <alignment horizontal="right" vertical="center"/>
    </xf>
    <xf numFmtId="0" fontId="18" fillId="7" borderId="27" xfId="2" applyFont="1" applyFill="1" applyBorder="1" applyAlignment="1">
      <alignment horizontal="right" vertical="center"/>
    </xf>
    <xf numFmtId="0" fontId="27" fillId="3" borderId="27" xfId="1" applyFont="1" applyFill="1" applyBorder="1" applyAlignment="1">
      <alignment horizontal="right" vertical="center" wrapText="1"/>
    </xf>
    <xf numFmtId="0" fontId="18" fillId="12" borderId="27" xfId="2" applyFont="1" applyFill="1" applyBorder="1" applyAlignment="1">
      <alignment horizontal="right" vertical="center" wrapText="1"/>
    </xf>
    <xf numFmtId="0" fontId="18" fillId="3" borderId="27" xfId="1" applyFont="1" applyFill="1" applyBorder="1" applyAlignment="1">
      <alignment horizontal="right" vertical="center" wrapText="1"/>
    </xf>
    <xf numFmtId="0" fontId="18" fillId="5" borderId="27" xfId="2" applyFont="1" applyFill="1" applyBorder="1" applyAlignment="1">
      <alignment horizontal="right" vertical="center"/>
    </xf>
    <xf numFmtId="0" fontId="18" fillId="18" borderId="27" xfId="2" applyFont="1" applyFill="1" applyBorder="1" applyAlignment="1">
      <alignment horizontal="right" vertical="center"/>
    </xf>
    <xf numFmtId="0" fontId="18" fillId="0" borderId="27" xfId="2" applyFont="1" applyBorder="1" applyAlignment="1">
      <alignment horizontal="right" vertical="center"/>
    </xf>
    <xf numFmtId="0" fontId="18" fillId="6" borderId="27" xfId="2" applyFont="1" applyFill="1" applyBorder="1" applyAlignment="1">
      <alignment horizontal="right" vertical="center" wrapText="1"/>
    </xf>
    <xf numFmtId="0" fontId="19" fillId="7" borderId="27" xfId="6" applyFont="1" applyFill="1" applyBorder="1" applyAlignment="1">
      <alignment horizontal="right" vertical="center"/>
    </xf>
    <xf numFmtId="0" fontId="18" fillId="3" borderId="27" xfId="1" applyFont="1" applyFill="1" applyBorder="1" applyAlignment="1">
      <alignment horizontal="right" vertical="center"/>
    </xf>
    <xf numFmtId="0" fontId="18" fillId="7" borderId="27" xfId="6" applyFont="1" applyFill="1" applyBorder="1" applyAlignment="1">
      <alignment horizontal="right" vertical="center"/>
    </xf>
    <xf numFmtId="0" fontId="18" fillId="18" borderId="27" xfId="1" applyFont="1" applyFill="1" applyBorder="1" applyAlignment="1">
      <alignment horizontal="right" vertical="center" wrapText="1"/>
    </xf>
    <xf numFmtId="0" fontId="18" fillId="14" borderId="27" xfId="1" applyFont="1" applyFill="1" applyBorder="1" applyAlignment="1">
      <alignment horizontal="right" vertical="center" wrapText="1"/>
    </xf>
    <xf numFmtId="0" fontId="18" fillId="7" borderId="27" xfId="1" applyFont="1" applyFill="1" applyBorder="1" applyAlignment="1">
      <alignment horizontal="right" vertical="center" wrapText="1"/>
    </xf>
    <xf numFmtId="0" fontId="18" fillId="6" borderId="27" xfId="1" applyFont="1" applyFill="1" applyBorder="1" applyAlignment="1">
      <alignment horizontal="right" vertical="center" wrapText="1"/>
    </xf>
    <xf numFmtId="0" fontId="18" fillId="0" borderId="27" xfId="1" applyFont="1" applyBorder="1" applyAlignment="1">
      <alignment horizontal="right" vertical="center" wrapText="1"/>
    </xf>
    <xf numFmtId="166" fontId="19" fillId="5" borderId="27" xfId="2" applyNumberFormat="1" applyFont="1" applyFill="1" applyBorder="1" applyAlignment="1">
      <alignment horizontal="right" vertical="center"/>
    </xf>
    <xf numFmtId="0" fontId="18" fillId="7" borderId="27" xfId="1" applyFont="1" applyFill="1" applyBorder="1" applyAlignment="1">
      <alignment horizontal="right" vertical="center"/>
    </xf>
    <xf numFmtId="0" fontId="18" fillId="11" borderId="27" xfId="1" applyFont="1" applyFill="1" applyBorder="1" applyAlignment="1">
      <alignment horizontal="right" vertical="center"/>
    </xf>
    <xf numFmtId="0" fontId="18" fillId="6" borderId="27" xfId="1" applyFont="1" applyFill="1" applyBorder="1" applyAlignment="1">
      <alignment horizontal="right" vertical="center"/>
    </xf>
    <xf numFmtId="166" fontId="18" fillId="5" borderId="27" xfId="2" applyNumberFormat="1" applyFont="1" applyFill="1" applyBorder="1" applyAlignment="1">
      <alignment horizontal="right" vertical="center"/>
    </xf>
    <xf numFmtId="0" fontId="18" fillId="6" borderId="29" xfId="1" applyFont="1" applyFill="1" applyBorder="1" applyAlignment="1">
      <alignment horizontal="right" vertical="center"/>
    </xf>
    <xf numFmtId="0" fontId="18" fillId="16" borderId="27" xfId="1" applyFont="1" applyFill="1" applyBorder="1" applyAlignment="1">
      <alignment horizontal="right" vertical="center" wrapText="1"/>
    </xf>
    <xf numFmtId="0" fontId="18" fillId="17" borderId="27" xfId="1" applyFont="1" applyFill="1" applyBorder="1" applyAlignment="1">
      <alignment horizontal="right" vertical="center" wrapText="1"/>
    </xf>
    <xf numFmtId="0" fontId="18" fillId="0" borderId="27" xfId="0" applyFont="1" applyBorder="1" applyAlignment="1">
      <alignment horizontal="right" vertical="center" wrapText="1"/>
    </xf>
    <xf numFmtId="0" fontId="18" fillId="8" borderId="27" xfId="1" applyFont="1" applyFill="1" applyBorder="1" applyAlignment="1">
      <alignment horizontal="right" vertical="center" wrapText="1"/>
    </xf>
    <xf numFmtId="0" fontId="18" fillId="10" borderId="27" xfId="1" applyFont="1" applyFill="1" applyBorder="1" applyAlignment="1">
      <alignment horizontal="right" vertical="center" wrapText="1"/>
    </xf>
    <xf numFmtId="166" fontId="18" fillId="8" borderId="27" xfId="2" applyNumberFormat="1" applyFont="1" applyFill="1" applyBorder="1" applyAlignment="1">
      <alignment horizontal="right" vertical="center"/>
    </xf>
    <xf numFmtId="0" fontId="18" fillId="8" borderId="27" xfId="2" applyFont="1" applyFill="1" applyBorder="1" applyAlignment="1">
      <alignment horizontal="right" vertical="center" wrapText="1"/>
    </xf>
    <xf numFmtId="166" fontId="18" fillId="5" borderId="27" xfId="2" applyNumberFormat="1" applyFont="1" applyFill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center"/>
    </xf>
    <xf numFmtId="0" fontId="31" fillId="0" borderId="5" xfId="1" applyFont="1" applyBorder="1" applyAlignment="1">
      <alignment horizontal="center"/>
    </xf>
    <xf numFmtId="0" fontId="19" fillId="0" borderId="5" xfId="1" applyFont="1" applyBorder="1" applyAlignment="1">
      <alignment horizontal="center" wrapText="1"/>
    </xf>
    <xf numFmtId="0" fontId="18" fillId="3" borderId="30" xfId="1" applyFont="1" applyFill="1" applyBorder="1" applyAlignment="1">
      <alignment horizontal="right" vertical="center" wrapText="1"/>
    </xf>
    <xf numFmtId="166" fontId="19" fillId="4" borderId="27" xfId="2" applyNumberFormat="1" applyFont="1" applyFill="1" applyBorder="1"/>
    <xf numFmtId="0" fontId="19" fillId="5" borderId="27" xfId="2" applyFont="1" applyFill="1" applyBorder="1"/>
    <xf numFmtId="168" fontId="18" fillId="5" borderId="27" xfId="2" applyNumberFormat="1" applyFont="1" applyFill="1" applyBorder="1"/>
    <xf numFmtId="0" fontId="19" fillId="6" borderId="27" xfId="2" applyFont="1" applyFill="1" applyBorder="1"/>
    <xf numFmtId="168" fontId="18" fillId="6" borderId="27" xfId="2" applyNumberFormat="1" applyFont="1" applyFill="1" applyBorder="1"/>
    <xf numFmtId="4" fontId="18" fillId="0" borderId="27" xfId="2" applyNumberFormat="1" applyFont="1" applyBorder="1"/>
    <xf numFmtId="0" fontId="19" fillId="0" borderId="27" xfId="2" applyFont="1" applyBorder="1" applyAlignment="1">
      <alignment horizontal="justify" wrapText="1"/>
    </xf>
    <xf numFmtId="0" fontId="19" fillId="4" borderId="27" xfId="2" applyFont="1" applyFill="1" applyBorder="1"/>
    <xf numFmtId="168" fontId="19" fillId="5" borderId="27" xfId="2" applyNumberFormat="1" applyFont="1" applyFill="1" applyBorder="1"/>
    <xf numFmtId="168" fontId="19" fillId="6" borderId="27" xfId="2" applyNumberFormat="1" applyFont="1" applyFill="1" applyBorder="1"/>
    <xf numFmtId="0" fontId="19" fillId="6" borderId="27" xfId="9" applyFont="1" applyFill="1" applyBorder="1"/>
    <xf numFmtId="0" fontId="19" fillId="6" borderId="27" xfId="2" applyFont="1" applyFill="1" applyBorder="1" applyAlignment="1">
      <alignment horizontal="left"/>
    </xf>
    <xf numFmtId="0" fontId="4" fillId="13" borderId="27" xfId="2" applyFont="1" applyFill="1" applyBorder="1" applyAlignment="1">
      <alignment horizontal="left"/>
    </xf>
    <xf numFmtId="164" fontId="18" fillId="6" borderId="27" xfId="0" applyNumberFormat="1" applyFont="1" applyFill="1" applyBorder="1"/>
    <xf numFmtId="164" fontId="19" fillId="7" borderId="27" xfId="2" applyNumberFormat="1" applyFont="1" applyFill="1" applyBorder="1"/>
    <xf numFmtId="164" fontId="18" fillId="7" borderId="27" xfId="0" applyNumberFormat="1" applyFont="1" applyFill="1" applyBorder="1"/>
    <xf numFmtId="164" fontId="19" fillId="10" borderId="27" xfId="2" applyNumberFormat="1" applyFont="1" applyFill="1" applyBorder="1"/>
    <xf numFmtId="44" fontId="18" fillId="10" borderId="27" xfId="2" applyNumberFormat="1" applyFont="1" applyFill="1" applyBorder="1"/>
    <xf numFmtId="164" fontId="18" fillId="7" borderId="27" xfId="2" applyNumberFormat="1" applyFont="1" applyFill="1" applyBorder="1"/>
    <xf numFmtId="0" fontId="19" fillId="6" borderId="27" xfId="2" applyFont="1" applyFill="1" applyBorder="1" applyAlignment="1">
      <alignment horizontal="left" wrapText="1"/>
    </xf>
    <xf numFmtId="0" fontId="18" fillId="6" borderId="27" xfId="2" applyFont="1" applyFill="1" applyBorder="1" applyAlignment="1">
      <alignment horizontal="left"/>
    </xf>
    <xf numFmtId="4" fontId="18" fillId="12" borderId="27" xfId="2" applyNumberFormat="1" applyFont="1" applyFill="1" applyBorder="1"/>
    <xf numFmtId="0" fontId="19" fillId="7" borderId="27" xfId="2" applyFont="1" applyFill="1" applyBorder="1"/>
    <xf numFmtId="4" fontId="18" fillId="7" borderId="27" xfId="2" applyNumberFormat="1" applyFont="1" applyFill="1" applyBorder="1"/>
    <xf numFmtId="0" fontId="18" fillId="7" borderId="27" xfId="2" applyFont="1" applyFill="1" applyBorder="1"/>
    <xf numFmtId="0" fontId="27" fillId="3" borderId="27" xfId="1" applyFont="1" applyFill="1" applyBorder="1" applyAlignment="1">
      <alignment vertical="center" wrapText="1"/>
    </xf>
    <xf numFmtId="0" fontId="18" fillId="12" borderId="27" xfId="2" applyFont="1" applyFill="1" applyBorder="1" applyAlignment="1">
      <alignment horizontal="justify" wrapText="1"/>
    </xf>
    <xf numFmtId="165" fontId="18" fillId="12" borderId="27" xfId="2" applyNumberFormat="1" applyFont="1" applyFill="1" applyBorder="1"/>
    <xf numFmtId="0" fontId="18" fillId="3" borderId="27" xfId="1" applyFont="1" applyFill="1" applyBorder="1" applyAlignment="1">
      <alignment wrapText="1"/>
    </xf>
    <xf numFmtId="4" fontId="18" fillId="13" borderId="27" xfId="2" applyNumberFormat="1" applyFont="1" applyFill="1" applyBorder="1"/>
    <xf numFmtId="4" fontId="18" fillId="9" borderId="27" xfId="2" applyNumberFormat="1" applyFont="1" applyFill="1" applyBorder="1"/>
    <xf numFmtId="0" fontId="18" fillId="5" borderId="27" xfId="2" applyFont="1" applyFill="1" applyBorder="1"/>
    <xf numFmtId="0" fontId="18" fillId="18" borderId="27" xfId="2" applyFont="1" applyFill="1" applyBorder="1"/>
    <xf numFmtId="168" fontId="53" fillId="18" borderId="27" xfId="2" applyNumberFormat="1" applyFont="1" applyFill="1" applyBorder="1"/>
    <xf numFmtId="0" fontId="18" fillId="6" borderId="27" xfId="2" applyFont="1" applyFill="1" applyBorder="1" applyAlignment="1">
      <alignment horizontal="left" wrapText="1"/>
    </xf>
    <xf numFmtId="0" fontId="19" fillId="7" borderId="27" xfId="6" applyFont="1" applyFill="1" applyBorder="1" applyAlignment="1">
      <alignment horizontal="left"/>
    </xf>
    <xf numFmtId="0" fontId="18" fillId="7" borderId="27" xfId="6" applyFont="1" applyFill="1" applyBorder="1" applyAlignment="1">
      <alignment horizontal="left"/>
    </xf>
    <xf numFmtId="44" fontId="18" fillId="7" borderId="27" xfId="12" applyNumberFormat="1" applyFont="1" applyFill="1" applyBorder="1" applyAlignment="1">
      <alignment horizontal="center"/>
    </xf>
    <xf numFmtId="0" fontId="18" fillId="18" borderId="27" xfId="1" applyFont="1" applyFill="1" applyBorder="1" applyAlignment="1">
      <alignment wrapText="1"/>
    </xf>
    <xf numFmtId="44" fontId="18" fillId="18" borderId="27" xfId="2" applyNumberFormat="1" applyFont="1" applyFill="1" applyBorder="1"/>
    <xf numFmtId="0" fontId="18" fillId="14" borderId="27" xfId="1" applyFont="1" applyFill="1" applyBorder="1" applyAlignment="1">
      <alignment wrapText="1"/>
    </xf>
    <xf numFmtId="4" fontId="18" fillId="14" borderId="27" xfId="2" applyNumberFormat="1" applyFont="1" applyFill="1" applyBorder="1"/>
    <xf numFmtId="0" fontId="18" fillId="7" borderId="27" xfId="1" applyFont="1" applyFill="1" applyBorder="1" applyAlignment="1">
      <alignment wrapText="1"/>
    </xf>
    <xf numFmtId="168" fontId="18" fillId="7" borderId="27" xfId="2" applyNumberFormat="1" applyFont="1" applyFill="1" applyBorder="1"/>
    <xf numFmtId="0" fontId="18" fillId="6" borderId="27" xfId="1" applyFont="1" applyFill="1" applyBorder="1" applyAlignment="1">
      <alignment wrapText="1"/>
    </xf>
    <xf numFmtId="166" fontId="19" fillId="5" borderId="27" xfId="2" applyNumberFormat="1" applyFont="1" applyFill="1" applyBorder="1"/>
    <xf numFmtId="166" fontId="18" fillId="5" borderId="27" xfId="2" applyNumberFormat="1" applyFont="1" applyFill="1" applyBorder="1"/>
    <xf numFmtId="0" fontId="18" fillId="7" borderId="27" xfId="1" applyFont="1" applyFill="1" applyBorder="1"/>
    <xf numFmtId="164" fontId="18" fillId="7" borderId="27" xfId="4" applyNumberFormat="1" applyFont="1" applyFill="1" applyBorder="1" applyAlignment="1"/>
    <xf numFmtId="0" fontId="18" fillId="11" borderId="27" xfId="1" applyFont="1" applyFill="1" applyBorder="1"/>
    <xf numFmtId="4" fontId="18" fillId="11" borderId="27" xfId="2" applyNumberFormat="1" applyFont="1" applyFill="1" applyBorder="1"/>
    <xf numFmtId="0" fontId="18" fillId="6" borderId="27" xfId="1" applyFont="1" applyFill="1" applyBorder="1"/>
    <xf numFmtId="0" fontId="18" fillId="16" borderId="27" xfId="1" applyFont="1" applyFill="1" applyBorder="1" applyAlignment="1">
      <alignment wrapText="1"/>
    </xf>
    <xf numFmtId="0" fontId="18" fillId="17" borderId="27" xfId="1" applyFont="1" applyFill="1" applyBorder="1" applyAlignment="1">
      <alignment wrapText="1"/>
    </xf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wrapText="1"/>
    </xf>
    <xf numFmtId="0" fontId="18" fillId="0" borderId="27" xfId="0" applyFont="1" applyBorder="1" applyAlignment="1">
      <alignment vertical="top" wrapText="1"/>
    </xf>
    <xf numFmtId="0" fontId="18" fillId="8" borderId="27" xfId="1" applyFont="1" applyFill="1" applyBorder="1" applyAlignment="1">
      <alignment wrapText="1"/>
    </xf>
    <xf numFmtId="4" fontId="18" fillId="8" borderId="27" xfId="2" applyNumberFormat="1" applyFont="1" applyFill="1" applyBorder="1"/>
    <xf numFmtId="0" fontId="18" fillId="6" borderId="27" xfId="2" applyFont="1" applyFill="1" applyBorder="1"/>
    <xf numFmtId="0" fontId="18" fillId="6" borderId="27" xfId="2" applyFont="1" applyFill="1" applyBorder="1" applyAlignment="1">
      <alignment wrapText="1"/>
    </xf>
    <xf numFmtId="0" fontId="18" fillId="10" borderId="27" xfId="1" applyFont="1" applyFill="1" applyBorder="1" applyAlignment="1">
      <alignment wrapText="1"/>
    </xf>
    <xf numFmtId="4" fontId="18" fillId="10" borderId="27" xfId="2" applyNumberFormat="1" applyFont="1" applyFill="1" applyBorder="1"/>
    <xf numFmtId="0" fontId="18" fillId="3" borderId="27" xfId="1" applyFont="1" applyFill="1" applyBorder="1" applyAlignment="1">
      <alignment vertical="center" wrapText="1"/>
    </xf>
    <xf numFmtId="166" fontId="18" fillId="8" borderId="27" xfId="2" applyNumberFormat="1" applyFont="1" applyFill="1" applyBorder="1"/>
    <xf numFmtId="0" fontId="18" fillId="8" borderId="27" xfId="2" applyFont="1" applyFill="1" applyBorder="1" applyAlignment="1">
      <alignment horizontal="justify" wrapText="1"/>
    </xf>
    <xf numFmtId="44" fontId="18" fillId="21" borderId="27" xfId="2" applyNumberFormat="1" applyFont="1" applyFill="1" applyBorder="1"/>
    <xf numFmtId="166" fontId="18" fillId="5" borderId="27" xfId="2" applyNumberFormat="1" applyFont="1" applyFill="1" applyBorder="1" applyAlignment="1">
      <alignment horizontal="left" vertical="center" wrapText="1"/>
    </xf>
    <xf numFmtId="0" fontId="32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4" fillId="5" borderId="27" xfId="2" applyFont="1" applyFill="1" applyBorder="1" applyAlignment="1">
      <alignment vertical="center"/>
    </xf>
    <xf numFmtId="168" fontId="4" fillId="5" borderId="27" xfId="2" applyNumberFormat="1" applyFont="1" applyFill="1" applyBorder="1" applyAlignment="1">
      <alignment vertical="center"/>
    </xf>
    <xf numFmtId="10" fontId="4" fillId="5" borderId="27" xfId="2" applyNumberFormat="1" applyFont="1" applyFill="1" applyBorder="1" applyAlignment="1">
      <alignment vertical="center"/>
    </xf>
    <xf numFmtId="0" fontId="4" fillId="7" borderId="27" xfId="2" applyFont="1" applyFill="1" applyBorder="1" applyAlignment="1">
      <alignment vertical="center"/>
    </xf>
    <xf numFmtId="44" fontId="4" fillId="7" borderId="27" xfId="15" applyFont="1" applyFill="1" applyBorder="1" applyAlignment="1">
      <alignment vertical="center"/>
    </xf>
    <xf numFmtId="10" fontId="4" fillId="7" borderId="27" xfId="2" applyNumberFormat="1" applyFont="1" applyFill="1" applyBorder="1" applyAlignment="1">
      <alignment vertical="center"/>
    </xf>
    <xf numFmtId="0" fontId="4" fillId="19" borderId="27" xfId="2" applyFont="1" applyFill="1" applyBorder="1" applyAlignment="1">
      <alignment vertical="center"/>
    </xf>
    <xf numFmtId="44" fontId="4" fillId="19" borderId="27" xfId="15" applyFont="1" applyFill="1" applyBorder="1" applyAlignment="1">
      <alignment vertical="center"/>
    </xf>
    <xf numFmtId="10" fontId="4" fillId="19" borderId="27" xfId="15" applyNumberFormat="1" applyFont="1" applyFill="1" applyBorder="1" applyAlignment="1">
      <alignment vertical="center"/>
    </xf>
    <xf numFmtId="0" fontId="4" fillId="20" borderId="27" xfId="2" applyFont="1" applyFill="1" applyBorder="1" applyAlignment="1">
      <alignment vertical="center"/>
    </xf>
    <xf numFmtId="168" fontId="4" fillId="20" borderId="27" xfId="2" applyNumberFormat="1" applyFont="1" applyFill="1" applyBorder="1" applyAlignment="1">
      <alignment vertical="center"/>
    </xf>
    <xf numFmtId="10" fontId="4" fillId="20" borderId="27" xfId="2" applyNumberFormat="1" applyFont="1" applyFill="1" applyBorder="1" applyAlignment="1">
      <alignment vertical="center"/>
    </xf>
    <xf numFmtId="0" fontId="19" fillId="0" borderId="27" xfId="1" applyFont="1" applyBorder="1" applyAlignment="1">
      <alignment horizontal="left" wrapText="1"/>
    </xf>
    <xf numFmtId="4" fontId="54" fillId="0" borderId="27" xfId="2" applyNumberFormat="1" applyFont="1" applyBorder="1"/>
    <xf numFmtId="4" fontId="39" fillId="0" borderId="27" xfId="2" applyNumberFormat="1" applyFont="1" applyBorder="1"/>
    <xf numFmtId="0" fontId="19" fillId="18" borderId="27" xfId="0" applyFont="1" applyFill="1" applyBorder="1" applyAlignment="1">
      <alignment horizontal="left" vertical="center"/>
    </xf>
    <xf numFmtId="44" fontId="4" fillId="18" borderId="27" xfId="15" applyFont="1" applyFill="1" applyBorder="1" applyAlignment="1">
      <alignment horizontal="left" vertical="center"/>
    </xf>
    <xf numFmtId="0" fontId="19" fillId="0" borderId="27" xfId="1" applyFont="1" applyBorder="1" applyAlignment="1">
      <alignment horizontal="left"/>
    </xf>
    <xf numFmtId="44" fontId="4" fillId="0" borderId="27" xfId="15" applyFont="1" applyFill="1" applyBorder="1" applyAlignment="1">
      <alignment horizontal="left" vertical="center"/>
    </xf>
    <xf numFmtId="0" fontId="19" fillId="0" borderId="27" xfId="1" applyFont="1" applyBorder="1" applyAlignment="1">
      <alignment horizontal="justify" wrapText="1"/>
    </xf>
    <xf numFmtId="0" fontId="19" fillId="0" borderId="27" xfId="0" applyFont="1" applyBorder="1" applyAlignment="1">
      <alignment horizontal="left" vertical="center"/>
    </xf>
    <xf numFmtId="0" fontId="19" fillId="3" borderId="27" xfId="0" applyFont="1" applyFill="1" applyBorder="1" applyAlignment="1">
      <alignment horizontal="left" vertical="center"/>
    </xf>
    <xf numFmtId="0" fontId="19" fillId="3" borderId="27" xfId="0" applyFont="1" applyFill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44" fontId="4" fillId="20" borderId="27" xfId="15" applyFont="1" applyFill="1" applyBorder="1" applyAlignment="1">
      <alignment vertical="center"/>
    </xf>
    <xf numFmtId="164" fontId="40" fillId="18" borderId="27" xfId="10" applyNumberFormat="1" applyFont="1" applyFill="1" applyBorder="1" applyAlignment="1">
      <alignment vertical="center" wrapText="1"/>
    </xf>
    <xf numFmtId="168" fontId="19" fillId="18" borderId="27" xfId="1" applyNumberFormat="1" applyFont="1" applyFill="1" applyBorder="1" applyAlignment="1">
      <alignment vertical="center"/>
    </xf>
    <xf numFmtId="168" fontId="4" fillId="18" borderId="27" xfId="6" applyNumberFormat="1" applyFont="1" applyFill="1" applyBorder="1"/>
    <xf numFmtId="0" fontId="19" fillId="0" borderId="27" xfId="1" applyFont="1" applyBorder="1" applyAlignment="1">
      <alignment horizontal="justify" vertical="center" wrapText="1"/>
    </xf>
    <xf numFmtId="44" fontId="4" fillId="0" borderId="27" xfId="15" applyFont="1" applyFill="1" applyBorder="1" applyAlignment="1">
      <alignment horizontal="justify" vertical="center" wrapText="1"/>
    </xf>
    <xf numFmtId="164" fontId="42" fillId="18" borderId="27" xfId="10" applyNumberFormat="1" applyFont="1" applyFill="1" applyBorder="1" applyAlignment="1">
      <alignment vertical="center" wrapText="1"/>
    </xf>
    <xf numFmtId="165" fontId="4" fillId="18" borderId="27" xfId="1" applyNumberFormat="1" applyFont="1" applyFill="1" applyBorder="1" applyAlignment="1">
      <alignment vertical="center"/>
    </xf>
    <xf numFmtId="44" fontId="35" fillId="0" borderId="27" xfId="15" applyFont="1" applyFill="1" applyBorder="1"/>
    <xf numFmtId="44" fontId="41" fillId="18" borderId="27" xfId="15" applyFont="1" applyFill="1" applyBorder="1" applyAlignment="1">
      <alignment vertical="center" wrapText="1"/>
    </xf>
    <xf numFmtId="0" fontId="19" fillId="9" borderId="27" xfId="1" applyFont="1" applyFill="1" applyBorder="1" applyAlignment="1">
      <alignment horizontal="justify" wrapText="1"/>
    </xf>
    <xf numFmtId="0" fontId="0" fillId="0" borderId="28" xfId="0" applyBorder="1"/>
    <xf numFmtId="0" fontId="19" fillId="10" borderId="27" xfId="2" applyFont="1" applyFill="1" applyBorder="1" applyAlignment="1">
      <alignment horizontal="right" vertical="center"/>
    </xf>
    <xf numFmtId="0" fontId="18" fillId="5" borderId="27" xfId="2" applyFont="1" applyFill="1" applyBorder="1" applyAlignment="1">
      <alignment horizontal="right" vertical="center" wrapText="1"/>
    </xf>
    <xf numFmtId="0" fontId="18" fillId="8" borderId="27" xfId="2" applyFont="1" applyFill="1" applyBorder="1" applyAlignment="1">
      <alignment horizontal="right" vertical="center"/>
    </xf>
    <xf numFmtId="3" fontId="51" fillId="9" borderId="32" xfId="0" applyNumberFormat="1" applyFont="1" applyFill="1" applyBorder="1"/>
    <xf numFmtId="3" fontId="48" fillId="9" borderId="32" xfId="0" applyNumberFormat="1" applyFont="1" applyFill="1" applyBorder="1"/>
    <xf numFmtId="0" fontId="52" fillId="0" borderId="0" xfId="0" applyFont="1"/>
    <xf numFmtId="166" fontId="13" fillId="0" borderId="0" xfId="0" applyNumberFormat="1" applyFont="1"/>
    <xf numFmtId="0" fontId="0" fillId="0" borderId="33" xfId="0" applyBorder="1"/>
    <xf numFmtId="0" fontId="24" fillId="0" borderId="33" xfId="0" applyFont="1" applyBorder="1"/>
    <xf numFmtId="3" fontId="24" fillId="0" borderId="33" xfId="0" applyNumberFormat="1" applyFont="1" applyBorder="1"/>
    <xf numFmtId="0" fontId="24" fillId="0" borderId="32" xfId="0" applyFont="1" applyBorder="1"/>
    <xf numFmtId="0" fontId="0" fillId="0" borderId="34" xfId="0" applyBorder="1"/>
    <xf numFmtId="0" fontId="0" fillId="0" borderId="27" xfId="0" applyBorder="1"/>
    <xf numFmtId="168" fontId="44" fillId="0" borderId="27" xfId="0" applyNumberFormat="1" applyFont="1" applyBorder="1" applyProtection="1">
      <protection locked="0"/>
    </xf>
    <xf numFmtId="164" fontId="24" fillId="0" borderId="27" xfId="0" applyNumberFormat="1" applyFont="1" applyBorder="1" applyProtection="1">
      <protection locked="0"/>
    </xf>
    <xf numFmtId="164" fontId="25" fillId="0" borderId="27" xfId="0" applyNumberFormat="1" applyFont="1" applyBorder="1" applyAlignment="1" applyProtection="1">
      <alignment horizontal="right"/>
      <protection locked="0"/>
    </xf>
    <xf numFmtId="164" fontId="26" fillId="0" borderId="27" xfId="0" applyNumberFormat="1" applyFont="1" applyBorder="1" applyAlignment="1" applyProtection="1">
      <alignment horizontal="right"/>
      <protection locked="0"/>
    </xf>
    <xf numFmtId="0" fontId="0" fillId="15" borderId="27" xfId="0" applyFill="1" applyBorder="1"/>
    <xf numFmtId="168" fontId="2" fillId="15" borderId="27" xfId="8" applyNumberFormat="1" applyFont="1" applyFill="1" applyBorder="1"/>
    <xf numFmtId="164" fontId="24" fillId="15" borderId="27" xfId="0" applyNumberFormat="1" applyFont="1" applyFill="1" applyBorder="1"/>
    <xf numFmtId="164" fontId="25" fillId="15" borderId="27" xfId="0" applyNumberFormat="1" applyFont="1" applyFill="1" applyBorder="1"/>
    <xf numFmtId="0" fontId="18" fillId="0" borderId="28" xfId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wrapText="1"/>
    </xf>
    <xf numFmtId="0" fontId="12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 wrapText="1"/>
    </xf>
    <xf numFmtId="0" fontId="3" fillId="0" borderId="27" xfId="1" applyFont="1" applyBorder="1" applyAlignment="1">
      <alignment horizontal="center"/>
    </xf>
    <xf numFmtId="0" fontId="10" fillId="0" borderId="27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wrapText="1"/>
    </xf>
    <xf numFmtId="0" fontId="10" fillId="9" borderId="27" xfId="1" applyFont="1" applyFill="1" applyBorder="1" applyAlignment="1">
      <alignment horizontal="center" vertical="center" wrapText="1"/>
    </xf>
    <xf numFmtId="0" fontId="4" fillId="5" borderId="27" xfId="2" applyFont="1" applyFill="1" applyBorder="1"/>
    <xf numFmtId="168" fontId="4" fillId="5" borderId="27" xfId="2" applyNumberFormat="1" applyFont="1" applyFill="1" applyBorder="1"/>
    <xf numFmtId="10" fontId="4" fillId="5" borderId="27" xfId="2" applyNumberFormat="1" applyFont="1" applyFill="1" applyBorder="1"/>
    <xf numFmtId="168" fontId="7" fillId="5" borderId="27" xfId="2" applyNumberFormat="1" applyFont="1" applyFill="1" applyBorder="1"/>
    <xf numFmtId="0" fontId="4" fillId="0" borderId="27" xfId="2" applyFont="1" applyBorder="1" applyAlignment="1">
      <alignment horizontal="justify" wrapText="1"/>
    </xf>
    <xf numFmtId="4" fontId="4" fillId="0" borderId="27" xfId="2" applyNumberFormat="1" applyFont="1" applyBorder="1"/>
    <xf numFmtId="43" fontId="4" fillId="0" borderId="27" xfId="1" applyNumberFormat="1" applyFont="1" applyBorder="1"/>
    <xf numFmtId="10" fontId="4" fillId="0" borderId="27" xfId="1" applyNumberFormat="1" applyFont="1" applyBorder="1"/>
    <xf numFmtId="10" fontId="4" fillId="0" borderId="27" xfId="2" applyNumberFormat="1" applyFont="1" applyBorder="1"/>
    <xf numFmtId="4" fontId="7" fillId="0" borderId="27" xfId="2" applyNumberFormat="1" applyFont="1" applyBorder="1"/>
    <xf numFmtId="166" fontId="4" fillId="4" borderId="27" xfId="2" applyNumberFormat="1" applyFont="1" applyFill="1" applyBorder="1"/>
    <xf numFmtId="10" fontId="4" fillId="4" borderId="27" xfId="2" applyNumberFormat="1" applyFont="1" applyFill="1" applyBorder="1"/>
    <xf numFmtId="0" fontId="4" fillId="4" borderId="27" xfId="2" applyFont="1" applyFill="1" applyBorder="1"/>
    <xf numFmtId="166" fontId="7" fillId="4" borderId="27" xfId="2" applyNumberFormat="1" applyFont="1" applyFill="1" applyBorder="1"/>
    <xf numFmtId="0" fontId="4" fillId="4" borderId="27" xfId="2" applyFont="1" applyFill="1" applyBorder="1" applyAlignment="1">
      <alignment wrapText="1"/>
    </xf>
    <xf numFmtId="0" fontId="4" fillId="0" borderId="30" xfId="2" applyFont="1" applyBorder="1" applyAlignment="1">
      <alignment horizontal="justify" wrapText="1"/>
    </xf>
    <xf numFmtId="4" fontId="4" fillId="0" borderId="30" xfId="2" applyNumberFormat="1" applyFont="1" applyBorder="1"/>
    <xf numFmtId="43" fontId="4" fillId="0" borderId="30" xfId="1" applyNumberFormat="1" applyFont="1" applyBorder="1"/>
    <xf numFmtId="166" fontId="5" fillId="9" borderId="29" xfId="2" applyNumberFormat="1" applyFont="1" applyFill="1" applyBorder="1"/>
    <xf numFmtId="166" fontId="5" fillId="9" borderId="27" xfId="2" applyNumberFormat="1" applyFont="1" applyFill="1" applyBorder="1"/>
    <xf numFmtId="0" fontId="18" fillId="3" borderId="36" xfId="1" applyFont="1" applyFill="1" applyBorder="1" applyAlignment="1">
      <alignment horizontal="right" vertical="center" wrapText="1"/>
    </xf>
    <xf numFmtId="0" fontId="18" fillId="0" borderId="6" xfId="2" applyFont="1" applyBorder="1" applyAlignment="1">
      <alignment horizontal="justify" wrapText="1"/>
    </xf>
    <xf numFmtId="0" fontId="0" fillId="9" borderId="0" xfId="0" applyFill="1"/>
    <xf numFmtId="0" fontId="18" fillId="0" borderId="27" xfId="2" applyFont="1" applyBorder="1" applyAlignment="1">
      <alignment horizontal="justify" wrapText="1"/>
    </xf>
    <xf numFmtId="168" fontId="18" fillId="5" borderId="37" xfId="2" applyNumberFormat="1" applyFont="1" applyFill="1" applyBorder="1"/>
    <xf numFmtId="168" fontId="18" fillId="13" borderId="37" xfId="2" applyNumberFormat="1" applyFont="1" applyFill="1" applyBorder="1"/>
    <xf numFmtId="168" fontId="18" fillId="6" borderId="37" xfId="2" applyNumberFormat="1" applyFont="1" applyFill="1" applyBorder="1"/>
    <xf numFmtId="4" fontId="53" fillId="0" borderId="27" xfId="2" applyNumberFormat="1" applyFont="1" applyBorder="1"/>
    <xf numFmtId="0" fontId="21" fillId="0" borderId="27" xfId="2" applyFont="1" applyBorder="1" applyAlignment="1">
      <alignment horizontal="justify" wrapText="1"/>
    </xf>
    <xf numFmtId="4" fontId="53" fillId="0" borderId="26" xfId="18" applyNumberFormat="1" applyFont="1" applyBorder="1"/>
    <xf numFmtId="0" fontId="19" fillId="0" borderId="27" xfId="2" applyFont="1" applyBorder="1" applyAlignment="1">
      <alignment horizontal="left" wrapText="1"/>
    </xf>
    <xf numFmtId="168" fontId="18" fillId="0" borderId="27" xfId="2" applyNumberFormat="1" applyFont="1" applyBorder="1"/>
    <xf numFmtId="0" fontId="18" fillId="0" borderId="6" xfId="2" applyFont="1" applyBorder="1" applyAlignment="1">
      <alignment horizontal="left"/>
    </xf>
    <xf numFmtId="0" fontId="19" fillId="0" borderId="6" xfId="2" applyFont="1" applyBorder="1" applyAlignment="1">
      <alignment horizontal="left" wrapText="1"/>
    </xf>
    <xf numFmtId="0" fontId="4" fillId="4" borderId="16" xfId="2" applyFont="1" applyFill="1" applyBorder="1" applyAlignment="1">
      <alignment horizontal="right" vertical="center"/>
    </xf>
    <xf numFmtId="0" fontId="18" fillId="0" borderId="6" xfId="2" applyFont="1" applyBorder="1" applyAlignment="1">
      <alignment horizontal="justify" vertical="center" wrapText="1"/>
    </xf>
    <xf numFmtId="4" fontId="18" fillId="0" borderId="6" xfId="2" applyNumberFormat="1" applyFont="1" applyBorder="1"/>
    <xf numFmtId="4" fontId="18" fillId="9" borderId="6" xfId="2" applyNumberFormat="1" applyFont="1" applyFill="1" applyBorder="1"/>
    <xf numFmtId="171" fontId="18" fillId="0" borderId="27" xfId="2" applyNumberFormat="1" applyFont="1" applyBorder="1"/>
    <xf numFmtId="0" fontId="18" fillId="24" borderId="27" xfId="2" applyFont="1" applyFill="1" applyBorder="1" applyAlignment="1">
      <alignment horizontal="left" wrapText="1"/>
    </xf>
    <xf numFmtId="4" fontId="18" fillId="24" borderId="27" xfId="2" applyNumberFormat="1" applyFont="1" applyFill="1" applyBorder="1"/>
    <xf numFmtId="0" fontId="55" fillId="0" borderId="27" xfId="2" applyFont="1" applyBorder="1" applyAlignment="1">
      <alignment horizontal="justify" wrapText="1"/>
    </xf>
    <xf numFmtId="4" fontId="18" fillId="5" borderId="27" xfId="2" applyNumberFormat="1" applyFont="1" applyFill="1" applyBorder="1"/>
    <xf numFmtId="0" fontId="18" fillId="0" borderId="27" xfId="2" applyFont="1" applyBorder="1" applyAlignment="1">
      <alignment horizontal="left"/>
    </xf>
    <xf numFmtId="0" fontId="18" fillId="3" borderId="27" xfId="1" applyFont="1" applyFill="1" applyBorder="1"/>
    <xf numFmtId="44" fontId="18" fillId="18" borderId="38" xfId="2" applyNumberFormat="1" applyFont="1" applyFill="1" applyBorder="1"/>
    <xf numFmtId="4" fontId="18" fillId="14" borderId="38" xfId="2" applyNumberFormat="1" applyFont="1" applyFill="1" applyBorder="1"/>
    <xf numFmtId="4" fontId="18" fillId="0" borderId="38" xfId="2" applyNumberFormat="1" applyFont="1" applyBorder="1"/>
    <xf numFmtId="4" fontId="18" fillId="0" borderId="27" xfId="2" applyNumberFormat="1" applyFont="1" applyBorder="1" applyAlignment="1">
      <alignment horizontal="right"/>
    </xf>
    <xf numFmtId="0" fontId="18" fillId="0" borderId="27" xfId="1" applyFont="1" applyBorder="1" applyAlignment="1">
      <alignment wrapText="1"/>
    </xf>
    <xf numFmtId="0" fontId="18" fillId="6" borderId="37" xfId="1" applyFont="1" applyFill="1" applyBorder="1"/>
    <xf numFmtId="4" fontId="21" fillId="0" borderId="27" xfId="2" applyNumberFormat="1" applyFont="1" applyBorder="1"/>
    <xf numFmtId="0" fontId="14" fillId="0" borderId="1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50" fillId="0" borderId="15" xfId="0" applyFont="1" applyBorder="1" applyAlignment="1">
      <alignment vertical="center"/>
    </xf>
    <xf numFmtId="0" fontId="5" fillId="0" borderId="31" xfId="1" applyFont="1" applyBorder="1" applyAlignment="1">
      <alignment horizontal="center" wrapText="1"/>
    </xf>
    <xf numFmtId="0" fontId="5" fillId="0" borderId="35" xfId="1" applyFont="1" applyBorder="1" applyAlignment="1">
      <alignment horizontal="center" wrapText="1"/>
    </xf>
    <xf numFmtId="0" fontId="5" fillId="0" borderId="29" xfId="1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9" fillId="0" borderId="35" xfId="0" applyFont="1" applyBorder="1" applyAlignment="1">
      <alignment horizontal="center" wrapText="1"/>
    </xf>
    <xf numFmtId="0" fontId="9" fillId="0" borderId="29" xfId="0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0" fontId="8" fillId="0" borderId="35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43" fontId="6" fillId="0" borderId="31" xfId="1" applyNumberFormat="1" applyFont="1" applyBorder="1" applyAlignment="1">
      <alignment horizontal="center" wrapText="1"/>
    </xf>
    <xf numFmtId="43" fontId="6" fillId="0" borderId="35" xfId="1" applyNumberFormat="1" applyFont="1" applyBorder="1" applyAlignment="1">
      <alignment horizontal="center" wrapText="1"/>
    </xf>
    <xf numFmtId="43" fontId="6" fillId="0" borderId="29" xfId="1" applyNumberFormat="1" applyFont="1" applyBorder="1" applyAlignment="1">
      <alignment horizontal="center" wrapText="1"/>
    </xf>
  </cellXfs>
  <cellStyles count="19">
    <cellStyle name="Moneda" xfId="8" builtinId="4"/>
    <cellStyle name="Moneda 2" xfId="4" xr:uid="{00000000-0005-0000-0000-000001000000}"/>
    <cellStyle name="Moneda 3" xfId="15" xr:uid="{00000000-0005-0000-0000-000002000000}"/>
    <cellStyle name="Moneda 4" xfId="16" xr:uid="{00000000-0005-0000-0000-000003000000}"/>
    <cellStyle name="Normal" xfId="0" builtinId="0"/>
    <cellStyle name="Normal 10" xfId="5" xr:uid="{00000000-0005-0000-0000-000005000000}"/>
    <cellStyle name="Normal 14" xfId="13" xr:uid="{00000000-0005-0000-0000-000006000000}"/>
    <cellStyle name="Normal 2 2" xfId="6" xr:uid="{00000000-0005-0000-0000-000007000000}"/>
    <cellStyle name="Normal 2 3" xfId="10" xr:uid="{00000000-0005-0000-0000-000008000000}"/>
    <cellStyle name="Normal 2 4" xfId="14" xr:uid="{00000000-0005-0000-0000-000009000000}"/>
    <cellStyle name="Normal 26" xfId="18" xr:uid="{00000000-0005-0000-0000-00000A000000}"/>
    <cellStyle name="Normal 3" xfId="17" xr:uid="{00000000-0005-0000-0000-00000B000000}"/>
    <cellStyle name="Normal 5" xfId="1" xr:uid="{00000000-0005-0000-0000-00000C000000}"/>
    <cellStyle name="Normal 5 3" xfId="7" xr:uid="{00000000-0005-0000-0000-00000D000000}"/>
    <cellStyle name="Normal 6 2" xfId="2" xr:uid="{00000000-0005-0000-0000-00000E000000}"/>
    <cellStyle name="Normal 6 2 2" xfId="9" xr:uid="{00000000-0005-0000-0000-00000F000000}"/>
    <cellStyle name="Normal 8" xfId="3" xr:uid="{00000000-0005-0000-0000-000010000000}"/>
    <cellStyle name="Normal 9" xfId="11" xr:uid="{00000000-0005-0000-0000-000011000000}"/>
    <cellStyle name="Porcentaje" xfId="12" builtinId="5"/>
  </cellStyles>
  <dxfs count="2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Garamond"/>
        <scheme val="none"/>
      </font>
      <fill>
        <patternFill patternType="solid">
          <fgColor indexed="64"/>
          <bgColor theme="9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Garamond"/>
        <scheme val="none"/>
      </font>
      <fill>
        <patternFill patternType="solid">
          <fgColor indexed="64"/>
          <bgColor theme="9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Garamond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Garamond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  <color rgb="FFFFFF00"/>
      <color rgb="FFCCCCFF"/>
      <color rgb="FFFF0066"/>
      <color rgb="FFFFCCFF"/>
      <color rgb="FFB5F8FD"/>
      <color rgb="FFDAF1F0"/>
      <color rgb="FF6C0000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365125</xdr:colOff>
      <xdr:row>9</xdr:row>
      <xdr:rowOff>12700</xdr:rowOff>
    </xdr:from>
    <xdr:to>
      <xdr:col>12</xdr:col>
      <xdr:colOff>20746</xdr:colOff>
      <xdr:row>9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0332085" y="2329180"/>
          <a:ext cx="547161" cy="17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SV" sz="1300" b="1" i="0" u="none" strike="noStrike" baseline="0">
              <a:solidFill>
                <a:srgbClr val="9933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endParaRPr lang="es-SV" sz="1300" b="1" i="0" u="none" strike="noStrike" baseline="0">
            <a:solidFill>
              <a:srgbClr val="9933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365125</xdr:colOff>
      <xdr:row>9</xdr:row>
      <xdr:rowOff>12700</xdr:rowOff>
    </xdr:from>
    <xdr:to>
      <xdr:col>12</xdr:col>
      <xdr:colOff>20746</xdr:colOff>
      <xdr:row>9</xdr:row>
      <xdr:rowOff>190500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0347325" y="1993900"/>
          <a:ext cx="550971" cy="17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SV" sz="1300" b="1" i="0" u="none" strike="noStrike" baseline="0">
              <a:solidFill>
                <a:srgbClr val="9933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endParaRPr lang="es-SV" sz="1300" b="1" i="0" u="none" strike="noStrike" baseline="0">
            <a:solidFill>
              <a:srgbClr val="993300"/>
            </a:solidFill>
            <a:latin typeface="Arial"/>
            <a:cs typeface="Arial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SUPUESTO22" displayName="PRESUPUESTO22" ref="B50:T1385" totalsRowShown="0" headerRowDxfId="23" dataDxfId="21" headerRowBorderDxfId="22" tableBorderDxfId="20" headerRowCellStyle="Normal 5" dataCellStyle="Normal 6 2">
  <autoFilter ref="B50:T1385" xr:uid="{00000000-0009-0000-0100-000001000000}"/>
  <tableColumns count="19">
    <tableColumn id="1" xr3:uid="{00000000-0010-0000-0000-000001000000}" name="rango" dataDxfId="19" dataCellStyle="Normal 5"/>
    <tableColumn id="2" xr3:uid="{00000000-0010-0000-0000-000002000000}" name="Cuenta" dataDxfId="18" dataCellStyle="Normal 6 2">
      <calculatedColumnFormula>"E"&amp;"-0"&amp;B51</calculatedColumnFormula>
    </tableColumn>
    <tableColumn id="19" xr3:uid="{00000000-0010-0000-0000-000013000000}" name="correlativo" dataDxfId="17" dataCellStyle="Normal 6 2"/>
    <tableColumn id="3" xr3:uid="{00000000-0010-0000-0000-000003000000}" name="Datos" dataDxfId="16" dataCellStyle="Normal 5"/>
    <tableColumn id="4" xr3:uid="{00000000-0010-0000-0000-000004000000}" name="Concepto" dataDxfId="15" dataCellStyle="Normal 5"/>
    <tableColumn id="5" xr3:uid="{00000000-0010-0000-0000-000005000000}" name="2022" dataDxfId="14" dataCellStyle="Normal 6 2"/>
    <tableColumn id="6" xr3:uid="{00000000-0010-0000-0000-000006000000}" name="   ENERO " dataDxfId="13" dataCellStyle="Normal 6 2"/>
    <tableColumn id="7" xr3:uid="{00000000-0010-0000-0000-000007000000}" name="    FEBRERO" dataDxfId="12" dataCellStyle="Normal 6 2"/>
    <tableColumn id="8" xr3:uid="{00000000-0010-0000-0000-000008000000}" name="    MARZO" dataDxfId="11" dataCellStyle="Normal 6 2"/>
    <tableColumn id="9" xr3:uid="{00000000-0010-0000-0000-000009000000}" name="    ABRIL" dataDxfId="10" dataCellStyle="Normal 6 2"/>
    <tableColumn id="10" xr3:uid="{00000000-0010-0000-0000-00000A000000}" name="    MAYO" dataDxfId="9" dataCellStyle="Normal 6 2"/>
    <tableColumn id="11" xr3:uid="{00000000-0010-0000-0000-00000B000000}" name="    JUNIO" dataDxfId="8" dataCellStyle="Normal 6 2"/>
    <tableColumn id="12" xr3:uid="{00000000-0010-0000-0000-00000C000000}" name="    JULIO" dataDxfId="7" dataCellStyle="Normal 6 2"/>
    <tableColumn id="13" xr3:uid="{00000000-0010-0000-0000-00000D000000}" name="    AGOSTO" dataDxfId="6" dataCellStyle="Normal 6 2"/>
    <tableColumn id="14" xr3:uid="{00000000-0010-0000-0000-00000E000000}" name="    SEPT " dataDxfId="5" dataCellStyle="Normal 6 2"/>
    <tableColumn id="15" xr3:uid="{00000000-0010-0000-0000-00000F000000}" name="    OCT" dataDxfId="4" dataCellStyle="Normal 6 2"/>
    <tableColumn id="16" xr3:uid="{00000000-0010-0000-0000-000010000000}" name="    NOV" dataDxfId="3" dataCellStyle="Normal 6 2"/>
    <tableColumn id="17" xr3:uid="{00000000-0010-0000-0000-000011000000}" name="DIC" dataDxfId="2" dataCellStyle="Normal 6 2"/>
    <tableColumn id="18" xr3:uid="{00000000-0010-0000-0000-000012000000}" name="EJECUTADO " dataDxfId="1" dataCellStyle="Normal 6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E1387"/>
  <sheetViews>
    <sheetView tabSelected="1" topLeftCell="A2" zoomScale="145" zoomScaleNormal="145" workbookViewId="0">
      <pane ySplit="1" topLeftCell="A3" activePane="bottomLeft" state="frozen"/>
      <selection activeCell="A2" sqref="A2"/>
      <selection pane="bottomLeft" activeCell="F12" sqref="F12"/>
    </sheetView>
  </sheetViews>
  <sheetFormatPr baseColWidth="10" defaultColWidth="11.42578125" defaultRowHeight="14.25" x14ac:dyDescent="0.2"/>
  <cols>
    <col min="1" max="1" width="4.42578125" style="7" bestFit="1" customWidth="1"/>
    <col min="2" max="2" width="8.85546875" style="7" bestFit="1" customWidth="1"/>
    <col min="3" max="3" width="15" style="7" bestFit="1" customWidth="1"/>
    <col min="4" max="4" width="11.28515625" style="7" bestFit="1" customWidth="1"/>
    <col min="5" max="5" width="6.85546875" style="7" bestFit="1" customWidth="1"/>
    <col min="6" max="6" width="75" style="7" bestFit="1" customWidth="1"/>
    <col min="7" max="7" width="12.5703125" style="7" bestFit="1" customWidth="1"/>
    <col min="8" max="8" width="13.28515625" style="7" customWidth="1"/>
    <col min="9" max="9" width="15.5703125" style="7" customWidth="1"/>
    <col min="10" max="10" width="13.7109375" style="7" customWidth="1"/>
    <col min="11" max="12" width="12.5703125" style="7" customWidth="1"/>
    <col min="13" max="13" width="12.7109375" style="7" customWidth="1"/>
    <col min="14" max="14" width="12.42578125" style="7" customWidth="1"/>
    <col min="15" max="15" width="14.28515625" style="7" customWidth="1"/>
    <col min="16" max="18" width="11.7109375" style="7" customWidth="1"/>
    <col min="19" max="19" width="8.7109375" style="7" customWidth="1"/>
    <col min="20" max="20" width="16.140625" style="7" bestFit="1" customWidth="1"/>
    <col min="21" max="21" width="7.140625" style="7" bestFit="1" customWidth="1"/>
    <col min="22" max="22" width="6.28515625" style="7" bestFit="1" customWidth="1"/>
    <col min="23" max="23" width="3.5703125" style="7" bestFit="1" customWidth="1"/>
    <col min="24" max="24" width="2.5703125" style="7" bestFit="1" customWidth="1"/>
    <col min="25" max="25" width="7.28515625" style="7" bestFit="1" customWidth="1"/>
    <col min="26" max="26" width="1.5703125" style="7" bestFit="1" customWidth="1"/>
    <col min="27" max="27" width="255.7109375" style="7" bestFit="1" customWidth="1"/>
    <col min="28" max="28" width="7.5703125" style="7" customWidth="1"/>
    <col min="29" max="29" width="11.7109375" style="7" customWidth="1"/>
    <col min="30" max="30" width="6.7109375" style="7" customWidth="1"/>
    <col min="31" max="16384" width="11.42578125" style="7"/>
  </cols>
  <sheetData>
    <row r="1" spans="1:31" ht="18" x14ac:dyDescent="0.25">
      <c r="F1" s="376" t="s">
        <v>0</v>
      </c>
      <c r="G1" s="377"/>
    </row>
    <row r="2" spans="1:31" ht="25.5" customHeight="1" x14ac:dyDescent="0.35">
      <c r="A2" s="58"/>
      <c r="B2" s="58"/>
      <c r="C2" s="58"/>
      <c r="D2" s="58"/>
      <c r="E2" s="58"/>
      <c r="F2" s="60" t="s">
        <v>1</v>
      </c>
      <c r="G2" s="60">
        <v>2022</v>
      </c>
      <c r="H2" s="92" t="s">
        <v>2</v>
      </c>
      <c r="I2" s="92" t="s">
        <v>3</v>
      </c>
      <c r="J2" s="92" t="s">
        <v>4</v>
      </c>
      <c r="K2" s="92" t="s">
        <v>5</v>
      </c>
      <c r="L2" s="92" t="s">
        <v>6</v>
      </c>
      <c r="M2" s="92" t="s">
        <v>7</v>
      </c>
      <c r="N2" s="92" t="s">
        <v>8</v>
      </c>
      <c r="O2" s="92" t="s">
        <v>9</v>
      </c>
      <c r="P2" s="92" t="s">
        <v>10</v>
      </c>
      <c r="Q2" s="92" t="s">
        <v>11</v>
      </c>
      <c r="R2" s="92" t="s">
        <v>12</v>
      </c>
      <c r="S2" s="92" t="s">
        <v>13</v>
      </c>
      <c r="T2" s="92" t="s">
        <v>14</v>
      </c>
      <c r="U2" s="108" t="s">
        <v>15</v>
      </c>
      <c r="V2"/>
      <c r="W2"/>
      <c r="X2"/>
      <c r="Y2"/>
      <c r="Z2"/>
      <c r="AA2"/>
      <c r="AB2"/>
      <c r="AC2"/>
      <c r="AD2"/>
    </row>
    <row r="3" spans="1:31" ht="18.75" customHeight="1" x14ac:dyDescent="0.25">
      <c r="A3" s="63" t="s">
        <v>1</v>
      </c>
      <c r="B3" s="63"/>
      <c r="C3" s="63"/>
      <c r="D3" s="63"/>
      <c r="E3" s="63"/>
      <c r="F3" s="64" t="s">
        <v>16</v>
      </c>
      <c r="G3" s="22"/>
      <c r="H3" s="22"/>
      <c r="I3" s="61"/>
      <c r="J3" s="61"/>
      <c r="K3" s="61"/>
      <c r="L3" s="61"/>
      <c r="M3" s="61"/>
      <c r="N3" s="61"/>
      <c r="O3" s="61"/>
      <c r="P3" s="61"/>
      <c r="Q3" s="61"/>
      <c r="R3" s="61"/>
      <c r="S3" s="22"/>
      <c r="T3" s="22"/>
      <c r="U3" s="61"/>
      <c r="V3"/>
      <c r="W3"/>
      <c r="X3"/>
      <c r="Y3"/>
      <c r="Z3"/>
      <c r="AA3"/>
      <c r="AB3"/>
      <c r="AC3"/>
      <c r="AD3"/>
    </row>
    <row r="4" spans="1:31" ht="15" x14ac:dyDescent="0.25">
      <c r="A4" s="65">
        <v>1</v>
      </c>
      <c r="B4" s="65"/>
      <c r="C4" s="65"/>
      <c r="D4" s="65"/>
      <c r="E4" s="65"/>
      <c r="F4" s="62" t="s">
        <v>17</v>
      </c>
      <c r="G4" s="45">
        <f t="shared" ref="G4" si="0">+G53+G63+G73+G83</f>
        <v>13800000</v>
      </c>
      <c r="H4" s="45">
        <f t="shared" ref="H4:S4" si="1">+H53+H63+H73+H83</f>
        <v>1281741</v>
      </c>
      <c r="I4" s="45">
        <f t="shared" si="1"/>
        <v>1193057</v>
      </c>
      <c r="J4" s="45">
        <f t="shared" si="1"/>
        <v>1203749</v>
      </c>
      <c r="K4" s="45">
        <f t="shared" si="1"/>
        <v>1106127</v>
      </c>
      <c r="L4" s="45">
        <f t="shared" si="1"/>
        <v>1324089</v>
      </c>
      <c r="M4" s="45">
        <f t="shared" si="1"/>
        <v>970358</v>
      </c>
      <c r="N4" s="45">
        <f t="shared" si="1"/>
        <v>1173397</v>
      </c>
      <c r="O4" s="45">
        <f t="shared" si="1"/>
        <v>1152826</v>
      </c>
      <c r="P4" s="45">
        <f t="shared" si="1"/>
        <v>1112884</v>
      </c>
      <c r="Q4" s="45">
        <f t="shared" si="1"/>
        <v>1083908</v>
      </c>
      <c r="R4" s="45">
        <f t="shared" si="1"/>
        <v>1143905</v>
      </c>
      <c r="S4" s="45">
        <f t="shared" si="1"/>
        <v>0</v>
      </c>
      <c r="T4" s="44">
        <f t="shared" ref="T4:T11" si="2">SUM(H4:S4)</f>
        <v>12746041</v>
      </c>
      <c r="U4" s="110">
        <f t="shared" ref="U4:U47" si="3">+T4/G4</f>
        <v>0.92362615942028981</v>
      </c>
      <c r="V4" t="s">
        <v>1</v>
      </c>
      <c r="W4" t="s">
        <v>1</v>
      </c>
      <c r="X4"/>
      <c r="Y4"/>
      <c r="Z4"/>
      <c r="AA4"/>
      <c r="AB4"/>
      <c r="AC4"/>
      <c r="AD4"/>
      <c r="AE4"/>
    </row>
    <row r="5" spans="1:31" ht="15" x14ac:dyDescent="0.25">
      <c r="A5" s="65">
        <v>2</v>
      </c>
      <c r="B5" s="65"/>
      <c r="C5" s="65"/>
      <c r="D5" s="65"/>
      <c r="E5" s="65"/>
      <c r="F5" s="62" t="s">
        <v>18</v>
      </c>
      <c r="G5" s="45">
        <f t="shared" ref="G5" si="4">+G56+G66+G76+G85</f>
        <v>3200000</v>
      </c>
      <c r="H5" s="45">
        <f t="shared" ref="H5:S5" si="5">+H56+H66+H76+H85</f>
        <v>1380681</v>
      </c>
      <c r="I5" s="45">
        <f t="shared" si="5"/>
        <v>29130</v>
      </c>
      <c r="J5" s="45">
        <f t="shared" si="5"/>
        <v>1495</v>
      </c>
      <c r="K5" s="45">
        <f t="shared" si="5"/>
        <v>3955</v>
      </c>
      <c r="L5" s="45">
        <f t="shared" si="5"/>
        <v>17342</v>
      </c>
      <c r="M5" s="45">
        <f t="shared" si="5"/>
        <v>175585</v>
      </c>
      <c r="N5" s="45">
        <f t="shared" si="5"/>
        <v>1301262</v>
      </c>
      <c r="O5" s="45">
        <f t="shared" si="5"/>
        <v>28235</v>
      </c>
      <c r="P5" s="45">
        <f t="shared" si="5"/>
        <v>3375</v>
      </c>
      <c r="Q5" s="45">
        <f t="shared" si="5"/>
        <v>13730</v>
      </c>
      <c r="R5" s="45">
        <f t="shared" si="5"/>
        <v>34365</v>
      </c>
      <c r="S5" s="45">
        <f t="shared" si="5"/>
        <v>0</v>
      </c>
      <c r="T5" s="44">
        <f t="shared" si="2"/>
        <v>2989155</v>
      </c>
      <c r="U5" s="110">
        <f t="shared" si="3"/>
        <v>0.93411093749999996</v>
      </c>
      <c r="V5" t="s">
        <v>1</v>
      </c>
      <c r="W5"/>
      <c r="X5"/>
      <c r="Y5"/>
      <c r="Z5"/>
      <c r="AA5"/>
      <c r="AB5"/>
      <c r="AC5"/>
      <c r="AD5"/>
      <c r="AE5"/>
    </row>
    <row r="6" spans="1:31" ht="15" x14ac:dyDescent="0.25">
      <c r="A6" s="65">
        <v>3</v>
      </c>
      <c r="B6" s="65"/>
      <c r="C6" s="65"/>
      <c r="D6" s="65"/>
      <c r="E6" s="65"/>
      <c r="F6" s="62" t="s">
        <v>19</v>
      </c>
      <c r="G6" s="45">
        <f>+G89</f>
        <v>3550000</v>
      </c>
      <c r="H6" s="45">
        <f>+H89</f>
        <v>168860</v>
      </c>
      <c r="I6" s="45">
        <f t="shared" ref="I6:S6" si="6">+I89</f>
        <v>439881</v>
      </c>
      <c r="J6" s="45">
        <f t="shared" si="6"/>
        <v>271846</v>
      </c>
      <c r="K6" s="45">
        <f t="shared" si="6"/>
        <v>309021</v>
      </c>
      <c r="L6" s="45">
        <f t="shared" si="6"/>
        <v>275840</v>
      </c>
      <c r="M6" s="45">
        <f t="shared" si="6"/>
        <v>202269</v>
      </c>
      <c r="N6" s="45">
        <f t="shared" si="6"/>
        <v>304204</v>
      </c>
      <c r="O6" s="45">
        <f t="shared" si="6"/>
        <v>339716</v>
      </c>
      <c r="P6" s="45">
        <f t="shared" si="6"/>
        <v>283036</v>
      </c>
      <c r="Q6" s="45">
        <f t="shared" si="6"/>
        <v>300165</v>
      </c>
      <c r="R6" s="45">
        <f t="shared" si="6"/>
        <v>320385</v>
      </c>
      <c r="S6" s="45">
        <f t="shared" si="6"/>
        <v>0</v>
      </c>
      <c r="T6" s="44">
        <f t="shared" si="2"/>
        <v>3215223</v>
      </c>
      <c r="U6" s="110">
        <f t="shared" si="3"/>
        <v>0.90569661971830984</v>
      </c>
      <c r="V6"/>
      <c r="W6"/>
      <c r="X6"/>
      <c r="Y6"/>
      <c r="Z6"/>
      <c r="AA6"/>
      <c r="AB6"/>
      <c r="AC6"/>
      <c r="AD6"/>
      <c r="AE6"/>
    </row>
    <row r="7" spans="1:31" ht="16.5" customHeight="1" x14ac:dyDescent="0.25">
      <c r="A7" s="65">
        <v>4</v>
      </c>
      <c r="B7" s="65"/>
      <c r="C7" s="65"/>
      <c r="D7" s="65"/>
      <c r="E7" s="65"/>
      <c r="F7" s="62" t="s">
        <v>20</v>
      </c>
      <c r="G7" s="45">
        <f t="shared" ref="G7:H7" si="7">+G99</f>
        <v>700000</v>
      </c>
      <c r="H7" s="45">
        <f t="shared" si="7"/>
        <v>3520</v>
      </c>
      <c r="I7" s="45">
        <f t="shared" ref="I7:S7" si="8">+I99</f>
        <v>29820</v>
      </c>
      <c r="J7" s="45">
        <f t="shared" si="8"/>
        <v>89279</v>
      </c>
      <c r="K7" s="45">
        <f t="shared" si="8"/>
        <v>63426</v>
      </c>
      <c r="L7" s="45">
        <f t="shared" si="8"/>
        <v>52699</v>
      </c>
      <c r="M7" s="45">
        <f t="shared" si="8"/>
        <v>15374</v>
      </c>
      <c r="N7" s="45">
        <f t="shared" si="8"/>
        <v>15105</v>
      </c>
      <c r="O7" s="45">
        <f t="shared" si="8"/>
        <v>30515</v>
      </c>
      <c r="P7" s="45">
        <f t="shared" si="8"/>
        <v>110080</v>
      </c>
      <c r="Q7" s="45">
        <f t="shared" si="8"/>
        <v>77355</v>
      </c>
      <c r="R7" s="45">
        <f t="shared" si="8"/>
        <v>58654</v>
      </c>
      <c r="S7" s="45">
        <f t="shared" si="8"/>
        <v>0</v>
      </c>
      <c r="T7" s="44">
        <f t="shared" si="2"/>
        <v>545827</v>
      </c>
      <c r="U7" s="110">
        <f t="shared" si="3"/>
        <v>0.77975285714285714</v>
      </c>
      <c r="V7"/>
      <c r="W7"/>
      <c r="X7"/>
      <c r="Y7"/>
      <c r="Z7"/>
      <c r="AA7"/>
      <c r="AB7"/>
      <c r="AC7"/>
      <c r="AD7"/>
      <c r="AE7"/>
    </row>
    <row r="8" spans="1:31" ht="15" x14ac:dyDescent="0.25">
      <c r="A8" s="65">
        <v>5</v>
      </c>
      <c r="B8" s="65"/>
      <c r="C8" s="65"/>
      <c r="D8" s="65"/>
      <c r="E8" s="65"/>
      <c r="F8" s="62" t="s">
        <v>21</v>
      </c>
      <c r="G8" s="45">
        <f t="shared" ref="G8:H8" si="9">+G111</f>
        <v>1125000</v>
      </c>
      <c r="H8" s="45">
        <f t="shared" si="9"/>
        <v>98275</v>
      </c>
      <c r="I8" s="45">
        <f t="shared" ref="I8:S8" si="10">+I111</f>
        <v>77531</v>
      </c>
      <c r="J8" s="45">
        <f t="shared" si="10"/>
        <v>93807</v>
      </c>
      <c r="K8" s="45">
        <f t="shared" si="10"/>
        <v>120796</v>
      </c>
      <c r="L8" s="45">
        <f t="shared" si="10"/>
        <v>93380</v>
      </c>
      <c r="M8" s="45">
        <f t="shared" si="10"/>
        <v>90226</v>
      </c>
      <c r="N8" s="45">
        <f t="shared" si="10"/>
        <v>85114</v>
      </c>
      <c r="O8" s="45">
        <f t="shared" si="10"/>
        <v>91892</v>
      </c>
      <c r="P8" s="45">
        <f t="shared" si="10"/>
        <v>92670</v>
      </c>
      <c r="Q8" s="45">
        <f t="shared" si="10"/>
        <v>159319</v>
      </c>
      <c r="R8" s="45">
        <f t="shared" si="10"/>
        <v>96616</v>
      </c>
      <c r="S8" s="45">
        <f t="shared" si="10"/>
        <v>0</v>
      </c>
      <c r="T8" s="44">
        <f t="shared" si="2"/>
        <v>1099626</v>
      </c>
      <c r="U8" s="110">
        <f t="shared" si="3"/>
        <v>0.97744533333333339</v>
      </c>
      <c r="V8"/>
      <c r="W8"/>
      <c r="X8"/>
      <c r="Y8"/>
      <c r="Z8"/>
      <c r="AA8"/>
      <c r="AB8"/>
      <c r="AC8"/>
      <c r="AD8"/>
      <c r="AE8"/>
    </row>
    <row r="9" spans="1:31" ht="15" x14ac:dyDescent="0.25">
      <c r="A9" s="65">
        <v>6</v>
      </c>
      <c r="B9" s="65"/>
      <c r="C9" s="65"/>
      <c r="D9" s="65"/>
      <c r="E9" s="65"/>
      <c r="F9" s="62" t="s">
        <v>22</v>
      </c>
      <c r="G9" s="45">
        <f t="shared" ref="G9:S9" si="11">+G59+G69+G79+G87</f>
        <v>600000</v>
      </c>
      <c r="H9" s="45">
        <f t="shared" si="11"/>
        <v>31112</v>
      </c>
      <c r="I9" s="45">
        <f t="shared" si="11"/>
        <v>29658</v>
      </c>
      <c r="J9" s="45">
        <f t="shared" si="11"/>
        <v>40661</v>
      </c>
      <c r="K9" s="45">
        <f t="shared" si="11"/>
        <v>54027</v>
      </c>
      <c r="L9" s="45">
        <f t="shared" si="11"/>
        <v>36243</v>
      </c>
      <c r="M9" s="45">
        <f t="shared" si="11"/>
        <v>35811</v>
      </c>
      <c r="N9" s="45">
        <f t="shared" si="11"/>
        <v>30193</v>
      </c>
      <c r="O9" s="45">
        <f t="shared" si="11"/>
        <v>40665</v>
      </c>
      <c r="P9" s="45">
        <f t="shared" si="11"/>
        <v>54310</v>
      </c>
      <c r="Q9" s="45">
        <f t="shared" si="11"/>
        <v>54113</v>
      </c>
      <c r="R9" s="45">
        <f t="shared" si="11"/>
        <v>35377</v>
      </c>
      <c r="S9" s="45">
        <f t="shared" si="11"/>
        <v>0</v>
      </c>
      <c r="T9" s="44">
        <f t="shared" si="2"/>
        <v>442170</v>
      </c>
      <c r="U9" s="110">
        <f t="shared" si="3"/>
        <v>0.73694999999999999</v>
      </c>
      <c r="V9"/>
      <c r="W9"/>
      <c r="X9"/>
      <c r="Y9"/>
      <c r="Z9"/>
      <c r="AA9"/>
      <c r="AB9"/>
      <c r="AC9"/>
      <c r="AD9"/>
      <c r="AE9"/>
    </row>
    <row r="10" spans="1:31" ht="14.25" customHeight="1" x14ac:dyDescent="0.25">
      <c r="A10" s="65">
        <v>7</v>
      </c>
      <c r="B10" s="65"/>
      <c r="C10" s="65"/>
      <c r="D10" s="65"/>
      <c r="E10" s="65"/>
      <c r="F10" s="62" t="s">
        <v>23</v>
      </c>
      <c r="G10" s="45">
        <f>+G182</f>
        <v>50000</v>
      </c>
      <c r="H10" s="45">
        <f>+H182</f>
        <v>0</v>
      </c>
      <c r="I10" s="45">
        <f t="shared" ref="I10:S10" si="12">+I182</f>
        <v>9000</v>
      </c>
      <c r="J10" s="45">
        <f t="shared" si="12"/>
        <v>5750</v>
      </c>
      <c r="K10" s="45">
        <f t="shared" si="12"/>
        <v>0</v>
      </c>
      <c r="L10" s="45">
        <f t="shared" si="12"/>
        <v>5750</v>
      </c>
      <c r="M10" s="45">
        <f t="shared" si="12"/>
        <v>0</v>
      </c>
      <c r="N10" s="45">
        <f t="shared" si="12"/>
        <v>0</v>
      </c>
      <c r="O10" s="45">
        <f t="shared" si="12"/>
        <v>0</v>
      </c>
      <c r="P10" s="45">
        <f t="shared" si="12"/>
        <v>0</v>
      </c>
      <c r="Q10" s="45">
        <f t="shared" si="12"/>
        <v>0</v>
      </c>
      <c r="R10" s="45">
        <f t="shared" si="12"/>
        <v>0</v>
      </c>
      <c r="S10" s="45">
        <f t="shared" si="12"/>
        <v>0</v>
      </c>
      <c r="T10" s="44">
        <f t="shared" si="2"/>
        <v>20500</v>
      </c>
      <c r="U10" s="110">
        <f t="shared" si="3"/>
        <v>0.41</v>
      </c>
      <c r="V10"/>
      <c r="AC10"/>
    </row>
    <row r="11" spans="1:31" ht="15" x14ac:dyDescent="0.25">
      <c r="A11" s="65">
        <v>8</v>
      </c>
      <c r="B11" s="65"/>
      <c r="C11" s="65"/>
      <c r="D11" s="65"/>
      <c r="E11" s="65"/>
      <c r="F11" s="66" t="s">
        <v>24</v>
      </c>
      <c r="G11" s="46">
        <f t="shared" ref="G11:S11" si="13">+G188</f>
        <v>105000</v>
      </c>
      <c r="H11" s="46">
        <f t="shared" si="13"/>
        <v>12574</v>
      </c>
      <c r="I11" s="46">
        <f t="shared" si="13"/>
        <v>15747</v>
      </c>
      <c r="J11" s="46">
        <f t="shared" si="13"/>
        <v>17231</v>
      </c>
      <c r="K11" s="46">
        <f t="shared" si="13"/>
        <v>13550</v>
      </c>
      <c r="L11" s="127">
        <f t="shared" si="13"/>
        <v>30804</v>
      </c>
      <c r="M11" s="46">
        <f t="shared" si="13"/>
        <v>22243</v>
      </c>
      <c r="N11" s="117">
        <f t="shared" si="13"/>
        <v>38336</v>
      </c>
      <c r="O11" s="46">
        <f t="shared" si="13"/>
        <v>21433</v>
      </c>
      <c r="P11" s="46">
        <f t="shared" si="13"/>
        <v>21048</v>
      </c>
      <c r="Q11" s="46">
        <f t="shared" si="13"/>
        <v>32054</v>
      </c>
      <c r="R11" s="46">
        <f t="shared" si="13"/>
        <v>17582</v>
      </c>
      <c r="S11" s="46">
        <f t="shared" si="13"/>
        <v>0</v>
      </c>
      <c r="T11" s="44">
        <f t="shared" si="2"/>
        <v>242602</v>
      </c>
      <c r="U11" s="110">
        <f t="shared" si="3"/>
        <v>2.3104952380952382</v>
      </c>
      <c r="V11"/>
      <c r="W11"/>
      <c r="AA11"/>
      <c r="AB11"/>
      <c r="AC11"/>
      <c r="AD11"/>
    </row>
    <row r="12" spans="1:31" ht="18.75" customHeight="1" x14ac:dyDescent="0.25">
      <c r="A12" s="67"/>
      <c r="B12" s="67"/>
      <c r="C12" s="67"/>
      <c r="D12" s="67"/>
      <c r="E12" s="67"/>
      <c r="F12" s="68" t="s">
        <v>25</v>
      </c>
      <c r="G12" s="24">
        <f t="shared" ref="G12:T12" si="14">SUM(G4:G11)</f>
        <v>23130000</v>
      </c>
      <c r="H12" s="24">
        <f t="shared" si="14"/>
        <v>2976763</v>
      </c>
      <c r="I12" s="24">
        <f t="shared" si="14"/>
        <v>1823824</v>
      </c>
      <c r="J12" s="24">
        <f t="shared" si="14"/>
        <v>1723818</v>
      </c>
      <c r="K12" s="24">
        <f t="shared" si="14"/>
        <v>1670902</v>
      </c>
      <c r="L12" s="24">
        <f t="shared" si="14"/>
        <v>1836147</v>
      </c>
      <c r="M12" s="24">
        <f t="shared" si="14"/>
        <v>1511866</v>
      </c>
      <c r="N12" s="24">
        <f t="shared" si="14"/>
        <v>2947611</v>
      </c>
      <c r="O12" s="24">
        <f t="shared" si="14"/>
        <v>1705282</v>
      </c>
      <c r="P12" s="24">
        <f t="shared" si="14"/>
        <v>1677403</v>
      </c>
      <c r="Q12" s="24">
        <f t="shared" si="14"/>
        <v>1720644</v>
      </c>
      <c r="R12" s="24">
        <f t="shared" si="14"/>
        <v>1706884</v>
      </c>
      <c r="S12" s="24">
        <f t="shared" si="14"/>
        <v>0</v>
      </c>
      <c r="T12" s="24">
        <f t="shared" si="14"/>
        <v>21301144</v>
      </c>
      <c r="U12" s="109">
        <f t="shared" si="3"/>
        <v>0.92093143104193687</v>
      </c>
      <c r="V12" s="8"/>
      <c r="W12"/>
    </row>
    <row r="13" spans="1:31" ht="15" x14ac:dyDescent="0.25">
      <c r="A13" s="65">
        <v>1</v>
      </c>
      <c r="B13" s="65"/>
      <c r="C13" s="65"/>
      <c r="D13" s="65"/>
      <c r="E13" s="65"/>
      <c r="F13" s="62" t="s">
        <v>26</v>
      </c>
      <c r="G13" s="44">
        <f>+G201</f>
        <v>2500000</v>
      </c>
      <c r="H13" s="44">
        <f>+H201</f>
        <v>226178</v>
      </c>
      <c r="I13" s="44">
        <f t="shared" ref="I13:S13" si="15">+I201</f>
        <v>225048</v>
      </c>
      <c r="J13" s="44">
        <f t="shared" si="15"/>
        <v>224830</v>
      </c>
      <c r="K13" s="44">
        <f t="shared" si="15"/>
        <v>224830</v>
      </c>
      <c r="L13" s="44">
        <f t="shared" si="15"/>
        <v>224830</v>
      </c>
      <c r="M13" s="44">
        <f t="shared" si="15"/>
        <v>206968</v>
      </c>
      <c r="N13" s="44">
        <f t="shared" si="15"/>
        <v>204708</v>
      </c>
      <c r="O13" s="44">
        <f t="shared" si="15"/>
        <v>209160</v>
      </c>
      <c r="P13" s="44">
        <f t="shared" si="15"/>
        <v>187113</v>
      </c>
      <c r="Q13" s="44">
        <f t="shared" si="15"/>
        <v>223538</v>
      </c>
      <c r="R13" s="44">
        <f t="shared" si="15"/>
        <v>156430</v>
      </c>
      <c r="S13" s="44">
        <f t="shared" si="15"/>
        <v>0</v>
      </c>
      <c r="T13" s="44">
        <f t="shared" ref="T13:T37" si="16">SUM(H13:S13)</f>
        <v>2313633</v>
      </c>
      <c r="U13" s="110">
        <f t="shared" si="3"/>
        <v>0.92545319999999998</v>
      </c>
      <c r="V13" s="300"/>
      <c r="W13" s="91"/>
    </row>
    <row r="14" spans="1:31" ht="15" x14ac:dyDescent="0.25">
      <c r="A14" s="65">
        <f>+A13+1</f>
        <v>2</v>
      </c>
      <c r="B14" s="65"/>
      <c r="C14" s="65"/>
      <c r="D14" s="65"/>
      <c r="E14" s="65"/>
      <c r="F14" s="62" t="s">
        <v>27</v>
      </c>
      <c r="G14" s="44">
        <f>+G218</f>
        <v>2100000</v>
      </c>
      <c r="H14" s="44">
        <f>+H218</f>
        <v>209690</v>
      </c>
      <c r="I14" s="44">
        <f t="shared" ref="I14:S14" si="17">+I218</f>
        <v>130310</v>
      </c>
      <c r="J14" s="44">
        <f t="shared" si="17"/>
        <v>169487</v>
      </c>
      <c r="K14" s="44">
        <f t="shared" si="17"/>
        <v>167163</v>
      </c>
      <c r="L14" s="44">
        <f t="shared" si="17"/>
        <v>169243</v>
      </c>
      <c r="M14" s="44">
        <f t="shared" si="17"/>
        <v>166225</v>
      </c>
      <c r="N14" s="44">
        <f t="shared" si="17"/>
        <v>171579</v>
      </c>
      <c r="O14" s="44">
        <f t="shared" si="17"/>
        <v>176846</v>
      </c>
      <c r="P14" s="44">
        <f t="shared" si="17"/>
        <v>171409</v>
      </c>
      <c r="Q14" s="44">
        <f t="shared" si="17"/>
        <v>158080</v>
      </c>
      <c r="R14" s="44">
        <f t="shared" si="17"/>
        <v>162635</v>
      </c>
      <c r="S14" s="44">
        <f t="shared" si="17"/>
        <v>0</v>
      </c>
      <c r="T14" s="44">
        <f t="shared" si="16"/>
        <v>1852667</v>
      </c>
      <c r="U14" s="110">
        <f t="shared" si="3"/>
        <v>0.88222238095238092</v>
      </c>
      <c r="V14" s="300"/>
      <c r="W14" s="91"/>
      <c r="X14"/>
    </row>
    <row r="15" spans="1:31" ht="12.75" customHeight="1" x14ac:dyDescent="0.25">
      <c r="A15" s="65">
        <f t="shared" ref="A15:A46" si="18">+A14+1</f>
        <v>3</v>
      </c>
      <c r="B15" s="65"/>
      <c r="C15" s="65"/>
      <c r="D15" s="65"/>
      <c r="E15" s="65"/>
      <c r="F15" s="62" t="s">
        <v>28</v>
      </c>
      <c r="G15" s="44">
        <f>+G223</f>
        <v>2220000</v>
      </c>
      <c r="H15" s="44">
        <f>+H223</f>
        <v>173677</v>
      </c>
      <c r="I15" s="44">
        <f t="shared" ref="I15:S15" si="19">+I223</f>
        <v>172947</v>
      </c>
      <c r="J15" s="44">
        <f t="shared" si="19"/>
        <v>172083</v>
      </c>
      <c r="K15" s="44">
        <f t="shared" si="19"/>
        <v>183826</v>
      </c>
      <c r="L15" s="44">
        <f t="shared" si="19"/>
        <v>173230</v>
      </c>
      <c r="M15" s="44">
        <f t="shared" si="19"/>
        <v>170391</v>
      </c>
      <c r="N15" s="44">
        <f t="shared" si="19"/>
        <v>174964</v>
      </c>
      <c r="O15" s="44">
        <f t="shared" si="19"/>
        <v>184404</v>
      </c>
      <c r="P15" s="44">
        <f t="shared" si="19"/>
        <v>207290</v>
      </c>
      <c r="Q15" s="44">
        <f t="shared" si="19"/>
        <v>207184</v>
      </c>
      <c r="R15" s="44">
        <f t="shared" si="19"/>
        <v>202806</v>
      </c>
      <c r="S15" s="44">
        <f t="shared" si="19"/>
        <v>0</v>
      </c>
      <c r="T15" s="44">
        <f t="shared" si="16"/>
        <v>2022802</v>
      </c>
      <c r="U15" s="110">
        <f t="shared" si="3"/>
        <v>0.91117207207207207</v>
      </c>
      <c r="V15" s="300"/>
      <c r="W15" s="91"/>
      <c r="X15"/>
      <c r="Y15"/>
      <c r="Z15"/>
    </row>
    <row r="16" spans="1:31" ht="15" x14ac:dyDescent="0.25">
      <c r="A16" s="65">
        <f t="shared" si="18"/>
        <v>4</v>
      </c>
      <c r="B16" s="65"/>
      <c r="C16" s="65"/>
      <c r="D16" s="65"/>
      <c r="E16" s="65"/>
      <c r="F16" s="62" t="s">
        <v>29</v>
      </c>
      <c r="G16" s="44">
        <f>+G235</f>
        <v>1385000</v>
      </c>
      <c r="H16" s="44">
        <f>+H235</f>
        <v>112531</v>
      </c>
      <c r="I16" s="44">
        <f t="shared" ref="I16:S16" si="20">+I235</f>
        <v>109280</v>
      </c>
      <c r="J16" s="44">
        <f t="shared" si="20"/>
        <v>109899</v>
      </c>
      <c r="K16" s="44">
        <f t="shared" si="20"/>
        <v>115649</v>
      </c>
      <c r="L16" s="44">
        <f t="shared" si="20"/>
        <v>109172</v>
      </c>
      <c r="M16" s="44">
        <f t="shared" si="20"/>
        <v>108651</v>
      </c>
      <c r="N16" s="44">
        <f t="shared" si="20"/>
        <v>109317</v>
      </c>
      <c r="O16" s="44">
        <f t="shared" si="20"/>
        <v>118402</v>
      </c>
      <c r="P16" s="44">
        <f t="shared" si="20"/>
        <v>109647</v>
      </c>
      <c r="Q16" s="44">
        <f t="shared" si="20"/>
        <v>109559</v>
      </c>
      <c r="R16" s="44">
        <f t="shared" si="20"/>
        <v>108911</v>
      </c>
      <c r="S16" s="44">
        <f t="shared" si="20"/>
        <v>0</v>
      </c>
      <c r="T16" s="44">
        <f t="shared" si="16"/>
        <v>1221018</v>
      </c>
      <c r="U16" s="110">
        <f t="shared" si="3"/>
        <v>0.8816014440433213</v>
      </c>
      <c r="V16" s="300"/>
      <c r="W16" s="91"/>
      <c r="X16"/>
      <c r="Y16"/>
      <c r="Z16"/>
      <c r="AA16" t="s">
        <v>30</v>
      </c>
      <c r="AB16"/>
      <c r="AC16"/>
      <c r="AD16"/>
    </row>
    <row r="17" spans="1:30" ht="15" x14ac:dyDescent="0.25">
      <c r="A17" s="65">
        <f t="shared" si="18"/>
        <v>5</v>
      </c>
      <c r="B17" s="65"/>
      <c r="C17" s="65"/>
      <c r="D17" s="65"/>
      <c r="E17" s="65"/>
      <c r="F17" s="62" t="s">
        <v>31</v>
      </c>
      <c r="G17" s="44">
        <f>+G251</f>
        <v>1300000</v>
      </c>
      <c r="H17" s="44">
        <f>+H251</f>
        <v>94779</v>
      </c>
      <c r="I17" s="44">
        <f t="shared" ref="I17:S17" si="21">+I251</f>
        <v>94339</v>
      </c>
      <c r="J17" s="44">
        <f t="shared" si="21"/>
        <v>95110</v>
      </c>
      <c r="K17" s="44">
        <f t="shared" si="21"/>
        <v>103894</v>
      </c>
      <c r="L17" s="44">
        <f t="shared" si="21"/>
        <v>95061</v>
      </c>
      <c r="M17" s="44">
        <f t="shared" si="21"/>
        <v>94561</v>
      </c>
      <c r="N17" s="44">
        <f t="shared" si="21"/>
        <v>94537</v>
      </c>
      <c r="O17" s="44">
        <f t="shared" si="21"/>
        <v>106122</v>
      </c>
      <c r="P17" s="44">
        <f t="shared" si="21"/>
        <v>95464</v>
      </c>
      <c r="Q17" s="44">
        <f t="shared" si="21"/>
        <v>100019</v>
      </c>
      <c r="R17" s="44">
        <f t="shared" si="21"/>
        <v>92414</v>
      </c>
      <c r="S17" s="44">
        <f t="shared" si="21"/>
        <v>0</v>
      </c>
      <c r="T17" s="44">
        <f t="shared" si="16"/>
        <v>1066300</v>
      </c>
      <c r="U17" s="110">
        <f t="shared" si="3"/>
        <v>0.82023076923076921</v>
      </c>
      <c r="V17" s="300"/>
      <c r="W17" s="91"/>
      <c r="X17"/>
      <c r="Y17"/>
      <c r="Z17"/>
      <c r="AA17"/>
      <c r="AB17"/>
      <c r="AC17"/>
      <c r="AD17"/>
    </row>
    <row r="18" spans="1:30" ht="15" x14ac:dyDescent="0.25">
      <c r="A18" s="65">
        <f t="shared" si="18"/>
        <v>6</v>
      </c>
      <c r="B18" s="65"/>
      <c r="C18" s="65"/>
      <c r="D18" s="65"/>
      <c r="E18" s="65"/>
      <c r="F18" s="62" t="s">
        <v>32</v>
      </c>
      <c r="G18" s="44">
        <f>+G256</f>
        <v>1550000</v>
      </c>
      <c r="H18" s="44">
        <f>+H256</f>
        <v>0</v>
      </c>
      <c r="I18" s="44">
        <f t="shared" ref="I18:S18" si="22">+I256</f>
        <v>75528</v>
      </c>
      <c r="J18" s="44">
        <f t="shared" si="22"/>
        <v>160117</v>
      </c>
      <c r="K18" s="44">
        <f t="shared" si="22"/>
        <v>182067</v>
      </c>
      <c r="L18" s="44">
        <f t="shared" si="22"/>
        <v>132554</v>
      </c>
      <c r="M18" s="44">
        <f t="shared" si="22"/>
        <v>168383</v>
      </c>
      <c r="N18" s="44">
        <f t="shared" si="22"/>
        <v>126557</v>
      </c>
      <c r="O18" s="44">
        <f t="shared" si="22"/>
        <v>34770</v>
      </c>
      <c r="P18" s="44">
        <f t="shared" si="22"/>
        <v>166723</v>
      </c>
      <c r="Q18" s="44">
        <f t="shared" si="22"/>
        <v>150713</v>
      </c>
      <c r="R18" s="44">
        <f t="shared" si="22"/>
        <v>161356</v>
      </c>
      <c r="S18" s="44">
        <f t="shared" si="22"/>
        <v>0</v>
      </c>
      <c r="T18" s="44">
        <f t="shared" si="16"/>
        <v>1358768</v>
      </c>
      <c r="U18" s="110">
        <f t="shared" si="3"/>
        <v>0.87662451612903225</v>
      </c>
      <c r="V18" s="300"/>
      <c r="W18" s="91"/>
      <c r="X18"/>
      <c r="AA18"/>
      <c r="AB18"/>
      <c r="AC18"/>
    </row>
    <row r="19" spans="1:30" ht="15" x14ac:dyDescent="0.25">
      <c r="A19" s="65">
        <f t="shared" si="18"/>
        <v>7</v>
      </c>
      <c r="B19" s="65"/>
      <c r="C19" s="65"/>
      <c r="D19" s="65"/>
      <c r="E19" s="65"/>
      <c r="F19" s="62" t="s">
        <v>33</v>
      </c>
      <c r="G19" s="44">
        <f>+G261</f>
        <v>1956000</v>
      </c>
      <c r="H19" s="44">
        <f>+H261</f>
        <v>174769</v>
      </c>
      <c r="I19" s="44">
        <f t="shared" ref="I19:S19" si="23">+I261</f>
        <v>214329</v>
      </c>
      <c r="J19" s="44">
        <f t="shared" si="23"/>
        <v>243391</v>
      </c>
      <c r="K19" s="44">
        <f t="shared" si="23"/>
        <v>17552</v>
      </c>
      <c r="L19" s="44">
        <f t="shared" si="23"/>
        <v>82957</v>
      </c>
      <c r="M19" s="44">
        <f t="shared" si="23"/>
        <v>16765</v>
      </c>
      <c r="N19" s="44">
        <f t="shared" si="23"/>
        <v>334501</v>
      </c>
      <c r="O19" s="44">
        <f t="shared" si="23"/>
        <v>154139</v>
      </c>
      <c r="P19" s="44">
        <f t="shared" si="23"/>
        <v>154166</v>
      </c>
      <c r="Q19" s="44">
        <f t="shared" si="23"/>
        <v>153103</v>
      </c>
      <c r="R19" s="44">
        <f t="shared" si="23"/>
        <v>17180</v>
      </c>
      <c r="S19" s="44">
        <f t="shared" si="23"/>
        <v>0</v>
      </c>
      <c r="T19" s="44">
        <f>SUM(H19:S19)</f>
        <v>1562852</v>
      </c>
      <c r="U19" s="110">
        <f t="shared" si="3"/>
        <v>0.79900408997955008</v>
      </c>
      <c r="V19" s="300"/>
      <c r="W19" s="91"/>
      <c r="X19"/>
      <c r="AA19"/>
      <c r="AB19"/>
      <c r="AC19"/>
    </row>
    <row r="20" spans="1:30" ht="15" x14ac:dyDescent="0.25">
      <c r="A20" s="65">
        <f t="shared" si="18"/>
        <v>8</v>
      </c>
      <c r="B20" s="65"/>
      <c r="C20" s="65"/>
      <c r="D20" s="65"/>
      <c r="E20" s="65"/>
      <c r="F20" s="62" t="s">
        <v>34</v>
      </c>
      <c r="G20" s="44">
        <f>+G442</f>
        <v>600000</v>
      </c>
      <c r="H20" s="44">
        <f>+H442</f>
        <v>89115</v>
      </c>
      <c r="I20" s="44">
        <f t="shared" ref="I20:S20" si="24">+I442</f>
        <v>67740</v>
      </c>
      <c r="J20" s="44">
        <f t="shared" si="24"/>
        <v>64699</v>
      </c>
      <c r="K20" s="44">
        <f t="shared" si="24"/>
        <v>82259</v>
      </c>
      <c r="L20" s="117">
        <f t="shared" si="24"/>
        <v>135857</v>
      </c>
      <c r="M20" s="117">
        <f t="shared" si="24"/>
        <v>-295743</v>
      </c>
      <c r="N20" s="117">
        <f t="shared" si="24"/>
        <v>39786</v>
      </c>
      <c r="O20" s="117">
        <f t="shared" si="24"/>
        <v>45287</v>
      </c>
      <c r="P20" s="44">
        <f t="shared" si="24"/>
        <v>-54573</v>
      </c>
      <c r="Q20" s="44">
        <f t="shared" si="24"/>
        <v>44391</v>
      </c>
      <c r="R20" s="44">
        <f t="shared" si="24"/>
        <v>2344</v>
      </c>
      <c r="S20" s="44">
        <f t="shared" si="24"/>
        <v>0</v>
      </c>
      <c r="T20" s="117">
        <f t="shared" si="16"/>
        <v>221162</v>
      </c>
      <c r="U20" s="110">
        <f t="shared" si="3"/>
        <v>0.36860333333333334</v>
      </c>
      <c r="V20" s="300"/>
      <c r="W20" s="91"/>
    </row>
    <row r="21" spans="1:30" ht="15" x14ac:dyDescent="0.25">
      <c r="A21" s="65">
        <f t="shared" si="18"/>
        <v>9</v>
      </c>
      <c r="B21" s="65"/>
      <c r="C21" s="65"/>
      <c r="D21" s="65"/>
      <c r="E21" s="65"/>
      <c r="F21" s="62" t="s">
        <v>35</v>
      </c>
      <c r="G21" s="44">
        <f>+G556</f>
        <v>735000</v>
      </c>
      <c r="H21" s="44">
        <f>+H556</f>
        <v>52698</v>
      </c>
      <c r="I21" s="44">
        <f t="shared" ref="I21:S21" si="25">+I556</f>
        <v>68371</v>
      </c>
      <c r="J21" s="44">
        <f t="shared" si="25"/>
        <v>83885</v>
      </c>
      <c r="K21" s="44">
        <f t="shared" si="25"/>
        <v>50793</v>
      </c>
      <c r="L21" s="44">
        <f t="shared" si="25"/>
        <v>48756.997000000003</v>
      </c>
      <c r="M21" s="44">
        <f t="shared" si="25"/>
        <v>50399</v>
      </c>
      <c r="N21" s="44">
        <f t="shared" si="25"/>
        <v>60570</v>
      </c>
      <c r="O21" s="44">
        <f t="shared" si="25"/>
        <v>52942</v>
      </c>
      <c r="P21" s="44">
        <f t="shared" si="25"/>
        <v>93739</v>
      </c>
      <c r="Q21" s="44">
        <f t="shared" si="25"/>
        <v>86457</v>
      </c>
      <c r="R21" s="44">
        <f t="shared" si="25"/>
        <v>49737</v>
      </c>
      <c r="S21" s="44">
        <f t="shared" si="25"/>
        <v>0</v>
      </c>
      <c r="T21" s="44">
        <f t="shared" si="16"/>
        <v>698347.99699999997</v>
      </c>
      <c r="U21" s="110">
        <f t="shared" si="3"/>
        <v>0.95013332925170069</v>
      </c>
      <c r="V21" s="300"/>
      <c r="W21" s="91"/>
    </row>
    <row r="22" spans="1:30" ht="15" x14ac:dyDescent="0.25">
      <c r="A22" s="65">
        <f t="shared" si="18"/>
        <v>10</v>
      </c>
      <c r="B22" s="65"/>
      <c r="C22" s="65"/>
      <c r="D22" s="65"/>
      <c r="E22" s="65"/>
      <c r="F22" s="62" t="s">
        <v>36</v>
      </c>
      <c r="G22" s="44">
        <f>+G596</f>
        <v>600000</v>
      </c>
      <c r="H22" s="44">
        <f>+H596</f>
        <v>38556</v>
      </c>
      <c r="I22" s="44">
        <f t="shared" ref="I22:S22" si="26">+I596</f>
        <v>41456</v>
      </c>
      <c r="J22" s="44">
        <f t="shared" si="26"/>
        <v>52551</v>
      </c>
      <c r="K22" s="44">
        <f t="shared" si="26"/>
        <v>38983</v>
      </c>
      <c r="L22" s="44">
        <f t="shared" si="26"/>
        <v>41837</v>
      </c>
      <c r="M22" s="44">
        <f t="shared" si="26"/>
        <v>42519</v>
      </c>
      <c r="N22" s="44">
        <f t="shared" si="26"/>
        <v>61934</v>
      </c>
      <c r="O22" s="44">
        <f t="shared" si="26"/>
        <v>42012</v>
      </c>
      <c r="P22" s="44">
        <f t="shared" si="26"/>
        <v>46432</v>
      </c>
      <c r="Q22" s="44">
        <f t="shared" si="26"/>
        <v>45835.000000000007</v>
      </c>
      <c r="R22" s="44">
        <f t="shared" si="26"/>
        <v>50049</v>
      </c>
      <c r="S22" s="44">
        <f t="shared" si="26"/>
        <v>0</v>
      </c>
      <c r="T22" s="44">
        <f t="shared" si="16"/>
        <v>502164</v>
      </c>
      <c r="U22" s="110">
        <f t="shared" si="3"/>
        <v>0.83694000000000002</v>
      </c>
      <c r="V22" s="300"/>
      <c r="W22" s="91"/>
    </row>
    <row r="23" spans="1:30" ht="15" x14ac:dyDescent="0.25">
      <c r="A23" s="65">
        <f t="shared" si="18"/>
        <v>11</v>
      </c>
      <c r="B23" s="65"/>
      <c r="C23" s="65"/>
      <c r="D23" s="65"/>
      <c r="E23" s="65"/>
      <c r="F23" s="62" t="s">
        <v>37</v>
      </c>
      <c r="G23" s="44">
        <f>+G605</f>
        <v>775000</v>
      </c>
      <c r="H23" s="44">
        <f>+H605</f>
        <v>64336</v>
      </c>
      <c r="I23" s="44">
        <f t="shared" ref="I23:S23" si="27">+I605</f>
        <v>62266</v>
      </c>
      <c r="J23" s="44">
        <f t="shared" si="27"/>
        <v>62518</v>
      </c>
      <c r="K23" s="44">
        <f t="shared" si="27"/>
        <v>63484</v>
      </c>
      <c r="L23" s="44">
        <f t="shared" si="27"/>
        <v>62568</v>
      </c>
      <c r="M23" s="44">
        <f t="shared" si="27"/>
        <v>62679</v>
      </c>
      <c r="N23" s="44">
        <f t="shared" si="27"/>
        <v>62568</v>
      </c>
      <c r="O23" s="44">
        <f t="shared" si="27"/>
        <v>65798</v>
      </c>
      <c r="P23" s="44">
        <f t="shared" si="27"/>
        <v>106484</v>
      </c>
      <c r="Q23" s="44">
        <f t="shared" si="27"/>
        <v>98860</v>
      </c>
      <c r="R23" s="44">
        <f t="shared" si="27"/>
        <v>96895</v>
      </c>
      <c r="S23" s="44">
        <f t="shared" si="27"/>
        <v>0</v>
      </c>
      <c r="T23" s="44">
        <f t="shared" si="16"/>
        <v>808456</v>
      </c>
      <c r="U23" s="110">
        <f t="shared" si="3"/>
        <v>1.0431690322580645</v>
      </c>
      <c r="V23" s="300"/>
      <c r="W23" s="91"/>
    </row>
    <row r="24" spans="1:30" ht="15" x14ac:dyDescent="0.25">
      <c r="A24" s="65">
        <f t="shared" si="18"/>
        <v>12</v>
      </c>
      <c r="B24" s="65"/>
      <c r="C24" s="65"/>
      <c r="D24" s="65"/>
      <c r="E24" s="65"/>
      <c r="F24" s="62" t="s">
        <v>38</v>
      </c>
      <c r="G24" s="44">
        <f>+G624</f>
        <v>75000</v>
      </c>
      <c r="H24" s="44">
        <f>+H624</f>
        <v>4664</v>
      </c>
      <c r="I24" s="44">
        <f t="shared" ref="I24:S24" si="28">+I624</f>
        <v>4565</v>
      </c>
      <c r="J24" s="44">
        <f t="shared" si="28"/>
        <v>4630</v>
      </c>
      <c r="K24" s="44">
        <f t="shared" si="28"/>
        <v>6298</v>
      </c>
      <c r="L24" s="44">
        <f t="shared" si="28"/>
        <v>4525</v>
      </c>
      <c r="M24" s="44">
        <f t="shared" si="28"/>
        <v>4552</v>
      </c>
      <c r="N24" s="44">
        <f t="shared" si="28"/>
        <v>4542</v>
      </c>
      <c r="O24" s="44">
        <f t="shared" si="28"/>
        <v>4977</v>
      </c>
      <c r="P24" s="44">
        <f t="shared" si="28"/>
        <v>7104</v>
      </c>
      <c r="Q24" s="44">
        <f t="shared" si="28"/>
        <v>8866</v>
      </c>
      <c r="R24" s="44">
        <f t="shared" si="28"/>
        <v>7682</v>
      </c>
      <c r="S24" s="44">
        <f t="shared" si="28"/>
        <v>0</v>
      </c>
      <c r="T24" s="44">
        <f t="shared" si="16"/>
        <v>62405</v>
      </c>
      <c r="U24" s="110">
        <f t="shared" si="3"/>
        <v>0.83206666666666662</v>
      </c>
      <c r="V24" s="300"/>
      <c r="W24" s="91"/>
    </row>
    <row r="25" spans="1:30" ht="15" x14ac:dyDescent="0.25">
      <c r="A25" s="65">
        <f t="shared" si="18"/>
        <v>13</v>
      </c>
      <c r="B25" s="65"/>
      <c r="C25" s="65"/>
      <c r="D25" s="65"/>
      <c r="E25" s="65"/>
      <c r="F25" s="62" t="s">
        <v>39</v>
      </c>
      <c r="G25" s="44">
        <f>+G665</f>
        <v>925000</v>
      </c>
      <c r="H25" s="44">
        <f>+H665</f>
        <v>37651</v>
      </c>
      <c r="I25" s="44">
        <f t="shared" ref="I25:S25" si="29">+I665</f>
        <v>77141</v>
      </c>
      <c r="J25" s="44">
        <f t="shared" si="29"/>
        <v>72203</v>
      </c>
      <c r="K25" s="44">
        <f t="shared" si="29"/>
        <v>85874</v>
      </c>
      <c r="L25" s="44">
        <f t="shared" si="29"/>
        <v>75177</v>
      </c>
      <c r="M25" s="44">
        <f t="shared" si="29"/>
        <v>90211</v>
      </c>
      <c r="N25" s="44">
        <f t="shared" si="29"/>
        <v>83769</v>
      </c>
      <c r="O25" s="44">
        <f t="shared" si="29"/>
        <v>68113</v>
      </c>
      <c r="P25" s="44">
        <f t="shared" si="29"/>
        <v>76069</v>
      </c>
      <c r="Q25" s="44">
        <f t="shared" si="29"/>
        <v>89864</v>
      </c>
      <c r="R25" s="44">
        <f t="shared" si="29"/>
        <v>83388</v>
      </c>
      <c r="S25" s="44">
        <f t="shared" si="29"/>
        <v>0</v>
      </c>
      <c r="T25" s="44">
        <f t="shared" si="16"/>
        <v>839460</v>
      </c>
      <c r="U25" s="110">
        <f t="shared" si="3"/>
        <v>0.90752432432432428</v>
      </c>
      <c r="V25" s="300"/>
      <c r="W25" s="91"/>
    </row>
    <row r="26" spans="1:30" ht="15" x14ac:dyDescent="0.25">
      <c r="A26" s="65">
        <f t="shared" si="18"/>
        <v>14</v>
      </c>
      <c r="B26" s="65"/>
      <c r="C26" s="65"/>
      <c r="D26" s="65"/>
      <c r="E26" s="65"/>
      <c r="F26" s="62" t="s">
        <v>40</v>
      </c>
      <c r="G26" s="44">
        <f>+G744</f>
        <v>350000</v>
      </c>
      <c r="H26" s="44">
        <f>+H744</f>
        <v>29728</v>
      </c>
      <c r="I26" s="44">
        <f t="shared" ref="I26:S26" si="30">+I744</f>
        <v>35863</v>
      </c>
      <c r="J26" s="44">
        <f t="shared" si="30"/>
        <v>29583</v>
      </c>
      <c r="K26" s="44">
        <f t="shared" si="30"/>
        <v>26790</v>
      </c>
      <c r="L26" s="44">
        <f t="shared" si="30"/>
        <v>26709</v>
      </c>
      <c r="M26" s="44">
        <f t="shared" si="30"/>
        <v>28209</v>
      </c>
      <c r="N26" s="44">
        <f t="shared" si="30"/>
        <v>29115</v>
      </c>
      <c r="O26" s="44">
        <f t="shared" si="30"/>
        <v>26730</v>
      </c>
      <c r="P26" s="44">
        <f t="shared" si="30"/>
        <v>25729</v>
      </c>
      <c r="Q26" s="44">
        <f t="shared" si="30"/>
        <v>25729</v>
      </c>
      <c r="R26" s="44">
        <f t="shared" si="30"/>
        <v>25729</v>
      </c>
      <c r="S26" s="44">
        <f t="shared" si="30"/>
        <v>0</v>
      </c>
      <c r="T26" s="44">
        <f t="shared" si="16"/>
        <v>309914</v>
      </c>
      <c r="U26" s="110">
        <f t="shared" si="3"/>
        <v>0.88546857142857138</v>
      </c>
      <c r="V26" s="300"/>
      <c r="W26" s="91"/>
    </row>
    <row r="27" spans="1:30" ht="15" x14ac:dyDescent="0.25">
      <c r="A27" s="65">
        <f t="shared" si="18"/>
        <v>15</v>
      </c>
      <c r="B27" s="65"/>
      <c r="C27" s="65"/>
      <c r="D27" s="65"/>
      <c r="E27" s="65"/>
      <c r="F27" s="62" t="s">
        <v>41</v>
      </c>
      <c r="G27" s="44">
        <f>+G824</f>
        <v>745000</v>
      </c>
      <c r="H27" s="44">
        <f>+H824</f>
        <v>62045</v>
      </c>
      <c r="I27" s="44">
        <f t="shared" ref="I27:S27" si="31">+I824</f>
        <v>62085</v>
      </c>
      <c r="J27" s="44">
        <f t="shared" si="31"/>
        <v>62067</v>
      </c>
      <c r="K27" s="44">
        <f t="shared" si="31"/>
        <v>62052</v>
      </c>
      <c r="L27" s="44">
        <f t="shared" si="31"/>
        <v>62026</v>
      </c>
      <c r="M27" s="44">
        <f t="shared" si="31"/>
        <v>61816</v>
      </c>
      <c r="N27" s="44">
        <f t="shared" si="31"/>
        <v>67361</v>
      </c>
      <c r="O27" s="44">
        <f t="shared" si="31"/>
        <v>57563</v>
      </c>
      <c r="P27" s="44">
        <f t="shared" si="31"/>
        <v>85843</v>
      </c>
      <c r="Q27" s="44">
        <f t="shared" si="31"/>
        <v>86066</v>
      </c>
      <c r="R27" s="44">
        <f t="shared" si="31"/>
        <v>86343</v>
      </c>
      <c r="S27" s="44">
        <f t="shared" si="31"/>
        <v>0</v>
      </c>
      <c r="T27" s="44">
        <f t="shared" si="16"/>
        <v>755267</v>
      </c>
      <c r="U27" s="110">
        <f t="shared" si="3"/>
        <v>1.0137812080536912</v>
      </c>
      <c r="V27" s="300"/>
      <c r="W27" s="91"/>
    </row>
    <row r="28" spans="1:30" ht="15" x14ac:dyDescent="0.25">
      <c r="A28" s="65">
        <f t="shared" si="18"/>
        <v>16</v>
      </c>
      <c r="B28" s="65"/>
      <c r="C28" s="65"/>
      <c r="D28" s="65"/>
      <c r="E28" s="65"/>
      <c r="F28" s="62" t="s">
        <v>19</v>
      </c>
      <c r="G28" s="44">
        <f>+G838</f>
        <v>900000</v>
      </c>
      <c r="H28" s="44">
        <f>+H838</f>
        <v>3387</v>
      </c>
      <c r="I28" s="44">
        <f t="shared" ref="I28:S28" si="32">+I838</f>
        <v>15519</v>
      </c>
      <c r="J28" s="44">
        <f t="shared" si="32"/>
        <v>99096</v>
      </c>
      <c r="K28" s="44">
        <f t="shared" si="32"/>
        <v>32487</v>
      </c>
      <c r="L28" s="44">
        <f t="shared" si="32"/>
        <v>30655</v>
      </c>
      <c r="M28" s="44">
        <f t="shared" si="32"/>
        <v>63861</v>
      </c>
      <c r="N28" s="44">
        <f t="shared" si="32"/>
        <v>51814</v>
      </c>
      <c r="O28" s="44">
        <f t="shared" si="32"/>
        <v>13162</v>
      </c>
      <c r="P28" s="44">
        <f t="shared" si="32"/>
        <v>22960.999999999996</v>
      </c>
      <c r="Q28" s="44">
        <f t="shared" si="32"/>
        <v>100099</v>
      </c>
      <c r="R28" s="44">
        <f t="shared" si="32"/>
        <v>46429</v>
      </c>
      <c r="S28" s="44">
        <f t="shared" si="32"/>
        <v>0</v>
      </c>
      <c r="T28" s="44">
        <f t="shared" si="16"/>
        <v>479470</v>
      </c>
      <c r="U28" s="110">
        <f t="shared" si="3"/>
        <v>0.53274444444444446</v>
      </c>
      <c r="V28" s="300"/>
      <c r="W28" s="91"/>
      <c r="X28"/>
      <c r="Y28"/>
    </row>
    <row r="29" spans="1:30" ht="15" x14ac:dyDescent="0.25">
      <c r="A29" s="65">
        <f t="shared" si="18"/>
        <v>17</v>
      </c>
      <c r="B29" s="65"/>
      <c r="C29" s="65"/>
      <c r="D29" s="65"/>
      <c r="E29" s="65"/>
      <c r="F29" s="62" t="s">
        <v>42</v>
      </c>
      <c r="G29" s="44">
        <f>+G865</f>
        <v>1450000</v>
      </c>
      <c r="H29" s="44">
        <f>+H865</f>
        <v>118589</v>
      </c>
      <c r="I29" s="44">
        <f t="shared" ref="I29:S29" si="33">+I865</f>
        <v>119921</v>
      </c>
      <c r="J29" s="44">
        <f t="shared" si="33"/>
        <v>120384</v>
      </c>
      <c r="K29" s="44">
        <f t="shared" si="33"/>
        <v>119970</v>
      </c>
      <c r="L29" s="44">
        <f t="shared" si="33"/>
        <v>120939</v>
      </c>
      <c r="M29" s="44">
        <f t="shared" si="33"/>
        <v>119070</v>
      </c>
      <c r="N29" s="44">
        <f t="shared" si="33"/>
        <v>120514</v>
      </c>
      <c r="O29" s="44">
        <f t="shared" si="33"/>
        <v>118051</v>
      </c>
      <c r="P29" s="44">
        <f t="shared" si="33"/>
        <v>121870</v>
      </c>
      <c r="Q29" s="44">
        <f t="shared" si="33"/>
        <v>118766</v>
      </c>
      <c r="R29" s="44">
        <f t="shared" si="33"/>
        <v>120528</v>
      </c>
      <c r="S29" s="44">
        <f t="shared" si="33"/>
        <v>0</v>
      </c>
      <c r="T29" s="44">
        <f t="shared" si="16"/>
        <v>1318602</v>
      </c>
      <c r="U29" s="110">
        <f t="shared" si="3"/>
        <v>0.90938068965517238</v>
      </c>
      <c r="V29" s="300"/>
      <c r="W29" s="91"/>
      <c r="X29"/>
      <c r="Y29"/>
    </row>
    <row r="30" spans="1:30" ht="15" x14ac:dyDescent="0.25">
      <c r="A30" s="65">
        <f t="shared" si="18"/>
        <v>18</v>
      </c>
      <c r="B30" s="65"/>
      <c r="C30" s="65"/>
      <c r="D30" s="65"/>
      <c r="E30" s="65"/>
      <c r="F30" s="62" t="s">
        <v>43</v>
      </c>
      <c r="G30" s="47">
        <f>+G896</f>
        <v>225000</v>
      </c>
      <c r="H30" s="47">
        <f>+H896</f>
        <v>16496</v>
      </c>
      <c r="I30" s="47">
        <f t="shared" ref="I30:S30" si="34">+I896</f>
        <v>8430</v>
      </c>
      <c r="J30" s="47">
        <f t="shared" si="34"/>
        <v>9613</v>
      </c>
      <c r="K30" s="47">
        <f t="shared" si="34"/>
        <v>9622</v>
      </c>
      <c r="L30" s="47">
        <f t="shared" si="34"/>
        <v>10088</v>
      </c>
      <c r="M30" s="47">
        <f t="shared" si="34"/>
        <v>17040</v>
      </c>
      <c r="N30" s="47">
        <f t="shared" si="34"/>
        <v>18617</v>
      </c>
      <c r="O30" s="47">
        <f t="shared" si="34"/>
        <v>23901</v>
      </c>
      <c r="P30" s="47">
        <f t="shared" si="34"/>
        <v>18521</v>
      </c>
      <c r="Q30" s="47">
        <f t="shared" si="34"/>
        <v>34824</v>
      </c>
      <c r="R30" s="47">
        <f t="shared" si="34"/>
        <v>41452</v>
      </c>
      <c r="S30" s="47">
        <f t="shared" si="34"/>
        <v>0</v>
      </c>
      <c r="T30" s="44">
        <f t="shared" si="16"/>
        <v>208604</v>
      </c>
      <c r="U30" s="110">
        <f t="shared" si="3"/>
        <v>0.92712888888888889</v>
      </c>
      <c r="V30" s="300"/>
      <c r="W30" s="91"/>
      <c r="X30"/>
      <c r="Y30"/>
    </row>
    <row r="31" spans="1:30" ht="15" x14ac:dyDescent="0.25">
      <c r="A31" s="65">
        <f t="shared" si="18"/>
        <v>19</v>
      </c>
      <c r="B31" s="65"/>
      <c r="C31" s="65"/>
      <c r="D31" s="65"/>
      <c r="E31" s="65"/>
      <c r="F31" s="62" t="s">
        <v>44</v>
      </c>
      <c r="G31" s="44">
        <f>+G916</f>
        <v>240000</v>
      </c>
      <c r="H31" s="44">
        <f>+H916</f>
        <v>10824</v>
      </c>
      <c r="I31" s="44">
        <f t="shared" ref="I31:S31" si="35">+I916</f>
        <v>14910</v>
      </c>
      <c r="J31" s="44">
        <f t="shared" si="35"/>
        <v>17069</v>
      </c>
      <c r="K31" s="44">
        <f t="shared" si="35"/>
        <v>14076</v>
      </c>
      <c r="L31" s="44">
        <f t="shared" si="35"/>
        <v>16331</v>
      </c>
      <c r="M31" s="44">
        <f t="shared" si="35"/>
        <v>17785</v>
      </c>
      <c r="N31" s="44">
        <f t="shared" si="35"/>
        <v>24598</v>
      </c>
      <c r="O31" s="44">
        <f t="shared" si="35"/>
        <v>16535</v>
      </c>
      <c r="P31" s="44">
        <f t="shared" si="35"/>
        <v>23764</v>
      </c>
      <c r="Q31" s="44">
        <f t="shared" si="35"/>
        <v>29142</v>
      </c>
      <c r="R31" s="44">
        <f t="shared" si="35"/>
        <v>22345</v>
      </c>
      <c r="S31" s="44">
        <f t="shared" si="35"/>
        <v>0</v>
      </c>
      <c r="T31" s="44">
        <f t="shared" si="16"/>
        <v>207379</v>
      </c>
      <c r="U31" s="110">
        <f t="shared" si="3"/>
        <v>0.86407916666666662</v>
      </c>
      <c r="V31" s="300"/>
      <c r="W31" s="91"/>
      <c r="X31"/>
      <c r="Y31"/>
    </row>
    <row r="32" spans="1:30" ht="15" x14ac:dyDescent="0.25">
      <c r="A32" s="65">
        <f t="shared" si="18"/>
        <v>20</v>
      </c>
      <c r="B32" s="65"/>
      <c r="C32" s="65"/>
      <c r="D32" s="65"/>
      <c r="E32" s="65"/>
      <c r="F32" s="62" t="s">
        <v>45</v>
      </c>
      <c r="G32" s="44">
        <f>+G978</f>
        <v>485000</v>
      </c>
      <c r="H32" s="44">
        <f>+H978</f>
        <v>63035</v>
      </c>
      <c r="I32" s="44">
        <f t="shared" ref="I32:S32" si="36">+I978</f>
        <v>56191</v>
      </c>
      <c r="J32" s="44">
        <f t="shared" si="36"/>
        <v>64635</v>
      </c>
      <c r="K32" s="44">
        <f t="shared" si="36"/>
        <v>57180</v>
      </c>
      <c r="L32" s="44">
        <f t="shared" si="36"/>
        <v>52144</v>
      </c>
      <c r="M32" s="44">
        <f t="shared" si="36"/>
        <v>114115</v>
      </c>
      <c r="N32" s="44">
        <f t="shared" si="36"/>
        <v>25176</v>
      </c>
      <c r="O32" s="44">
        <f t="shared" si="36"/>
        <v>25176</v>
      </c>
      <c r="P32" s="44">
        <f t="shared" si="36"/>
        <v>317</v>
      </c>
      <c r="Q32" s="44">
        <f t="shared" si="36"/>
        <v>385</v>
      </c>
      <c r="R32" s="44">
        <f t="shared" si="36"/>
        <v>120</v>
      </c>
      <c r="S32" s="44">
        <f t="shared" si="36"/>
        <v>0</v>
      </c>
      <c r="T32" s="44">
        <f t="shared" si="16"/>
        <v>458474</v>
      </c>
      <c r="U32" s="110">
        <f t="shared" si="3"/>
        <v>0.94530721649484539</v>
      </c>
      <c r="V32" s="300"/>
      <c r="W32" s="91"/>
      <c r="X32"/>
      <c r="Y32"/>
    </row>
    <row r="33" spans="1:25" ht="15" x14ac:dyDescent="0.25">
      <c r="A33" s="65">
        <f t="shared" si="18"/>
        <v>21</v>
      </c>
      <c r="B33" s="65"/>
      <c r="C33" s="65"/>
      <c r="D33" s="65"/>
      <c r="E33" s="65"/>
      <c r="F33" s="62" t="s">
        <v>20</v>
      </c>
      <c r="G33" s="44">
        <f>+G984</f>
        <v>90000</v>
      </c>
      <c r="H33" s="44">
        <f>+H984</f>
        <v>1730</v>
      </c>
      <c r="I33" s="44">
        <f t="shared" ref="I33:S33" si="37">+I984</f>
        <v>1580</v>
      </c>
      <c r="J33" s="44">
        <f t="shared" si="37"/>
        <v>2080</v>
      </c>
      <c r="K33" s="44">
        <f t="shared" si="37"/>
        <v>4140</v>
      </c>
      <c r="L33" s="44">
        <f t="shared" si="37"/>
        <v>5050</v>
      </c>
      <c r="M33" s="44">
        <f t="shared" si="37"/>
        <v>19753</v>
      </c>
      <c r="N33" s="44">
        <f t="shared" si="37"/>
        <v>2517</v>
      </c>
      <c r="O33" s="44">
        <f t="shared" si="37"/>
        <v>4189</v>
      </c>
      <c r="P33" s="44">
        <f t="shared" si="37"/>
        <v>2330</v>
      </c>
      <c r="Q33" s="44">
        <f t="shared" si="37"/>
        <v>6646</v>
      </c>
      <c r="R33" s="44">
        <f t="shared" si="37"/>
        <v>9032</v>
      </c>
      <c r="S33" s="44">
        <f t="shared" si="37"/>
        <v>0</v>
      </c>
      <c r="T33" s="44">
        <f t="shared" si="16"/>
        <v>59047</v>
      </c>
      <c r="U33" s="110">
        <f t="shared" si="3"/>
        <v>0.65607777777777776</v>
      </c>
      <c r="V33" s="300"/>
      <c r="W33" s="91"/>
      <c r="X33"/>
      <c r="Y33"/>
    </row>
    <row r="34" spans="1:25" ht="15" x14ac:dyDescent="0.25">
      <c r="A34" s="65">
        <f t="shared" si="18"/>
        <v>22</v>
      </c>
      <c r="B34" s="65"/>
      <c r="C34" s="65"/>
      <c r="D34" s="65"/>
      <c r="E34" s="65"/>
      <c r="F34" s="62" t="s">
        <v>46</v>
      </c>
      <c r="G34" s="44">
        <f>+G1034</f>
        <v>25000</v>
      </c>
      <c r="H34" s="44">
        <f>+H1034</f>
        <v>2234</v>
      </c>
      <c r="I34" s="44">
        <f t="shared" ref="I34:S34" si="38">+I1034</f>
        <v>2399</v>
      </c>
      <c r="J34" s="44">
        <f t="shared" si="38"/>
        <v>3010</v>
      </c>
      <c r="K34" s="44">
        <f t="shared" si="38"/>
        <v>2151</v>
      </c>
      <c r="L34" s="44">
        <f t="shared" si="38"/>
        <v>2151</v>
      </c>
      <c r="M34" s="44">
        <f t="shared" si="38"/>
        <v>3408</v>
      </c>
      <c r="N34" s="44">
        <f t="shared" si="38"/>
        <v>6671</v>
      </c>
      <c r="O34" s="44">
        <f t="shared" si="38"/>
        <v>5327</v>
      </c>
      <c r="P34" s="44">
        <f t="shared" si="38"/>
        <v>4973</v>
      </c>
      <c r="Q34" s="44">
        <f t="shared" si="38"/>
        <v>4830</v>
      </c>
      <c r="R34" s="44">
        <f t="shared" si="38"/>
        <v>4846</v>
      </c>
      <c r="S34" s="44">
        <f t="shared" si="38"/>
        <v>0</v>
      </c>
      <c r="T34" s="44">
        <f t="shared" si="16"/>
        <v>42000</v>
      </c>
      <c r="U34" s="110">
        <f t="shared" si="3"/>
        <v>1.68</v>
      </c>
      <c r="V34" s="300"/>
      <c r="W34" s="91"/>
      <c r="X34"/>
      <c r="Y34"/>
    </row>
    <row r="35" spans="1:25" ht="15" x14ac:dyDescent="0.25">
      <c r="A35" s="65">
        <f t="shared" si="18"/>
        <v>23</v>
      </c>
      <c r="B35" s="65"/>
      <c r="C35" s="65"/>
      <c r="D35" s="65"/>
      <c r="E35" s="65"/>
      <c r="F35" s="62" t="s">
        <v>47</v>
      </c>
      <c r="G35" s="44">
        <f>+G1069</f>
        <v>100000</v>
      </c>
      <c r="H35" s="44">
        <f>+H1069</f>
        <v>4681</v>
      </c>
      <c r="I35" s="44">
        <f t="shared" ref="I35:S35" si="39">+I1069</f>
        <v>9971</v>
      </c>
      <c r="J35" s="44">
        <f t="shared" si="39"/>
        <v>15676</v>
      </c>
      <c r="K35" s="44">
        <f t="shared" si="39"/>
        <v>9695</v>
      </c>
      <c r="L35" s="44">
        <f t="shared" si="39"/>
        <v>6116</v>
      </c>
      <c r="M35" s="44">
        <f t="shared" si="39"/>
        <v>7507</v>
      </c>
      <c r="N35" s="44">
        <f t="shared" si="39"/>
        <v>9896</v>
      </c>
      <c r="O35" s="44">
        <f t="shared" si="39"/>
        <v>5842</v>
      </c>
      <c r="P35" s="44">
        <f t="shared" si="39"/>
        <v>11682</v>
      </c>
      <c r="Q35" s="44">
        <f t="shared" si="39"/>
        <v>8830</v>
      </c>
      <c r="R35" s="44">
        <f t="shared" si="39"/>
        <v>6442</v>
      </c>
      <c r="S35" s="44">
        <f t="shared" si="39"/>
        <v>0</v>
      </c>
      <c r="T35" s="44">
        <f t="shared" si="16"/>
        <v>96338</v>
      </c>
      <c r="U35" s="110">
        <f t="shared" si="3"/>
        <v>0.96338000000000001</v>
      </c>
      <c r="V35" s="300"/>
      <c r="W35" s="91"/>
      <c r="X35"/>
      <c r="Y35"/>
    </row>
    <row r="36" spans="1:25" ht="15" x14ac:dyDescent="0.25">
      <c r="A36" s="65">
        <f t="shared" si="18"/>
        <v>24</v>
      </c>
      <c r="B36" s="65"/>
      <c r="C36" s="65"/>
      <c r="D36" s="65"/>
      <c r="E36" s="65"/>
      <c r="F36" s="62" t="s">
        <v>48</v>
      </c>
      <c r="G36" s="44">
        <f>+G1095</f>
        <v>400000</v>
      </c>
      <c r="H36" s="44">
        <f>+H1095</f>
        <v>35133</v>
      </c>
      <c r="I36" s="44">
        <f t="shared" ref="I36:S36" si="40">+I1095</f>
        <v>29202</v>
      </c>
      <c r="J36" s="44">
        <f t="shared" si="40"/>
        <v>28758</v>
      </c>
      <c r="K36" s="44">
        <f t="shared" si="40"/>
        <v>25174</v>
      </c>
      <c r="L36" s="44">
        <f t="shared" si="40"/>
        <v>28597</v>
      </c>
      <c r="M36" s="44">
        <f t="shared" si="40"/>
        <v>43634</v>
      </c>
      <c r="N36" s="44">
        <f t="shared" si="40"/>
        <v>36410</v>
      </c>
      <c r="O36" s="44">
        <f t="shared" si="40"/>
        <v>37545</v>
      </c>
      <c r="P36" s="44">
        <f t="shared" si="40"/>
        <v>41715</v>
      </c>
      <c r="Q36" s="44">
        <f t="shared" si="40"/>
        <v>21394</v>
      </c>
      <c r="R36" s="44">
        <f t="shared" si="40"/>
        <v>37617</v>
      </c>
      <c r="S36" s="44">
        <f t="shared" si="40"/>
        <v>0</v>
      </c>
      <c r="T36" s="44">
        <f t="shared" si="16"/>
        <v>365179</v>
      </c>
      <c r="U36" s="110">
        <f t="shared" si="3"/>
        <v>0.91294750000000002</v>
      </c>
      <c r="V36" s="300"/>
      <c r="W36" s="91"/>
    </row>
    <row r="37" spans="1:25" ht="15" x14ac:dyDescent="0.25">
      <c r="A37" s="65">
        <f t="shared" si="18"/>
        <v>25</v>
      </c>
      <c r="B37" s="65"/>
      <c r="C37" s="65"/>
      <c r="D37" s="65"/>
      <c r="E37" s="65"/>
      <c r="F37" s="62" t="s">
        <v>49</v>
      </c>
      <c r="G37" s="44">
        <f>+G1198</f>
        <v>125000</v>
      </c>
      <c r="H37" s="44">
        <f>+H1198</f>
        <v>10653</v>
      </c>
      <c r="I37" s="44">
        <f t="shared" ref="I37:S37" si="41">+I1198</f>
        <v>10556</v>
      </c>
      <c r="J37" s="44">
        <f t="shared" si="41"/>
        <v>10653</v>
      </c>
      <c r="K37" s="44">
        <f>+K1198</f>
        <v>11256</v>
      </c>
      <c r="L37" s="44">
        <f t="shared" si="41"/>
        <v>11196</v>
      </c>
      <c r="M37" s="44">
        <f t="shared" si="41"/>
        <v>11745</v>
      </c>
      <c r="N37" s="44">
        <f t="shared" si="41"/>
        <v>11744</v>
      </c>
      <c r="O37" s="44">
        <f t="shared" si="41"/>
        <v>14352</v>
      </c>
      <c r="P37" s="44">
        <f t="shared" si="41"/>
        <v>12130</v>
      </c>
      <c r="Q37" s="44">
        <f t="shared" si="41"/>
        <v>12660</v>
      </c>
      <c r="R37" s="44">
        <f t="shared" si="41"/>
        <v>12116</v>
      </c>
      <c r="S37" s="44">
        <f t="shared" si="41"/>
        <v>0</v>
      </c>
      <c r="T37" s="44">
        <f t="shared" si="16"/>
        <v>129061</v>
      </c>
      <c r="U37" s="110">
        <f t="shared" si="3"/>
        <v>1.0324880000000001</v>
      </c>
      <c r="V37" s="300"/>
      <c r="W37" s="91"/>
    </row>
    <row r="38" spans="1:25" ht="15" x14ac:dyDescent="0.25">
      <c r="A38" s="65">
        <f t="shared" si="18"/>
        <v>26</v>
      </c>
      <c r="B38" s="65"/>
      <c r="C38" s="65"/>
      <c r="D38" s="65"/>
      <c r="E38" s="65"/>
      <c r="F38" s="62" t="s">
        <v>50</v>
      </c>
      <c r="G38" s="44">
        <f>+G1217</f>
        <v>150000</v>
      </c>
      <c r="H38" s="44">
        <f>+H1217</f>
        <v>9249</v>
      </c>
      <c r="I38" s="44">
        <f>+I1217</f>
        <v>9089</v>
      </c>
      <c r="J38" s="44">
        <f>+J1217</f>
        <v>13917</v>
      </c>
      <c r="K38" s="44">
        <f>+K1217</f>
        <v>9111</v>
      </c>
      <c r="L38" s="44">
        <f t="shared" ref="L38:T38" si="42">+L1217</f>
        <v>9108</v>
      </c>
      <c r="M38" s="44">
        <f t="shared" si="42"/>
        <v>13671</v>
      </c>
      <c r="N38" s="44">
        <f t="shared" si="42"/>
        <v>11517</v>
      </c>
      <c r="O38" s="44">
        <f t="shared" si="42"/>
        <v>9913</v>
      </c>
      <c r="P38" s="44">
        <f t="shared" si="42"/>
        <v>10069</v>
      </c>
      <c r="Q38" s="44">
        <f t="shared" si="42"/>
        <v>15432</v>
      </c>
      <c r="R38" s="44">
        <f t="shared" si="42"/>
        <v>10573</v>
      </c>
      <c r="S38" s="44">
        <f t="shared" si="42"/>
        <v>0</v>
      </c>
      <c r="T38" s="44">
        <f t="shared" si="42"/>
        <v>121649</v>
      </c>
      <c r="U38" s="110">
        <f t="shared" si="3"/>
        <v>0.81099333333333334</v>
      </c>
      <c r="V38" s="300"/>
      <c r="W38" s="91"/>
    </row>
    <row r="39" spans="1:25" ht="15" x14ac:dyDescent="0.25">
      <c r="A39" s="65">
        <f t="shared" si="18"/>
        <v>27</v>
      </c>
      <c r="B39" s="65"/>
      <c r="C39" s="65"/>
      <c r="D39" s="65"/>
      <c r="E39" s="65"/>
      <c r="F39" s="62" t="s">
        <v>51</v>
      </c>
      <c r="G39" s="44">
        <f>+G1241</f>
        <v>100000</v>
      </c>
      <c r="H39" s="44">
        <f>+H1241</f>
        <v>8712</v>
      </c>
      <c r="I39" s="44">
        <f t="shared" ref="I39:S39" si="43">+I1241</f>
        <v>7044</v>
      </c>
      <c r="J39" s="44">
        <f t="shared" si="43"/>
        <v>11047</v>
      </c>
      <c r="K39" s="44">
        <f t="shared" si="43"/>
        <v>8150</v>
      </c>
      <c r="L39" s="44">
        <f t="shared" si="43"/>
        <v>8996</v>
      </c>
      <c r="M39" s="44">
        <f t="shared" si="43"/>
        <v>14627</v>
      </c>
      <c r="N39" s="44">
        <f t="shared" si="43"/>
        <v>10590</v>
      </c>
      <c r="O39" s="44">
        <f t="shared" si="43"/>
        <v>9589</v>
      </c>
      <c r="P39" s="44">
        <f t="shared" si="43"/>
        <v>12653</v>
      </c>
      <c r="Q39" s="44">
        <f t="shared" si="43"/>
        <v>7109</v>
      </c>
      <c r="R39" s="44">
        <f t="shared" si="43"/>
        <v>7205</v>
      </c>
      <c r="S39" s="44">
        <f t="shared" si="43"/>
        <v>0</v>
      </c>
      <c r="T39" s="44">
        <f t="shared" ref="T39:T46" si="44">SUM(H39:S39)</f>
        <v>105722</v>
      </c>
      <c r="U39" s="110">
        <f t="shared" si="3"/>
        <v>1.05722</v>
      </c>
      <c r="V39" s="300"/>
      <c r="W39" s="91"/>
    </row>
    <row r="40" spans="1:25" ht="15" x14ac:dyDescent="0.25">
      <c r="A40" s="65">
        <f t="shared" si="18"/>
        <v>28</v>
      </c>
      <c r="B40" s="65"/>
      <c r="C40" s="65"/>
      <c r="D40" s="65"/>
      <c r="E40" s="65"/>
      <c r="F40" s="62" t="s">
        <v>23</v>
      </c>
      <c r="G40" s="47">
        <f>+G1249</f>
        <v>50000</v>
      </c>
      <c r="H40" s="47">
        <f t="shared" ref="H40:S40" si="45">+H1249</f>
        <v>0</v>
      </c>
      <c r="I40" s="47">
        <f t="shared" si="45"/>
        <v>5725</v>
      </c>
      <c r="J40" s="47">
        <f t="shared" si="45"/>
        <v>9455</v>
      </c>
      <c r="K40" s="47">
        <f t="shared" si="45"/>
        <v>0</v>
      </c>
      <c r="L40" s="47">
        <f t="shared" si="45"/>
        <v>2825</v>
      </c>
      <c r="M40" s="47">
        <f t="shared" si="45"/>
        <v>0</v>
      </c>
      <c r="N40" s="47">
        <f t="shared" si="45"/>
        <v>0</v>
      </c>
      <c r="O40" s="47">
        <f t="shared" si="45"/>
        <v>0</v>
      </c>
      <c r="P40" s="47">
        <f t="shared" si="45"/>
        <v>0</v>
      </c>
      <c r="Q40" s="47">
        <f t="shared" si="45"/>
        <v>0</v>
      </c>
      <c r="R40" s="47">
        <f t="shared" si="45"/>
        <v>0</v>
      </c>
      <c r="S40" s="47">
        <f t="shared" si="45"/>
        <v>0</v>
      </c>
      <c r="T40" s="44">
        <f t="shared" si="44"/>
        <v>18005</v>
      </c>
      <c r="U40" s="110">
        <f t="shared" si="3"/>
        <v>0.36009999999999998</v>
      </c>
      <c r="V40" s="300"/>
      <c r="W40" s="91"/>
    </row>
    <row r="41" spans="1:25" ht="15" x14ac:dyDescent="0.25">
      <c r="A41" s="65">
        <f t="shared" si="18"/>
        <v>29</v>
      </c>
      <c r="B41" s="65"/>
      <c r="C41" s="65"/>
      <c r="D41" s="65"/>
      <c r="E41" s="65"/>
      <c r="F41" s="62" t="s">
        <v>52</v>
      </c>
      <c r="G41" s="44">
        <f>+G1265</f>
        <v>65000</v>
      </c>
      <c r="H41" s="44">
        <f>+H1265</f>
        <v>5242</v>
      </c>
      <c r="I41" s="44">
        <f t="shared" ref="I41:S41" si="46">+I1265</f>
        <v>4598</v>
      </c>
      <c r="J41" s="44">
        <f t="shared" si="46"/>
        <v>5485</v>
      </c>
      <c r="K41" s="44">
        <f t="shared" si="46"/>
        <v>5182</v>
      </c>
      <c r="L41" s="44">
        <f t="shared" si="46"/>
        <v>6769</v>
      </c>
      <c r="M41" s="44">
        <f t="shared" si="46"/>
        <v>11527</v>
      </c>
      <c r="N41" s="44">
        <f t="shared" si="46"/>
        <v>4320</v>
      </c>
      <c r="O41" s="44">
        <f t="shared" si="46"/>
        <v>5182</v>
      </c>
      <c r="P41" s="44">
        <f t="shared" si="46"/>
        <v>5210</v>
      </c>
      <c r="Q41" s="44">
        <f t="shared" si="46"/>
        <v>4014</v>
      </c>
      <c r="R41" s="44">
        <f t="shared" si="46"/>
        <v>7572</v>
      </c>
      <c r="S41" s="44">
        <f t="shared" si="46"/>
        <v>0</v>
      </c>
      <c r="T41" s="44">
        <f t="shared" si="44"/>
        <v>65101</v>
      </c>
      <c r="U41" s="110">
        <f t="shared" si="3"/>
        <v>1.0015538461538462</v>
      </c>
      <c r="V41" s="300"/>
      <c r="W41" s="91"/>
    </row>
    <row r="42" spans="1:25" ht="15" x14ac:dyDescent="0.25">
      <c r="A42" s="65">
        <f t="shared" si="18"/>
        <v>30</v>
      </c>
      <c r="B42" s="65"/>
      <c r="C42" s="65"/>
      <c r="D42" s="65"/>
      <c r="E42" s="65"/>
      <c r="F42" s="62" t="s">
        <v>53</v>
      </c>
      <c r="G42" s="44">
        <f>+G1282</f>
        <v>50000</v>
      </c>
      <c r="H42" s="44">
        <f>+H1282</f>
        <v>1020</v>
      </c>
      <c r="I42" s="44">
        <f t="shared" ref="I42:S42" si="47">+I1282</f>
        <v>19180</v>
      </c>
      <c r="J42" s="44">
        <f t="shared" si="47"/>
        <v>3329</v>
      </c>
      <c r="K42" s="44">
        <f t="shared" si="47"/>
        <v>1020</v>
      </c>
      <c r="L42" s="44">
        <f t="shared" si="47"/>
        <v>24200</v>
      </c>
      <c r="M42" s="44">
        <f t="shared" si="47"/>
        <v>1140</v>
      </c>
      <c r="N42" s="44">
        <f t="shared" si="47"/>
        <v>1020</v>
      </c>
      <c r="O42" s="44">
        <f t="shared" si="47"/>
        <v>2460</v>
      </c>
      <c r="P42" s="44">
        <f t="shared" si="47"/>
        <v>7587</v>
      </c>
      <c r="Q42" s="44">
        <f t="shared" si="47"/>
        <v>8275</v>
      </c>
      <c r="R42" s="44">
        <f t="shared" si="47"/>
        <v>7373</v>
      </c>
      <c r="S42" s="44">
        <f t="shared" si="47"/>
        <v>0</v>
      </c>
      <c r="T42" s="44">
        <f t="shared" si="44"/>
        <v>76604</v>
      </c>
      <c r="U42" s="110">
        <f t="shared" si="3"/>
        <v>1.5320800000000001</v>
      </c>
      <c r="V42" s="300"/>
      <c r="W42" s="91"/>
    </row>
    <row r="43" spans="1:25" ht="15" x14ac:dyDescent="0.25">
      <c r="A43" s="65">
        <f t="shared" si="18"/>
        <v>31</v>
      </c>
      <c r="B43" s="65"/>
      <c r="C43" s="65"/>
      <c r="D43" s="65"/>
      <c r="E43" s="65"/>
      <c r="F43" s="62" t="s">
        <v>54</v>
      </c>
      <c r="G43" s="44">
        <f>+G1299</f>
        <v>10000</v>
      </c>
      <c r="H43" s="44">
        <f>+H1299</f>
        <v>1823</v>
      </c>
      <c r="I43" s="44">
        <f t="shared" ref="I43:S43" si="48">+I1299</f>
        <v>694</v>
      </c>
      <c r="J43" s="44">
        <f t="shared" si="48"/>
        <v>256</v>
      </c>
      <c r="K43" s="44">
        <f t="shared" si="48"/>
        <v>0</v>
      </c>
      <c r="L43" s="44">
        <f t="shared" si="48"/>
        <v>574</v>
      </c>
      <c r="M43" s="44">
        <f t="shared" si="48"/>
        <v>27</v>
      </c>
      <c r="N43" s="44">
        <f t="shared" si="48"/>
        <v>0</v>
      </c>
      <c r="O43" s="44">
        <f t="shared" si="48"/>
        <v>632</v>
      </c>
      <c r="P43" s="44">
        <f t="shared" si="48"/>
        <v>694</v>
      </c>
      <c r="Q43" s="44">
        <f t="shared" si="48"/>
        <v>155</v>
      </c>
      <c r="R43" s="44">
        <f t="shared" si="48"/>
        <v>917</v>
      </c>
      <c r="S43" s="44">
        <f t="shared" si="48"/>
        <v>0</v>
      </c>
      <c r="T43" s="44">
        <f t="shared" si="44"/>
        <v>5772</v>
      </c>
      <c r="U43" s="110">
        <f t="shared" si="3"/>
        <v>0.57720000000000005</v>
      </c>
      <c r="V43" s="300"/>
      <c r="W43" s="91"/>
    </row>
    <row r="44" spans="1:25" ht="15" x14ac:dyDescent="0.25">
      <c r="A44" s="65">
        <f t="shared" si="18"/>
        <v>32</v>
      </c>
      <c r="B44" s="65"/>
      <c r="C44" s="65"/>
      <c r="D44" s="65"/>
      <c r="E44" s="65"/>
      <c r="F44" s="62" t="s">
        <v>55</v>
      </c>
      <c r="G44" s="44">
        <f>+G1314</f>
        <v>75000</v>
      </c>
      <c r="H44" s="44">
        <f>+H1314</f>
        <v>4035</v>
      </c>
      <c r="I44" s="44">
        <f t="shared" ref="I44:S44" si="49">+I1314</f>
        <v>4674</v>
      </c>
      <c r="J44" s="44">
        <f t="shared" si="49"/>
        <v>4654</v>
      </c>
      <c r="K44" s="44">
        <f t="shared" si="49"/>
        <v>7026</v>
      </c>
      <c r="L44" s="44">
        <f t="shared" si="49"/>
        <v>29009</v>
      </c>
      <c r="M44" s="44">
        <f t="shared" si="49"/>
        <v>1689</v>
      </c>
      <c r="N44" s="44">
        <f t="shared" si="49"/>
        <v>1214</v>
      </c>
      <c r="O44" s="44">
        <f t="shared" si="49"/>
        <v>2168</v>
      </c>
      <c r="P44" s="44">
        <f t="shared" si="49"/>
        <v>27347</v>
      </c>
      <c r="Q44" s="44">
        <f t="shared" si="49"/>
        <v>1114</v>
      </c>
      <c r="R44" s="44">
        <f t="shared" si="49"/>
        <v>2414</v>
      </c>
      <c r="S44" s="44">
        <f t="shared" si="49"/>
        <v>0</v>
      </c>
      <c r="T44" s="44">
        <f t="shared" si="44"/>
        <v>85344</v>
      </c>
      <c r="U44" s="110">
        <f t="shared" si="3"/>
        <v>1.13792</v>
      </c>
      <c r="V44" s="300"/>
      <c r="W44" s="91"/>
    </row>
    <row r="45" spans="1:25" ht="15" customHeight="1" x14ac:dyDescent="0.25">
      <c r="A45" s="65">
        <f t="shared" si="18"/>
        <v>33</v>
      </c>
      <c r="B45" s="65"/>
      <c r="C45" s="65"/>
      <c r="D45" s="65"/>
      <c r="E45" s="65"/>
      <c r="F45" s="62" t="s">
        <v>56</v>
      </c>
      <c r="G45" s="44">
        <f>+G1342</f>
        <v>35000</v>
      </c>
      <c r="H45" s="44">
        <f>+H1342</f>
        <v>1032</v>
      </c>
      <c r="I45" s="44">
        <f t="shared" ref="I45:S45" si="50">+I1342</f>
        <v>2028</v>
      </c>
      <c r="J45" s="44">
        <f t="shared" si="50"/>
        <v>1781</v>
      </c>
      <c r="K45" s="44">
        <f t="shared" si="50"/>
        <v>1350</v>
      </c>
      <c r="L45" s="44">
        <f t="shared" si="50"/>
        <v>2576</v>
      </c>
      <c r="M45" s="44">
        <f t="shared" si="50"/>
        <v>1384</v>
      </c>
      <c r="N45" s="44">
        <f t="shared" si="50"/>
        <v>9888</v>
      </c>
      <c r="O45" s="44">
        <f t="shared" si="50"/>
        <v>878</v>
      </c>
      <c r="P45" s="44">
        <f t="shared" si="50"/>
        <v>7102</v>
      </c>
      <c r="Q45" s="44">
        <f t="shared" si="50"/>
        <v>1371</v>
      </c>
      <c r="R45" s="44">
        <f t="shared" si="50"/>
        <v>1654</v>
      </c>
      <c r="S45" s="44">
        <f t="shared" si="50"/>
        <v>0</v>
      </c>
      <c r="T45" s="44">
        <f t="shared" si="44"/>
        <v>31044</v>
      </c>
      <c r="U45" s="110">
        <f t="shared" si="3"/>
        <v>0.88697142857142852</v>
      </c>
      <c r="V45" s="300"/>
      <c r="W45" s="91"/>
    </row>
    <row r="46" spans="1:25" ht="15" customHeight="1" x14ac:dyDescent="0.25">
      <c r="A46" s="65">
        <f t="shared" si="18"/>
        <v>34</v>
      </c>
      <c r="B46" s="65"/>
      <c r="C46" s="65"/>
      <c r="D46" s="65"/>
      <c r="E46" s="65"/>
      <c r="F46" s="62" t="s">
        <v>57</v>
      </c>
      <c r="G46" s="44">
        <f>+G1370</f>
        <v>739000</v>
      </c>
      <c r="H46" s="44">
        <f>+H1370</f>
        <v>47629</v>
      </c>
      <c r="I46" s="44">
        <f t="shared" ref="I46:S46" si="51">+I1370</f>
        <v>26200</v>
      </c>
      <c r="J46" s="44">
        <f t="shared" si="51"/>
        <v>129750</v>
      </c>
      <c r="K46" s="44">
        <f t="shared" si="51"/>
        <v>1944</v>
      </c>
      <c r="L46" s="44">
        <f t="shared" si="51"/>
        <v>0</v>
      </c>
      <c r="M46" s="44">
        <f t="shared" si="51"/>
        <v>0</v>
      </c>
      <c r="N46" s="44">
        <f t="shared" si="51"/>
        <v>100000</v>
      </c>
      <c r="O46" s="44">
        <f t="shared" si="51"/>
        <v>25000</v>
      </c>
      <c r="P46" s="44">
        <f t="shared" si="51"/>
        <v>116383</v>
      </c>
      <c r="Q46" s="44">
        <f t="shared" si="51"/>
        <v>25000</v>
      </c>
      <c r="R46" s="44">
        <f t="shared" si="51"/>
        <v>0</v>
      </c>
      <c r="S46" s="44">
        <f t="shared" si="51"/>
        <v>0</v>
      </c>
      <c r="T46" s="44">
        <f t="shared" si="44"/>
        <v>471906</v>
      </c>
      <c r="U46" s="110">
        <f t="shared" si="3"/>
        <v>0.63857374830852498</v>
      </c>
      <c r="V46" s="300"/>
      <c r="W46" s="91"/>
    </row>
    <row r="47" spans="1:25" ht="18" customHeight="1" x14ac:dyDescent="0.25">
      <c r="A47" s="65"/>
      <c r="B47" s="65"/>
      <c r="C47" s="65"/>
      <c r="D47" s="65"/>
      <c r="E47" s="65"/>
      <c r="F47" s="68" t="s">
        <v>58</v>
      </c>
      <c r="G47" s="24">
        <f t="shared" ref="G47" si="52">SUM(G13:G46)</f>
        <v>23130000</v>
      </c>
      <c r="H47" s="24">
        <f>SUM(H13:H46)</f>
        <v>1715921</v>
      </c>
      <c r="I47" s="24">
        <f t="shared" ref="I47:S47" si="53">SUM(I13:I46)</f>
        <v>1789179</v>
      </c>
      <c r="J47" s="24">
        <f t="shared" si="53"/>
        <v>2157701</v>
      </c>
      <c r="K47" s="24">
        <f t="shared" si="53"/>
        <v>1731048</v>
      </c>
      <c r="L47" s="24">
        <f t="shared" si="53"/>
        <v>1811826.997</v>
      </c>
      <c r="M47" s="24">
        <f t="shared" si="53"/>
        <v>1438569</v>
      </c>
      <c r="N47" s="24">
        <f t="shared" si="53"/>
        <v>2072314</v>
      </c>
      <c r="O47" s="24">
        <f t="shared" si="53"/>
        <v>1667167</v>
      </c>
      <c r="P47" s="24">
        <f t="shared" si="53"/>
        <v>1925947</v>
      </c>
      <c r="Q47" s="24">
        <f t="shared" si="53"/>
        <v>1988310</v>
      </c>
      <c r="R47" s="24">
        <f t="shared" si="53"/>
        <v>1642534</v>
      </c>
      <c r="S47" s="24">
        <f t="shared" si="53"/>
        <v>0</v>
      </c>
      <c r="T47" s="24">
        <f>SUM(T13:T46)</f>
        <v>19940516.997000001</v>
      </c>
      <c r="U47" s="109">
        <f t="shared" si="3"/>
        <v>0.86210622555123217</v>
      </c>
      <c r="V47" s="300"/>
      <c r="W47" s="301"/>
    </row>
    <row r="48" spans="1:25" ht="18" customHeight="1" x14ac:dyDescent="0.2">
      <c r="A48" s="65"/>
      <c r="B48" s="65"/>
      <c r="C48" s="65"/>
      <c r="D48" s="65"/>
      <c r="E48" s="65"/>
      <c r="F48" s="68" t="s">
        <v>59</v>
      </c>
      <c r="G48" s="24">
        <f t="shared" ref="G48:H48" si="54">+G12-G47</f>
        <v>0</v>
      </c>
      <c r="H48" s="24">
        <f t="shared" si="54"/>
        <v>1260842</v>
      </c>
      <c r="I48" s="24">
        <f t="shared" ref="I48:S48" si="55">+I12-I47</f>
        <v>34645</v>
      </c>
      <c r="J48" s="24">
        <f>+J12-J47</f>
        <v>-433883</v>
      </c>
      <c r="K48" s="24">
        <f t="shared" si="55"/>
        <v>-60146</v>
      </c>
      <c r="L48" s="24">
        <f t="shared" si="55"/>
        <v>24320.003000000026</v>
      </c>
      <c r="M48" s="24">
        <f t="shared" si="55"/>
        <v>73297</v>
      </c>
      <c r="N48" s="24">
        <f t="shared" si="55"/>
        <v>875297</v>
      </c>
      <c r="O48" s="24">
        <f t="shared" si="55"/>
        <v>38115</v>
      </c>
      <c r="P48" s="24">
        <f t="shared" si="55"/>
        <v>-248544</v>
      </c>
      <c r="Q48" s="24">
        <f t="shared" si="55"/>
        <v>-267666</v>
      </c>
      <c r="R48" s="24">
        <f t="shared" si="55"/>
        <v>64350</v>
      </c>
      <c r="S48" s="24">
        <f t="shared" si="55"/>
        <v>0</v>
      </c>
      <c r="T48" s="24">
        <f>+T12-T47</f>
        <v>1360627.0029999986</v>
      </c>
      <c r="U48" s="109">
        <f>+U12-U47</f>
        <v>5.8825205490704691E-2</v>
      </c>
      <c r="V48" s="89"/>
    </row>
    <row r="49" spans="1:24" x14ac:dyDescent="0.2">
      <c r="A49" s="65"/>
      <c r="B49" s="65"/>
      <c r="C49" s="65"/>
      <c r="D49" s="65"/>
      <c r="E49" s="65"/>
      <c r="F49" s="87"/>
      <c r="G49" s="88"/>
      <c r="H49" s="89" t="s">
        <v>1</v>
      </c>
      <c r="I49" s="89" t="s">
        <v>1</v>
      </c>
      <c r="J49" s="90"/>
      <c r="K49" s="90"/>
      <c r="L49" s="90"/>
      <c r="M49" s="90"/>
      <c r="N49" s="90"/>
      <c r="O49" s="90"/>
      <c r="P49" s="90"/>
      <c r="Q49" s="90"/>
      <c r="R49" s="90"/>
      <c r="S49" s="89"/>
      <c r="T49" s="89"/>
      <c r="U49" s="89"/>
      <c r="V49" s="89"/>
    </row>
    <row r="50" spans="1:24" ht="26.25" customHeight="1" thickBot="1" x14ac:dyDescent="0.4">
      <c r="A50" s="69" t="s">
        <v>1</v>
      </c>
      <c r="B50" s="183" t="s">
        <v>60</v>
      </c>
      <c r="C50" s="183" t="s">
        <v>61</v>
      </c>
      <c r="D50" s="183" t="s">
        <v>62</v>
      </c>
      <c r="E50" s="183" t="s">
        <v>63</v>
      </c>
      <c r="F50" s="184" t="s">
        <v>64</v>
      </c>
      <c r="G50" s="185" t="s">
        <v>65</v>
      </c>
      <c r="H50" s="186" t="s">
        <v>2</v>
      </c>
      <c r="I50" s="186" t="s">
        <v>3</v>
      </c>
      <c r="J50" s="186" t="s">
        <v>4</v>
      </c>
      <c r="K50" s="186" t="s">
        <v>5</v>
      </c>
      <c r="L50" s="186" t="s">
        <v>6</v>
      </c>
      <c r="M50" s="186" t="s">
        <v>7</v>
      </c>
      <c r="N50" s="186" t="s">
        <v>8</v>
      </c>
      <c r="O50" s="186" t="s">
        <v>9</v>
      </c>
      <c r="P50" s="186" t="s">
        <v>10</v>
      </c>
      <c r="Q50" s="186" t="s">
        <v>11</v>
      </c>
      <c r="R50" s="186" t="s">
        <v>12</v>
      </c>
      <c r="S50" s="186" t="s">
        <v>13</v>
      </c>
      <c r="T50" s="186" t="s">
        <v>14</v>
      </c>
      <c r="U50" s="94"/>
      <c r="V50" s="94"/>
    </row>
    <row r="51" spans="1:24" ht="18" customHeight="1" x14ac:dyDescent="0.25">
      <c r="A51" s="48" t="s">
        <v>66</v>
      </c>
      <c r="B51" s="130">
        <v>1</v>
      </c>
      <c r="C51" s="130" t="str">
        <f>"I"&amp;"-0"&amp;B51</f>
        <v>I-01</v>
      </c>
      <c r="D51" s="130">
        <v>1</v>
      </c>
      <c r="E51" s="130" t="s">
        <v>67</v>
      </c>
      <c r="F51" s="1" t="s">
        <v>68</v>
      </c>
      <c r="G51" s="188">
        <f t="shared" ref="G51:T51" si="56">+G52+G62+G72+G82</f>
        <v>17600000</v>
      </c>
      <c r="H51" s="188">
        <f t="shared" si="56"/>
        <v>2693534</v>
      </c>
      <c r="I51" s="188">
        <f t="shared" si="56"/>
        <v>1251845</v>
      </c>
      <c r="J51" s="188">
        <f t="shared" si="56"/>
        <v>1245905</v>
      </c>
      <c r="K51" s="188">
        <f t="shared" si="56"/>
        <v>1164109</v>
      </c>
      <c r="L51" s="188">
        <f t="shared" si="56"/>
        <v>1377674</v>
      </c>
      <c r="M51" s="188">
        <f t="shared" si="56"/>
        <v>1181754</v>
      </c>
      <c r="N51" s="188">
        <f t="shared" si="56"/>
        <v>2504852</v>
      </c>
      <c r="O51" s="188">
        <f t="shared" si="56"/>
        <v>1221726</v>
      </c>
      <c r="P51" s="188">
        <f t="shared" si="56"/>
        <v>1170569</v>
      </c>
      <c r="Q51" s="188">
        <f t="shared" si="56"/>
        <v>1151751</v>
      </c>
      <c r="R51" s="188">
        <f t="shared" si="56"/>
        <v>1213647</v>
      </c>
      <c r="S51" s="188">
        <f t="shared" si="56"/>
        <v>0</v>
      </c>
      <c r="T51" s="188">
        <f t="shared" si="56"/>
        <v>16177366</v>
      </c>
      <c r="U51" t="s">
        <v>1</v>
      </c>
      <c r="V51"/>
    </row>
    <row r="52" spans="1:24" ht="15" customHeight="1" x14ac:dyDescent="0.25">
      <c r="A52" s="70" t="s">
        <v>1</v>
      </c>
      <c r="B52" s="139">
        <v>101</v>
      </c>
      <c r="C52" s="130" t="str">
        <f t="shared" ref="C52:C115" si="57">"I"&amp;"-0"&amp;B52</f>
        <v>I-0101</v>
      </c>
      <c r="D52" s="130">
        <v>2</v>
      </c>
      <c r="E52" s="139" t="s">
        <v>69</v>
      </c>
      <c r="F52" s="189" t="s">
        <v>70</v>
      </c>
      <c r="G52" s="190">
        <f>+G53+G56+G59</f>
        <v>6351700</v>
      </c>
      <c r="H52" s="190">
        <f t="shared" ref="H52:T52" si="58">+H53+H56+H59</f>
        <v>989220</v>
      </c>
      <c r="I52" s="190">
        <f t="shared" si="58"/>
        <v>445361</v>
      </c>
      <c r="J52" s="190">
        <f t="shared" si="58"/>
        <v>444229</v>
      </c>
      <c r="K52" s="190">
        <f t="shared" si="58"/>
        <v>419251</v>
      </c>
      <c r="L52" s="190">
        <f t="shared" si="58"/>
        <v>499899</v>
      </c>
      <c r="M52" s="190">
        <f t="shared" si="58"/>
        <v>428992</v>
      </c>
      <c r="N52" s="190">
        <f t="shared" si="58"/>
        <v>904856</v>
      </c>
      <c r="O52" s="190">
        <f t="shared" si="58"/>
        <v>436504</v>
      </c>
      <c r="P52" s="190">
        <f t="shared" si="58"/>
        <v>414354</v>
      </c>
      <c r="Q52" s="190">
        <f t="shared" si="58"/>
        <v>409955</v>
      </c>
      <c r="R52" s="190">
        <f>+R53+R56+R59</f>
        <v>433223</v>
      </c>
      <c r="S52" s="190">
        <f t="shared" si="58"/>
        <v>0</v>
      </c>
      <c r="T52" s="190">
        <f t="shared" si="58"/>
        <v>5825844</v>
      </c>
      <c r="U52"/>
      <c r="V52" t="s">
        <v>1</v>
      </c>
      <c r="W52"/>
      <c r="X52"/>
    </row>
    <row r="53" spans="1:24" ht="15" customHeight="1" x14ac:dyDescent="0.25">
      <c r="A53" s="52">
        <v>1</v>
      </c>
      <c r="B53" s="140">
        <v>10101</v>
      </c>
      <c r="C53" s="130" t="str">
        <f t="shared" si="57"/>
        <v>I-010101</v>
      </c>
      <c r="D53" s="130">
        <v>3</v>
      </c>
      <c r="E53" s="140" t="s">
        <v>69</v>
      </c>
      <c r="F53" s="191" t="s">
        <v>71</v>
      </c>
      <c r="G53" s="192">
        <f>SUM(G54:G55)</f>
        <v>5007800</v>
      </c>
      <c r="H53" s="192">
        <f t="shared" ref="H53:T53" si="59">SUM(H54:H55)</f>
        <v>471671</v>
      </c>
      <c r="I53" s="192">
        <f t="shared" si="59"/>
        <v>427789</v>
      </c>
      <c r="J53" s="192">
        <f t="shared" si="59"/>
        <v>433059</v>
      </c>
      <c r="K53" s="192">
        <f t="shared" si="59"/>
        <v>402214</v>
      </c>
      <c r="L53" s="192">
        <f t="shared" si="59"/>
        <v>481001</v>
      </c>
      <c r="M53" s="192">
        <f t="shared" si="59"/>
        <v>354252</v>
      </c>
      <c r="N53" s="192">
        <f t="shared" si="59"/>
        <v>423864</v>
      </c>
      <c r="O53" s="192">
        <f t="shared" si="59"/>
        <v>413836</v>
      </c>
      <c r="P53" s="192">
        <f t="shared" si="59"/>
        <v>396747</v>
      </c>
      <c r="Q53" s="192">
        <f t="shared" si="59"/>
        <v>389516</v>
      </c>
      <c r="R53" s="192">
        <f t="shared" si="59"/>
        <v>413332</v>
      </c>
      <c r="S53" s="192">
        <f t="shared" si="59"/>
        <v>0</v>
      </c>
      <c r="T53" s="192">
        <f t="shared" si="59"/>
        <v>4607281</v>
      </c>
      <c r="U53"/>
      <c r="V53" s="43" t="s">
        <v>1</v>
      </c>
      <c r="W53"/>
      <c r="X53"/>
    </row>
    <row r="54" spans="1:24" ht="15" customHeight="1" x14ac:dyDescent="0.25">
      <c r="A54" s="70"/>
      <c r="B54" s="141">
        <v>1010101</v>
      </c>
      <c r="C54" s="130" t="str">
        <f t="shared" si="57"/>
        <v>I-01010101</v>
      </c>
      <c r="D54" s="130">
        <v>4</v>
      </c>
      <c r="E54" s="141" t="s">
        <v>72</v>
      </c>
      <c r="F54" s="347" t="s">
        <v>73</v>
      </c>
      <c r="G54" s="193">
        <v>4693600</v>
      </c>
      <c r="H54" s="193">
        <v>447897</v>
      </c>
      <c r="I54" s="193">
        <f>404197-63-50</f>
        <v>404084</v>
      </c>
      <c r="J54" s="193">
        <v>409487</v>
      </c>
      <c r="K54" s="193">
        <f>381593-378</f>
        <v>381215</v>
      </c>
      <c r="L54" s="193">
        <v>455143</v>
      </c>
      <c r="M54" s="193">
        <v>334882</v>
      </c>
      <c r="N54" s="193">
        <v>402891</v>
      </c>
      <c r="O54" s="193">
        <v>392029</v>
      </c>
      <c r="P54" s="193">
        <v>376379</v>
      </c>
      <c r="Q54" s="193">
        <v>370326</v>
      </c>
      <c r="R54" s="193">
        <v>391851</v>
      </c>
      <c r="S54" s="193">
        <v>0</v>
      </c>
      <c r="T54" s="193">
        <f>SUM(H54:S54)</f>
        <v>4366184</v>
      </c>
      <c r="U54"/>
      <c r="V54"/>
      <c r="W54"/>
      <c r="X54"/>
    </row>
    <row r="55" spans="1:24" ht="15" customHeight="1" x14ac:dyDescent="0.25">
      <c r="A55" s="70"/>
      <c r="B55" s="141">
        <v>1010102</v>
      </c>
      <c r="C55" s="130" t="str">
        <f t="shared" si="57"/>
        <v>I-01010102</v>
      </c>
      <c r="D55" s="130">
        <v>5</v>
      </c>
      <c r="E55" s="141" t="s">
        <v>72</v>
      </c>
      <c r="F55" s="347" t="s">
        <v>74</v>
      </c>
      <c r="G55" s="193">
        <v>314200</v>
      </c>
      <c r="H55" s="193">
        <v>23774</v>
      </c>
      <c r="I55" s="193">
        <v>23705</v>
      </c>
      <c r="J55" s="193">
        <v>23572</v>
      </c>
      <c r="K55" s="193">
        <v>20999</v>
      </c>
      <c r="L55" s="193">
        <v>25858</v>
      </c>
      <c r="M55" s="193">
        <v>19370</v>
      </c>
      <c r="N55" s="193">
        <v>20973</v>
      </c>
      <c r="O55" s="193">
        <v>21807</v>
      </c>
      <c r="P55" s="193">
        <v>20368</v>
      </c>
      <c r="Q55" s="193">
        <v>19190</v>
      </c>
      <c r="R55" s="193">
        <v>21481</v>
      </c>
      <c r="S55" s="193">
        <v>0</v>
      </c>
      <c r="T55" s="193">
        <f>SUM(H55:S55)</f>
        <v>241097</v>
      </c>
      <c r="U55"/>
      <c r="V55"/>
      <c r="W55"/>
      <c r="X55"/>
    </row>
    <row r="56" spans="1:24" ht="15" customHeight="1" x14ac:dyDescent="0.25">
      <c r="A56" s="52">
        <v>2</v>
      </c>
      <c r="B56" s="140">
        <v>10102</v>
      </c>
      <c r="C56" s="130" t="str">
        <f t="shared" si="57"/>
        <v>I-010102</v>
      </c>
      <c r="D56" s="130">
        <v>6</v>
      </c>
      <c r="E56" s="140" t="s">
        <v>69</v>
      </c>
      <c r="F56" s="191" t="s">
        <v>75</v>
      </c>
      <c r="G56" s="192">
        <f t="shared" ref="G56:T56" si="60">SUM(G57:G58)</f>
        <v>1150600</v>
      </c>
      <c r="H56" s="192">
        <f t="shared" si="60"/>
        <v>505515</v>
      </c>
      <c r="I56" s="192">
        <f t="shared" si="60"/>
        <v>8450</v>
      </c>
      <c r="J56" s="192">
        <f t="shared" si="60"/>
        <v>285</v>
      </c>
      <c r="K56" s="192">
        <f t="shared" si="60"/>
        <v>1005</v>
      </c>
      <c r="L56" s="192">
        <f t="shared" si="60"/>
        <v>7270</v>
      </c>
      <c r="M56" s="192">
        <f t="shared" si="60"/>
        <v>62645</v>
      </c>
      <c r="N56" s="192">
        <f t="shared" si="60"/>
        <v>470736</v>
      </c>
      <c r="O56" s="192">
        <f t="shared" si="60"/>
        <v>9480</v>
      </c>
      <c r="P56" s="192">
        <f t="shared" si="60"/>
        <v>1205</v>
      </c>
      <c r="Q56" s="192">
        <f t="shared" si="60"/>
        <v>3540</v>
      </c>
      <c r="R56" s="192">
        <f t="shared" si="60"/>
        <v>8935</v>
      </c>
      <c r="S56" s="192">
        <f t="shared" si="60"/>
        <v>0</v>
      </c>
      <c r="T56" s="192">
        <f t="shared" si="60"/>
        <v>1079066</v>
      </c>
      <c r="U56"/>
      <c r="V56"/>
      <c r="W56"/>
      <c r="X56"/>
    </row>
    <row r="57" spans="1:24" ht="15" customHeight="1" x14ac:dyDescent="0.25">
      <c r="A57" s="70"/>
      <c r="B57" s="142">
        <v>1010201</v>
      </c>
      <c r="C57" s="130" t="str">
        <f t="shared" si="57"/>
        <v>I-01010201</v>
      </c>
      <c r="D57" s="130">
        <v>7</v>
      </c>
      <c r="E57" s="142" t="s">
        <v>72</v>
      </c>
      <c r="F57" s="194" t="s">
        <v>76</v>
      </c>
      <c r="G57" s="193">
        <v>1077900</v>
      </c>
      <c r="H57" s="193">
        <v>479175</v>
      </c>
      <c r="I57" s="193">
        <f>7630-80-80-80</f>
        <v>7390</v>
      </c>
      <c r="J57" s="193">
        <v>285</v>
      </c>
      <c r="K57" s="193">
        <f>1085-80</f>
        <v>1005</v>
      </c>
      <c r="L57" s="193">
        <v>6605</v>
      </c>
      <c r="M57" s="193">
        <v>58750</v>
      </c>
      <c r="N57" s="193">
        <v>447311</v>
      </c>
      <c r="O57" s="193">
        <v>8280</v>
      </c>
      <c r="P57" s="193">
        <v>1100</v>
      </c>
      <c r="Q57" s="193">
        <v>3540</v>
      </c>
      <c r="R57" s="193">
        <v>8295</v>
      </c>
      <c r="S57" s="193">
        <v>0</v>
      </c>
      <c r="T57" s="193">
        <f>SUM(H57:S57)</f>
        <v>1021736</v>
      </c>
      <c r="U57"/>
      <c r="V57"/>
      <c r="W57"/>
      <c r="X57"/>
    </row>
    <row r="58" spans="1:24" ht="15" customHeight="1" x14ac:dyDescent="0.25">
      <c r="A58" s="70"/>
      <c r="B58" s="142">
        <v>1010202</v>
      </c>
      <c r="C58" s="130" t="str">
        <f t="shared" si="57"/>
        <v>I-01010202</v>
      </c>
      <c r="D58" s="130">
        <v>8</v>
      </c>
      <c r="E58" s="142" t="s">
        <v>72</v>
      </c>
      <c r="F58" s="194" t="s">
        <v>77</v>
      </c>
      <c r="G58" s="193">
        <v>72700</v>
      </c>
      <c r="H58" s="193">
        <v>26340</v>
      </c>
      <c r="I58" s="193">
        <v>1060</v>
      </c>
      <c r="J58" s="193">
        <v>0</v>
      </c>
      <c r="K58" s="193">
        <v>0</v>
      </c>
      <c r="L58" s="193">
        <v>665</v>
      </c>
      <c r="M58" s="193">
        <v>3895</v>
      </c>
      <c r="N58" s="193">
        <v>23425</v>
      </c>
      <c r="O58" s="193">
        <v>1200</v>
      </c>
      <c r="P58" s="193">
        <v>105</v>
      </c>
      <c r="Q58" s="193">
        <v>0</v>
      </c>
      <c r="R58" s="193">
        <v>640</v>
      </c>
      <c r="S58" s="193">
        <v>0</v>
      </c>
      <c r="T58" s="193">
        <f>SUM(H58:S58)</f>
        <v>57330</v>
      </c>
      <c r="U58"/>
      <c r="V58"/>
      <c r="W58"/>
      <c r="X58"/>
    </row>
    <row r="59" spans="1:24" ht="15" customHeight="1" x14ac:dyDescent="0.25">
      <c r="A59" s="52">
        <v>6</v>
      </c>
      <c r="B59" s="140">
        <v>10103</v>
      </c>
      <c r="C59" s="130" t="str">
        <f t="shared" si="57"/>
        <v>I-010103</v>
      </c>
      <c r="D59" s="130">
        <v>9</v>
      </c>
      <c r="E59" s="140" t="s">
        <v>69</v>
      </c>
      <c r="F59" s="191" t="s">
        <v>78</v>
      </c>
      <c r="G59" s="192">
        <f t="shared" ref="G59:T59" si="61">SUM(G60:G61)</f>
        <v>193300</v>
      </c>
      <c r="H59" s="192">
        <f t="shared" si="61"/>
        <v>12034</v>
      </c>
      <c r="I59" s="192">
        <f t="shared" si="61"/>
        <v>9122</v>
      </c>
      <c r="J59" s="192">
        <f t="shared" si="61"/>
        <v>10885</v>
      </c>
      <c r="K59" s="192">
        <f t="shared" si="61"/>
        <v>16032</v>
      </c>
      <c r="L59" s="192">
        <f t="shared" si="61"/>
        <v>11628</v>
      </c>
      <c r="M59" s="192">
        <f t="shared" si="61"/>
        <v>12095</v>
      </c>
      <c r="N59" s="192">
        <f t="shared" si="61"/>
        <v>10256</v>
      </c>
      <c r="O59" s="192">
        <f t="shared" si="61"/>
        <v>13188</v>
      </c>
      <c r="P59" s="192">
        <f t="shared" si="61"/>
        <v>16402</v>
      </c>
      <c r="Q59" s="192">
        <f t="shared" si="61"/>
        <v>16899</v>
      </c>
      <c r="R59" s="192">
        <f t="shared" si="61"/>
        <v>10956</v>
      </c>
      <c r="S59" s="192">
        <f t="shared" si="61"/>
        <v>0</v>
      </c>
      <c r="T59" s="192">
        <f t="shared" si="61"/>
        <v>139497</v>
      </c>
      <c r="U59"/>
      <c r="V59"/>
      <c r="W59"/>
      <c r="X59"/>
    </row>
    <row r="60" spans="1:24" ht="15" customHeight="1" x14ac:dyDescent="0.25">
      <c r="A60" s="70"/>
      <c r="B60" s="141">
        <v>1010301</v>
      </c>
      <c r="C60" s="130" t="str">
        <f t="shared" si="57"/>
        <v>I-01010301</v>
      </c>
      <c r="D60" s="130">
        <v>10</v>
      </c>
      <c r="E60" s="141" t="s">
        <v>72</v>
      </c>
      <c r="F60" s="347" t="s">
        <v>76</v>
      </c>
      <c r="G60" s="193">
        <v>182775</v>
      </c>
      <c r="H60" s="193">
        <v>11492</v>
      </c>
      <c r="I60" s="193">
        <v>8704</v>
      </c>
      <c r="J60" s="193">
        <v>10470</v>
      </c>
      <c r="K60" s="193">
        <v>15072</v>
      </c>
      <c r="L60" s="193">
        <v>11221</v>
      </c>
      <c r="M60" s="193">
        <v>11786</v>
      </c>
      <c r="N60" s="193">
        <v>9950</v>
      </c>
      <c r="O60" s="193">
        <v>12502</v>
      </c>
      <c r="P60" s="193">
        <v>15550</v>
      </c>
      <c r="Q60" s="193">
        <v>16187</v>
      </c>
      <c r="R60" s="193">
        <v>10472</v>
      </c>
      <c r="S60" s="193">
        <v>0</v>
      </c>
      <c r="T60" s="193">
        <f>SUM(H60:S60)</f>
        <v>133406</v>
      </c>
      <c r="U60"/>
      <c r="V60"/>
      <c r="W60"/>
      <c r="X60"/>
    </row>
    <row r="61" spans="1:24" ht="15" customHeight="1" x14ac:dyDescent="0.25">
      <c r="A61" s="70"/>
      <c r="B61" s="141">
        <v>1010301</v>
      </c>
      <c r="C61" s="130" t="str">
        <f t="shared" si="57"/>
        <v>I-01010301</v>
      </c>
      <c r="D61" s="130">
        <v>11</v>
      </c>
      <c r="E61" s="141" t="s">
        <v>72</v>
      </c>
      <c r="F61" s="347" t="s">
        <v>77</v>
      </c>
      <c r="G61" s="193">
        <v>10525</v>
      </c>
      <c r="H61" s="193">
        <v>542</v>
      </c>
      <c r="I61" s="193">
        <v>418</v>
      </c>
      <c r="J61" s="193">
        <v>415</v>
      </c>
      <c r="K61" s="193">
        <v>960</v>
      </c>
      <c r="L61" s="193">
        <v>407</v>
      </c>
      <c r="M61" s="193">
        <v>309</v>
      </c>
      <c r="N61" s="193">
        <v>306</v>
      </c>
      <c r="O61" s="193">
        <v>686</v>
      </c>
      <c r="P61" s="193">
        <v>852</v>
      </c>
      <c r="Q61" s="193">
        <v>712</v>
      </c>
      <c r="R61" s="193">
        <v>484</v>
      </c>
      <c r="S61" s="193">
        <v>0</v>
      </c>
      <c r="T61" s="193">
        <f>SUM(H61:S61)</f>
        <v>6091</v>
      </c>
      <c r="U61"/>
      <c r="V61"/>
      <c r="W61"/>
      <c r="X61"/>
    </row>
    <row r="62" spans="1:24" ht="15" customHeight="1" x14ac:dyDescent="0.25">
      <c r="A62" s="70"/>
      <c r="B62" s="139">
        <v>102</v>
      </c>
      <c r="C62" s="130" t="str">
        <f t="shared" si="57"/>
        <v>I-0102</v>
      </c>
      <c r="D62" s="130">
        <v>12</v>
      </c>
      <c r="E62" s="139" t="s">
        <v>69</v>
      </c>
      <c r="F62" s="189" t="s">
        <v>79</v>
      </c>
      <c r="G62" s="190">
        <f>+G63+G66+G69</f>
        <v>5245131</v>
      </c>
      <c r="H62" s="190">
        <f t="shared" ref="H62:T62" si="62">+H63+H66+H69</f>
        <v>822775</v>
      </c>
      <c r="I62" s="190">
        <f t="shared" si="62"/>
        <v>388271</v>
      </c>
      <c r="J62" s="190">
        <f t="shared" si="62"/>
        <v>383761</v>
      </c>
      <c r="K62" s="190">
        <f t="shared" si="62"/>
        <v>358661</v>
      </c>
      <c r="L62" s="190">
        <f t="shared" si="62"/>
        <v>424359</v>
      </c>
      <c r="M62" s="190">
        <f t="shared" si="62"/>
        <v>358927</v>
      </c>
      <c r="N62" s="190">
        <f t="shared" si="62"/>
        <v>774771</v>
      </c>
      <c r="O62" s="190">
        <f t="shared" si="62"/>
        <v>374493</v>
      </c>
      <c r="P62" s="190">
        <f t="shared" si="62"/>
        <v>363924</v>
      </c>
      <c r="Q62" s="190">
        <f t="shared" si="62"/>
        <v>356848</v>
      </c>
      <c r="R62" s="190">
        <f t="shared" si="62"/>
        <v>380092</v>
      </c>
      <c r="S62" s="190">
        <f t="shared" si="62"/>
        <v>0</v>
      </c>
      <c r="T62" s="190">
        <f t="shared" si="62"/>
        <v>4986882</v>
      </c>
      <c r="U62"/>
      <c r="V62"/>
      <c r="W62"/>
      <c r="X62"/>
    </row>
    <row r="63" spans="1:24" ht="15" customHeight="1" x14ac:dyDescent="0.25">
      <c r="A63" s="52">
        <v>1</v>
      </c>
      <c r="B63" s="140">
        <v>10201</v>
      </c>
      <c r="C63" s="130" t="str">
        <f t="shared" si="57"/>
        <v>I-010201</v>
      </c>
      <c r="D63" s="130">
        <v>13</v>
      </c>
      <c r="E63" s="140" t="s">
        <v>69</v>
      </c>
      <c r="F63" s="191" t="s">
        <v>71</v>
      </c>
      <c r="G63" s="192">
        <f>SUM(G64:G65)</f>
        <v>4039623</v>
      </c>
      <c r="H63" s="192">
        <f t="shared" ref="H63:T63" si="63">SUM(H64:H65)</f>
        <v>390401</v>
      </c>
      <c r="I63" s="192">
        <f t="shared" si="63"/>
        <v>370007</v>
      </c>
      <c r="J63" s="192">
        <f t="shared" si="63"/>
        <v>369554</v>
      </c>
      <c r="K63" s="192">
        <f t="shared" si="63"/>
        <v>340638</v>
      </c>
      <c r="L63" s="192">
        <f t="shared" si="63"/>
        <v>408170</v>
      </c>
      <c r="M63" s="192">
        <f t="shared" si="63"/>
        <v>294656</v>
      </c>
      <c r="N63" s="192">
        <f t="shared" si="63"/>
        <v>363541</v>
      </c>
      <c r="O63" s="192">
        <f t="shared" si="63"/>
        <v>353699</v>
      </c>
      <c r="P63" s="192">
        <f t="shared" si="63"/>
        <v>346559</v>
      </c>
      <c r="Q63" s="192">
        <f t="shared" si="63"/>
        <v>335040</v>
      </c>
      <c r="R63" s="192">
        <f t="shared" si="63"/>
        <v>356476</v>
      </c>
      <c r="S63" s="192">
        <f t="shared" si="63"/>
        <v>0</v>
      </c>
      <c r="T63" s="192">
        <f t="shared" si="63"/>
        <v>3928741</v>
      </c>
      <c r="U63"/>
      <c r="V63"/>
      <c r="W63"/>
      <c r="X63"/>
    </row>
    <row r="64" spans="1:24" ht="15" customHeight="1" x14ac:dyDescent="0.25">
      <c r="A64" s="70"/>
      <c r="B64" s="142">
        <v>1020101</v>
      </c>
      <c r="C64" s="130" t="str">
        <f t="shared" si="57"/>
        <v>I-01020101</v>
      </c>
      <c r="D64" s="130">
        <v>14</v>
      </c>
      <c r="E64" s="142" t="s">
        <v>72</v>
      </c>
      <c r="F64" s="194" t="s">
        <v>73</v>
      </c>
      <c r="G64" s="193">
        <v>3800223</v>
      </c>
      <c r="H64" s="193">
        <v>367223</v>
      </c>
      <c r="I64" s="193">
        <f>348995-63</f>
        <v>348932</v>
      </c>
      <c r="J64" s="193">
        <v>348858</v>
      </c>
      <c r="K64" s="193">
        <f>320510-126</f>
        <v>320384</v>
      </c>
      <c r="L64" s="193">
        <v>386109</v>
      </c>
      <c r="M64" s="193">
        <v>277766</v>
      </c>
      <c r="N64" s="193">
        <v>342534</v>
      </c>
      <c r="O64" s="193">
        <v>333866</v>
      </c>
      <c r="P64" s="193">
        <v>327780</v>
      </c>
      <c r="Q64" s="193">
        <v>316695</v>
      </c>
      <c r="R64" s="193">
        <v>337257</v>
      </c>
      <c r="S64" s="193">
        <v>0</v>
      </c>
      <c r="T64" s="193">
        <f>SUM(H64:S64)</f>
        <v>3707404</v>
      </c>
      <c r="U64"/>
      <c r="V64"/>
      <c r="W64"/>
      <c r="X64"/>
    </row>
    <row r="65" spans="1:24" ht="15" customHeight="1" x14ac:dyDescent="0.25">
      <c r="A65" s="70"/>
      <c r="B65" s="142">
        <v>1020102</v>
      </c>
      <c r="C65" s="130" t="str">
        <f t="shared" si="57"/>
        <v>I-01020102</v>
      </c>
      <c r="D65" s="130">
        <v>15</v>
      </c>
      <c r="E65" s="142" t="s">
        <v>72</v>
      </c>
      <c r="F65" s="194" t="s">
        <v>80</v>
      </c>
      <c r="G65" s="193">
        <v>239400</v>
      </c>
      <c r="H65" s="193">
        <v>23178</v>
      </c>
      <c r="I65" s="193">
        <v>21075</v>
      </c>
      <c r="J65" s="193">
        <v>20696</v>
      </c>
      <c r="K65" s="193">
        <v>20254</v>
      </c>
      <c r="L65" s="193">
        <v>22061</v>
      </c>
      <c r="M65" s="193">
        <v>16890</v>
      </c>
      <c r="N65" s="193">
        <v>21007</v>
      </c>
      <c r="O65" s="193">
        <v>19833</v>
      </c>
      <c r="P65" s="193">
        <v>18779</v>
      </c>
      <c r="Q65" s="193">
        <v>18345</v>
      </c>
      <c r="R65" s="193">
        <v>19219</v>
      </c>
      <c r="S65" s="193">
        <v>0</v>
      </c>
      <c r="T65" s="193">
        <f>SUM(H65:S65)</f>
        <v>221337</v>
      </c>
      <c r="U65"/>
      <c r="V65"/>
      <c r="W65"/>
      <c r="X65"/>
    </row>
    <row r="66" spans="1:24" ht="15" customHeight="1" x14ac:dyDescent="0.25">
      <c r="A66" s="52">
        <v>2</v>
      </c>
      <c r="B66" s="140">
        <v>10202</v>
      </c>
      <c r="C66" s="130" t="str">
        <f t="shared" si="57"/>
        <v>I-010202</v>
      </c>
      <c r="D66" s="130">
        <v>16</v>
      </c>
      <c r="E66" s="140" t="s">
        <v>69</v>
      </c>
      <c r="F66" s="191" t="s">
        <v>75</v>
      </c>
      <c r="G66" s="192">
        <f t="shared" ref="G66:T66" si="64">SUM(G67:G68)</f>
        <v>1022738</v>
      </c>
      <c r="H66" s="192">
        <f t="shared" si="64"/>
        <v>423343</v>
      </c>
      <c r="I66" s="192">
        <f t="shared" si="64"/>
        <v>10060</v>
      </c>
      <c r="J66" s="192">
        <f t="shared" si="64"/>
        <v>290</v>
      </c>
      <c r="K66" s="192">
        <f t="shared" si="64"/>
        <v>1025</v>
      </c>
      <c r="L66" s="192">
        <f t="shared" si="64"/>
        <v>4820</v>
      </c>
      <c r="M66" s="192">
        <f t="shared" si="64"/>
        <v>54120</v>
      </c>
      <c r="N66" s="192">
        <f t="shared" si="64"/>
        <v>403073</v>
      </c>
      <c r="O66" s="192">
        <f t="shared" si="64"/>
        <v>8835</v>
      </c>
      <c r="P66" s="192">
        <f t="shared" si="64"/>
        <v>1005</v>
      </c>
      <c r="Q66" s="192">
        <f t="shared" si="64"/>
        <v>4380</v>
      </c>
      <c r="R66" s="192">
        <f t="shared" si="64"/>
        <v>12600</v>
      </c>
      <c r="S66" s="192">
        <f t="shared" si="64"/>
        <v>0</v>
      </c>
      <c r="T66" s="192">
        <f t="shared" si="64"/>
        <v>923551</v>
      </c>
      <c r="U66"/>
      <c r="V66"/>
      <c r="W66"/>
      <c r="X66"/>
    </row>
    <row r="67" spans="1:24" ht="15" customHeight="1" x14ac:dyDescent="0.25">
      <c r="A67" s="70"/>
      <c r="B67" s="141">
        <v>1020201</v>
      </c>
      <c r="C67" s="130" t="str">
        <f t="shared" si="57"/>
        <v>I-01020201</v>
      </c>
      <c r="D67" s="130">
        <v>17</v>
      </c>
      <c r="E67" s="141" t="s">
        <v>72</v>
      </c>
      <c r="F67" s="347" t="s">
        <v>76</v>
      </c>
      <c r="G67" s="193">
        <v>912870</v>
      </c>
      <c r="H67" s="193">
        <v>400123</v>
      </c>
      <c r="I67" s="193">
        <f>8840-80</f>
        <v>8760</v>
      </c>
      <c r="J67" s="193">
        <v>290</v>
      </c>
      <c r="K67" s="193">
        <f>945-80</f>
        <v>865</v>
      </c>
      <c r="L67" s="193">
        <v>4580</v>
      </c>
      <c r="M67" s="193">
        <v>51240</v>
      </c>
      <c r="N67" s="193">
        <v>380654</v>
      </c>
      <c r="O67" s="193">
        <v>8035</v>
      </c>
      <c r="P67" s="193">
        <v>925</v>
      </c>
      <c r="Q67" s="193">
        <v>4195</v>
      </c>
      <c r="R67" s="193">
        <v>11400</v>
      </c>
      <c r="S67" s="193">
        <v>0</v>
      </c>
      <c r="T67" s="193">
        <f>SUM(H67:S67)</f>
        <v>871067</v>
      </c>
      <c r="U67" t="s">
        <v>1</v>
      </c>
      <c r="V67"/>
      <c r="W67"/>
      <c r="X67"/>
    </row>
    <row r="68" spans="1:24" ht="15" customHeight="1" x14ac:dyDescent="0.25">
      <c r="A68" s="70"/>
      <c r="B68" s="141">
        <v>1020202</v>
      </c>
      <c r="C68" s="130" t="str">
        <f t="shared" si="57"/>
        <v>I-01020202</v>
      </c>
      <c r="D68" s="130">
        <v>18</v>
      </c>
      <c r="E68" s="141" t="s">
        <v>72</v>
      </c>
      <c r="F68" s="347" t="s">
        <v>77</v>
      </c>
      <c r="G68" s="193">
        <v>109868</v>
      </c>
      <c r="H68" s="193">
        <v>23220</v>
      </c>
      <c r="I68" s="193">
        <v>1300</v>
      </c>
      <c r="J68" s="193">
        <v>0</v>
      </c>
      <c r="K68" s="193">
        <v>160</v>
      </c>
      <c r="L68" s="193">
        <v>240</v>
      </c>
      <c r="M68" s="193">
        <v>2880</v>
      </c>
      <c r="N68" s="193">
        <v>22419</v>
      </c>
      <c r="O68" s="193">
        <v>800</v>
      </c>
      <c r="P68" s="193">
        <v>80</v>
      </c>
      <c r="Q68" s="193">
        <v>185</v>
      </c>
      <c r="R68" s="193">
        <v>1200</v>
      </c>
      <c r="S68" s="193">
        <v>0</v>
      </c>
      <c r="T68" s="193">
        <f>SUM(H68:S68)</f>
        <v>52484</v>
      </c>
      <c r="U68"/>
      <c r="V68"/>
      <c r="W68"/>
      <c r="X68"/>
    </row>
    <row r="69" spans="1:24" ht="15" customHeight="1" x14ac:dyDescent="0.25">
      <c r="A69" s="52">
        <v>6</v>
      </c>
      <c r="B69" s="140">
        <v>10203</v>
      </c>
      <c r="C69" s="130" t="str">
        <f t="shared" si="57"/>
        <v>I-010203</v>
      </c>
      <c r="D69" s="130">
        <v>19</v>
      </c>
      <c r="E69" s="140" t="s">
        <v>69</v>
      </c>
      <c r="F69" s="191" t="s">
        <v>81</v>
      </c>
      <c r="G69" s="192">
        <f>SUM(G70:G71)</f>
        <v>182770</v>
      </c>
      <c r="H69" s="192">
        <f t="shared" ref="H69:T69" si="65">SUM(H70:H71)</f>
        <v>9031</v>
      </c>
      <c r="I69" s="192">
        <f t="shared" si="65"/>
        <v>8204</v>
      </c>
      <c r="J69" s="192">
        <f t="shared" si="65"/>
        <v>13917</v>
      </c>
      <c r="K69" s="192">
        <f t="shared" si="65"/>
        <v>16998</v>
      </c>
      <c r="L69" s="192">
        <f t="shared" si="65"/>
        <v>11369</v>
      </c>
      <c r="M69" s="192">
        <f t="shared" si="65"/>
        <v>10151</v>
      </c>
      <c r="N69" s="192">
        <f t="shared" si="65"/>
        <v>8157</v>
      </c>
      <c r="O69" s="192">
        <f t="shared" si="65"/>
        <v>11959</v>
      </c>
      <c r="P69" s="192">
        <f t="shared" si="65"/>
        <v>16360</v>
      </c>
      <c r="Q69" s="192">
        <f t="shared" si="65"/>
        <v>17428</v>
      </c>
      <c r="R69" s="192">
        <f t="shared" si="65"/>
        <v>11016</v>
      </c>
      <c r="S69" s="192">
        <f t="shared" si="65"/>
        <v>0</v>
      </c>
      <c r="T69" s="192">
        <f t="shared" si="65"/>
        <v>134590</v>
      </c>
      <c r="U69"/>
      <c r="V69"/>
      <c r="W69"/>
      <c r="X69"/>
    </row>
    <row r="70" spans="1:24" ht="15" customHeight="1" x14ac:dyDescent="0.25">
      <c r="A70" s="70"/>
      <c r="B70" s="141">
        <v>1020301</v>
      </c>
      <c r="C70" s="130" t="str">
        <f t="shared" si="57"/>
        <v>I-01020301</v>
      </c>
      <c r="D70" s="130">
        <v>20</v>
      </c>
      <c r="E70" s="141" t="s">
        <v>72</v>
      </c>
      <c r="F70" s="347" t="s">
        <v>76</v>
      </c>
      <c r="G70" s="193">
        <v>171070</v>
      </c>
      <c r="H70" s="193">
        <v>8515</v>
      </c>
      <c r="I70" s="193">
        <v>7524</v>
      </c>
      <c r="J70" s="193">
        <v>12906</v>
      </c>
      <c r="K70" s="193">
        <v>15842</v>
      </c>
      <c r="L70" s="193">
        <v>10734</v>
      </c>
      <c r="M70" s="193">
        <v>9711</v>
      </c>
      <c r="N70" s="193">
        <v>7686</v>
      </c>
      <c r="O70" s="193">
        <v>10935</v>
      </c>
      <c r="P70" s="193">
        <v>15197</v>
      </c>
      <c r="Q70" s="193">
        <v>16326</v>
      </c>
      <c r="R70" s="193">
        <v>10096</v>
      </c>
      <c r="S70" s="193">
        <v>0</v>
      </c>
      <c r="T70" s="193">
        <f>SUM(H70:S70)</f>
        <v>125472</v>
      </c>
      <c r="U70"/>
      <c r="V70"/>
      <c r="W70"/>
      <c r="X70"/>
    </row>
    <row r="71" spans="1:24" ht="15" customHeight="1" x14ac:dyDescent="0.25">
      <c r="A71" s="70"/>
      <c r="B71" s="141">
        <v>1020302</v>
      </c>
      <c r="C71" s="130" t="str">
        <f t="shared" si="57"/>
        <v>I-01020302</v>
      </c>
      <c r="D71" s="130">
        <v>21</v>
      </c>
      <c r="E71" s="141" t="s">
        <v>72</v>
      </c>
      <c r="F71" s="347" t="s">
        <v>77</v>
      </c>
      <c r="G71" s="193">
        <v>11700</v>
      </c>
      <c r="H71" s="193">
        <v>516</v>
      </c>
      <c r="I71" s="193">
        <v>680</v>
      </c>
      <c r="J71" s="193">
        <v>1011</v>
      </c>
      <c r="K71" s="193">
        <v>1156</v>
      </c>
      <c r="L71" s="193">
        <v>635</v>
      </c>
      <c r="M71" s="193">
        <v>440</v>
      </c>
      <c r="N71" s="193">
        <v>471</v>
      </c>
      <c r="O71" s="193">
        <v>1024</v>
      </c>
      <c r="P71" s="193">
        <v>1163</v>
      </c>
      <c r="Q71" s="193">
        <v>1102</v>
      </c>
      <c r="R71" s="193">
        <v>920</v>
      </c>
      <c r="S71" s="193">
        <v>0</v>
      </c>
      <c r="T71" s="193">
        <f>SUM(H71:S71)</f>
        <v>9118</v>
      </c>
      <c r="U71"/>
      <c r="V71"/>
      <c r="W71"/>
      <c r="X71"/>
    </row>
    <row r="72" spans="1:24" ht="15" customHeight="1" x14ac:dyDescent="0.25">
      <c r="A72" s="70"/>
      <c r="B72" s="139">
        <v>103</v>
      </c>
      <c r="C72" s="130" t="str">
        <f t="shared" si="57"/>
        <v>I-0103</v>
      </c>
      <c r="D72" s="130">
        <v>22</v>
      </c>
      <c r="E72" s="139" t="s">
        <v>69</v>
      </c>
      <c r="F72" s="189" t="s">
        <v>82</v>
      </c>
      <c r="G72" s="190">
        <f>+G73+G76+G79</f>
        <v>4518997</v>
      </c>
      <c r="H72" s="190">
        <f t="shared" ref="H72:T72" si="66">+H73+H76+H79</f>
        <v>617424</v>
      </c>
      <c r="I72" s="190">
        <f t="shared" si="66"/>
        <v>287779</v>
      </c>
      <c r="J72" s="190">
        <f t="shared" si="66"/>
        <v>288015</v>
      </c>
      <c r="K72" s="190">
        <f t="shared" si="66"/>
        <v>271905</v>
      </c>
      <c r="L72" s="190">
        <f t="shared" si="66"/>
        <v>316113</v>
      </c>
      <c r="M72" s="190">
        <f t="shared" si="66"/>
        <v>265886</v>
      </c>
      <c r="N72" s="190">
        <f t="shared" si="66"/>
        <v>571753</v>
      </c>
      <c r="O72" s="190">
        <f t="shared" si="66"/>
        <v>281426</v>
      </c>
      <c r="P72" s="190">
        <f t="shared" si="66"/>
        <v>265170</v>
      </c>
      <c r="Q72" s="190">
        <f t="shared" si="66"/>
        <v>262594</v>
      </c>
      <c r="R72" s="190">
        <f t="shared" si="66"/>
        <v>276062</v>
      </c>
      <c r="S72" s="190">
        <f t="shared" si="66"/>
        <v>0</v>
      </c>
      <c r="T72" s="190">
        <f t="shared" si="66"/>
        <v>3704127</v>
      </c>
      <c r="U72"/>
      <c r="V72"/>
      <c r="W72"/>
      <c r="X72"/>
    </row>
    <row r="73" spans="1:24" ht="15" customHeight="1" x14ac:dyDescent="0.25">
      <c r="A73" s="52">
        <v>1</v>
      </c>
      <c r="B73" s="140">
        <v>10301</v>
      </c>
      <c r="C73" s="130" t="str">
        <f t="shared" si="57"/>
        <v>I-010301</v>
      </c>
      <c r="D73" s="130">
        <v>23</v>
      </c>
      <c r="E73" s="140" t="s">
        <v>69</v>
      </c>
      <c r="F73" s="191" t="s">
        <v>71</v>
      </c>
      <c r="G73" s="192">
        <f>SUM(G74:G75)</f>
        <v>3627435</v>
      </c>
      <c r="H73" s="192">
        <f t="shared" ref="H73:T73" si="67">SUM(H74:H75)</f>
        <v>292983</v>
      </c>
      <c r="I73" s="192">
        <f t="shared" si="67"/>
        <v>275277</v>
      </c>
      <c r="J73" s="192">
        <f t="shared" si="67"/>
        <v>278809</v>
      </c>
      <c r="K73" s="192">
        <f t="shared" si="67"/>
        <v>257783</v>
      </c>
      <c r="L73" s="192">
        <f t="shared" si="67"/>
        <v>305301</v>
      </c>
      <c r="M73" s="192">
        <f t="shared" si="67"/>
        <v>220116</v>
      </c>
      <c r="N73" s="192">
        <f t="shared" si="67"/>
        <v>268323</v>
      </c>
      <c r="O73" s="192">
        <f t="shared" si="67"/>
        <v>265747</v>
      </c>
      <c r="P73" s="192">
        <f t="shared" si="67"/>
        <v>252381</v>
      </c>
      <c r="Q73" s="192">
        <f t="shared" si="67"/>
        <v>247588</v>
      </c>
      <c r="R73" s="192">
        <f t="shared" si="67"/>
        <v>259696</v>
      </c>
      <c r="S73" s="192">
        <f t="shared" si="67"/>
        <v>0</v>
      </c>
      <c r="T73" s="192">
        <f t="shared" si="67"/>
        <v>2924004</v>
      </c>
      <c r="U73"/>
      <c r="V73"/>
      <c r="W73"/>
      <c r="X73"/>
    </row>
    <row r="74" spans="1:24" ht="15" customHeight="1" x14ac:dyDescent="0.25">
      <c r="A74" s="70"/>
      <c r="B74" s="141">
        <v>1030101</v>
      </c>
      <c r="C74" s="130" t="str">
        <f t="shared" si="57"/>
        <v>I-01030101</v>
      </c>
      <c r="D74" s="130">
        <v>24</v>
      </c>
      <c r="E74" s="141" t="s">
        <v>72</v>
      </c>
      <c r="F74" s="347" t="s">
        <v>83</v>
      </c>
      <c r="G74" s="193">
        <v>3529235</v>
      </c>
      <c r="H74" s="193">
        <v>285711</v>
      </c>
      <c r="I74" s="193">
        <f>268819-63-38-63-63-126</f>
        <v>268466</v>
      </c>
      <c r="J74" s="193">
        <f>272105-63</f>
        <v>272042</v>
      </c>
      <c r="K74" s="193">
        <v>252266</v>
      </c>
      <c r="L74" s="193">
        <f>298012-80</f>
        <v>297932</v>
      </c>
      <c r="M74" s="193">
        <v>215446</v>
      </c>
      <c r="N74" s="193">
        <v>262979</v>
      </c>
      <c r="O74" s="193">
        <v>260145</v>
      </c>
      <c r="P74" s="193">
        <v>246940</v>
      </c>
      <c r="Q74" s="193">
        <v>243061</v>
      </c>
      <c r="R74" s="193">
        <f>254431-119.7-0.3</f>
        <v>254311</v>
      </c>
      <c r="S74" s="193">
        <v>0</v>
      </c>
      <c r="T74" s="193">
        <f>SUM(H74:S74)</f>
        <v>2859299</v>
      </c>
      <c r="U74"/>
      <c r="V74"/>
      <c r="W74"/>
      <c r="X74"/>
    </row>
    <row r="75" spans="1:24" ht="15" customHeight="1" x14ac:dyDescent="0.25">
      <c r="A75" s="70"/>
      <c r="B75" s="141">
        <v>1030102</v>
      </c>
      <c r="C75" s="130" t="str">
        <f t="shared" si="57"/>
        <v>I-01030102</v>
      </c>
      <c r="D75" s="130">
        <v>25</v>
      </c>
      <c r="E75" s="141" t="s">
        <v>72</v>
      </c>
      <c r="F75" s="347" t="s">
        <v>77</v>
      </c>
      <c r="G75" s="193">
        <v>98200</v>
      </c>
      <c r="H75" s="193">
        <v>7272</v>
      </c>
      <c r="I75" s="193">
        <v>6811</v>
      </c>
      <c r="J75" s="193">
        <v>6767</v>
      </c>
      <c r="K75" s="193">
        <v>5517</v>
      </c>
      <c r="L75" s="193">
        <v>7369</v>
      </c>
      <c r="M75" s="193">
        <v>4670</v>
      </c>
      <c r="N75" s="193">
        <v>5344</v>
      </c>
      <c r="O75" s="193">
        <v>5602</v>
      </c>
      <c r="P75" s="193">
        <v>5441</v>
      </c>
      <c r="Q75" s="193">
        <v>4527</v>
      </c>
      <c r="R75" s="193">
        <v>5385</v>
      </c>
      <c r="S75" s="193">
        <v>0</v>
      </c>
      <c r="T75" s="193">
        <f>SUM(H75:S75)</f>
        <v>64705</v>
      </c>
      <c r="U75"/>
      <c r="V75"/>
      <c r="W75"/>
      <c r="X75"/>
    </row>
    <row r="76" spans="1:24" ht="15" customHeight="1" x14ac:dyDescent="0.25">
      <c r="A76" s="52">
        <v>2</v>
      </c>
      <c r="B76" s="140">
        <v>10302</v>
      </c>
      <c r="C76" s="130" t="str">
        <f t="shared" si="57"/>
        <v>I-010302</v>
      </c>
      <c r="D76" s="130">
        <v>26</v>
      </c>
      <c r="E76" s="140" t="s">
        <v>69</v>
      </c>
      <c r="F76" s="191" t="s">
        <v>75</v>
      </c>
      <c r="G76" s="192">
        <f>SUM(G77:G78)</f>
        <v>755362</v>
      </c>
      <c r="H76" s="192">
        <f t="shared" ref="H76:T76" si="68">SUM(H77:H78)</f>
        <v>317613</v>
      </c>
      <c r="I76" s="192">
        <f t="shared" si="68"/>
        <v>5560</v>
      </c>
      <c r="J76" s="192">
        <f t="shared" si="68"/>
        <v>440</v>
      </c>
      <c r="K76" s="192">
        <f t="shared" si="68"/>
        <v>1845</v>
      </c>
      <c r="L76" s="192">
        <f t="shared" si="68"/>
        <v>3167</v>
      </c>
      <c r="M76" s="192">
        <f t="shared" si="68"/>
        <v>37640</v>
      </c>
      <c r="N76" s="192">
        <f t="shared" si="68"/>
        <v>296118</v>
      </c>
      <c r="O76" s="192">
        <f t="shared" si="68"/>
        <v>6140</v>
      </c>
      <c r="P76" s="192">
        <f t="shared" si="68"/>
        <v>885</v>
      </c>
      <c r="Q76" s="192">
        <f t="shared" si="68"/>
        <v>3690</v>
      </c>
      <c r="R76" s="192">
        <f t="shared" si="68"/>
        <v>9275</v>
      </c>
      <c r="S76" s="192">
        <f t="shared" si="68"/>
        <v>0</v>
      </c>
      <c r="T76" s="192">
        <f t="shared" si="68"/>
        <v>682373</v>
      </c>
      <c r="U76"/>
      <c r="V76"/>
      <c r="W76"/>
      <c r="X76"/>
    </row>
    <row r="77" spans="1:24" ht="15" customHeight="1" x14ac:dyDescent="0.25">
      <c r="A77" s="70"/>
      <c r="B77" s="141">
        <v>1030201</v>
      </c>
      <c r="C77" s="130" t="str">
        <f t="shared" si="57"/>
        <v>I-01030201</v>
      </c>
      <c r="D77" s="130">
        <v>27</v>
      </c>
      <c r="E77" s="141" t="s">
        <v>72</v>
      </c>
      <c r="F77" s="347" t="s">
        <v>76</v>
      </c>
      <c r="G77" s="193">
        <v>737362</v>
      </c>
      <c r="H77" s="193">
        <v>309853</v>
      </c>
      <c r="I77" s="193">
        <f>5640-80-80-80-80-80</f>
        <v>5240</v>
      </c>
      <c r="J77" s="193">
        <f>520-80</f>
        <v>440</v>
      </c>
      <c r="K77" s="193">
        <v>1845</v>
      </c>
      <c r="L77" s="193">
        <f>3070-63</f>
        <v>3007</v>
      </c>
      <c r="M77" s="193">
        <v>37080</v>
      </c>
      <c r="N77" s="193">
        <v>290096</v>
      </c>
      <c r="O77" s="193">
        <v>5740</v>
      </c>
      <c r="P77" s="193">
        <v>885</v>
      </c>
      <c r="Q77" s="193">
        <v>3690</v>
      </c>
      <c r="R77" s="193">
        <v>9115</v>
      </c>
      <c r="S77" s="193">
        <v>0</v>
      </c>
      <c r="T77" s="193">
        <f>SUM(H77:S77)</f>
        <v>666991</v>
      </c>
      <c r="U77"/>
      <c r="V77"/>
      <c r="W77"/>
      <c r="X77"/>
    </row>
    <row r="78" spans="1:24" ht="15" customHeight="1" x14ac:dyDescent="0.25">
      <c r="A78" s="70"/>
      <c r="B78" s="141">
        <v>1030202</v>
      </c>
      <c r="C78" s="130" t="str">
        <f t="shared" si="57"/>
        <v>I-01030202</v>
      </c>
      <c r="D78" s="130">
        <v>28</v>
      </c>
      <c r="E78" s="141" t="s">
        <v>72</v>
      </c>
      <c r="F78" s="347" t="s">
        <v>84</v>
      </c>
      <c r="G78" s="193">
        <v>18000</v>
      </c>
      <c r="H78" s="193">
        <v>7760</v>
      </c>
      <c r="I78" s="193">
        <v>320</v>
      </c>
      <c r="J78" s="193">
        <v>0</v>
      </c>
      <c r="K78" s="193">
        <v>0</v>
      </c>
      <c r="L78" s="193">
        <v>160</v>
      </c>
      <c r="M78" s="193">
        <v>560</v>
      </c>
      <c r="N78" s="193">
        <v>6022</v>
      </c>
      <c r="O78" s="193">
        <v>400</v>
      </c>
      <c r="P78" s="193">
        <v>0</v>
      </c>
      <c r="Q78" s="193">
        <v>0</v>
      </c>
      <c r="R78" s="193">
        <v>160</v>
      </c>
      <c r="S78" s="193">
        <v>0</v>
      </c>
      <c r="T78" s="193">
        <f>SUM(H78:S78)</f>
        <v>15382</v>
      </c>
      <c r="U78"/>
      <c r="V78"/>
      <c r="W78"/>
      <c r="X78"/>
    </row>
    <row r="79" spans="1:24" ht="15" customHeight="1" x14ac:dyDescent="0.25">
      <c r="A79" s="52">
        <v>6</v>
      </c>
      <c r="B79" s="140">
        <v>10303</v>
      </c>
      <c r="C79" s="130" t="str">
        <f t="shared" si="57"/>
        <v>I-010303</v>
      </c>
      <c r="D79" s="130">
        <v>29</v>
      </c>
      <c r="E79" s="140" t="s">
        <v>69</v>
      </c>
      <c r="F79" s="191" t="s">
        <v>81</v>
      </c>
      <c r="G79" s="192">
        <f>SUM(G80:G81)</f>
        <v>136200</v>
      </c>
      <c r="H79" s="192">
        <f t="shared" ref="H79:T79" si="69">SUM(H80:H81)</f>
        <v>6828</v>
      </c>
      <c r="I79" s="192">
        <f t="shared" si="69"/>
        <v>6942</v>
      </c>
      <c r="J79" s="192">
        <f t="shared" si="69"/>
        <v>8766</v>
      </c>
      <c r="K79" s="192">
        <f t="shared" si="69"/>
        <v>12277</v>
      </c>
      <c r="L79" s="192">
        <f t="shared" si="69"/>
        <v>7645</v>
      </c>
      <c r="M79" s="192">
        <f t="shared" si="69"/>
        <v>8130</v>
      </c>
      <c r="N79" s="192">
        <f t="shared" si="69"/>
        <v>7312</v>
      </c>
      <c r="O79" s="192">
        <f t="shared" si="69"/>
        <v>9539</v>
      </c>
      <c r="P79" s="192">
        <f t="shared" si="69"/>
        <v>11904</v>
      </c>
      <c r="Q79" s="192">
        <f t="shared" si="69"/>
        <v>11316</v>
      </c>
      <c r="R79" s="192">
        <f t="shared" si="69"/>
        <v>7091</v>
      </c>
      <c r="S79" s="192">
        <f t="shared" si="69"/>
        <v>0</v>
      </c>
      <c r="T79" s="192">
        <f t="shared" si="69"/>
        <v>97750</v>
      </c>
      <c r="U79"/>
      <c r="V79"/>
      <c r="W79"/>
      <c r="X79"/>
    </row>
    <row r="80" spans="1:24" ht="15" customHeight="1" x14ac:dyDescent="0.25">
      <c r="A80" s="70"/>
      <c r="B80" s="141">
        <v>1030301</v>
      </c>
      <c r="C80" s="130" t="str">
        <f t="shared" si="57"/>
        <v>I-01030301</v>
      </c>
      <c r="D80" s="130">
        <v>30</v>
      </c>
      <c r="E80" s="141" t="s">
        <v>72</v>
      </c>
      <c r="F80" s="347" t="s">
        <v>76</v>
      </c>
      <c r="G80" s="193">
        <v>131600</v>
      </c>
      <c r="H80" s="193">
        <v>6595</v>
      </c>
      <c r="I80" s="193">
        <v>6697</v>
      </c>
      <c r="J80" s="193">
        <v>8451</v>
      </c>
      <c r="K80" s="193">
        <v>11988</v>
      </c>
      <c r="L80" s="193">
        <v>7420</v>
      </c>
      <c r="M80" s="193">
        <v>7944</v>
      </c>
      <c r="N80" s="193">
        <v>7125</v>
      </c>
      <c r="O80" s="193">
        <v>9242</v>
      </c>
      <c r="P80" s="193">
        <v>11447</v>
      </c>
      <c r="Q80" s="193">
        <v>11082</v>
      </c>
      <c r="R80" s="193">
        <v>6847</v>
      </c>
      <c r="S80" s="193">
        <v>0</v>
      </c>
      <c r="T80" s="193">
        <f>SUM(H80:S80)</f>
        <v>94838</v>
      </c>
      <c r="U80"/>
      <c r="V80"/>
      <c r="W80"/>
      <c r="X80"/>
    </row>
    <row r="81" spans="1:24" ht="15" customHeight="1" x14ac:dyDescent="0.25">
      <c r="A81" s="70"/>
      <c r="B81" s="141">
        <v>1030302</v>
      </c>
      <c r="C81" s="130" t="str">
        <f t="shared" si="57"/>
        <v>I-01030302</v>
      </c>
      <c r="D81" s="130">
        <v>31</v>
      </c>
      <c r="E81" s="141" t="s">
        <v>72</v>
      </c>
      <c r="F81" s="347" t="s">
        <v>77</v>
      </c>
      <c r="G81" s="193">
        <v>4600</v>
      </c>
      <c r="H81" s="193">
        <v>233</v>
      </c>
      <c r="I81" s="193">
        <v>245</v>
      </c>
      <c r="J81" s="193">
        <v>315</v>
      </c>
      <c r="K81" s="193">
        <v>289</v>
      </c>
      <c r="L81" s="193">
        <v>225</v>
      </c>
      <c r="M81" s="193">
        <v>186</v>
      </c>
      <c r="N81" s="193">
        <v>187</v>
      </c>
      <c r="O81" s="193">
        <v>297</v>
      </c>
      <c r="P81" s="193">
        <v>457</v>
      </c>
      <c r="Q81" s="193">
        <v>234</v>
      </c>
      <c r="R81" s="193">
        <v>244</v>
      </c>
      <c r="S81" s="193">
        <v>0</v>
      </c>
      <c r="T81" s="193">
        <f>SUM(H81:S81)</f>
        <v>2912</v>
      </c>
      <c r="U81"/>
      <c r="V81"/>
      <c r="W81"/>
      <c r="X81"/>
    </row>
    <row r="82" spans="1:24" ht="15" customHeight="1" x14ac:dyDescent="0.25">
      <c r="A82" s="70"/>
      <c r="B82" s="139">
        <v>104</v>
      </c>
      <c r="C82" s="130" t="str">
        <f t="shared" si="57"/>
        <v>I-0104</v>
      </c>
      <c r="D82" s="130">
        <v>32</v>
      </c>
      <c r="E82" s="139" t="s">
        <v>69</v>
      </c>
      <c r="F82" s="189" t="s">
        <v>85</v>
      </c>
      <c r="G82" s="190">
        <f t="shared" ref="G82:T82" si="70">+G83+G85+G87</f>
        <v>1484172</v>
      </c>
      <c r="H82" s="190">
        <f t="shared" si="70"/>
        <v>264115</v>
      </c>
      <c r="I82" s="190">
        <f t="shared" si="70"/>
        <v>130434</v>
      </c>
      <c r="J82" s="190">
        <f t="shared" si="70"/>
        <v>129900</v>
      </c>
      <c r="K82" s="190">
        <f t="shared" si="70"/>
        <v>114292</v>
      </c>
      <c r="L82" s="190">
        <f t="shared" si="70"/>
        <v>137303</v>
      </c>
      <c r="M82" s="190">
        <f t="shared" si="70"/>
        <v>127949</v>
      </c>
      <c r="N82" s="190">
        <f t="shared" si="70"/>
        <v>253472</v>
      </c>
      <c r="O82" s="190">
        <f t="shared" si="70"/>
        <v>129303</v>
      </c>
      <c r="P82" s="190">
        <f t="shared" si="70"/>
        <v>127121</v>
      </c>
      <c r="Q82" s="190">
        <f t="shared" si="70"/>
        <v>122354</v>
      </c>
      <c r="R82" s="190">
        <f t="shared" si="70"/>
        <v>124270</v>
      </c>
      <c r="S82" s="190">
        <f t="shared" si="70"/>
        <v>0</v>
      </c>
      <c r="T82" s="190">
        <f t="shared" si="70"/>
        <v>1660513</v>
      </c>
      <c r="U82"/>
      <c r="V82"/>
      <c r="W82"/>
      <c r="X82"/>
    </row>
    <row r="83" spans="1:24" ht="15" customHeight="1" x14ac:dyDescent="0.25">
      <c r="A83" s="52">
        <v>1</v>
      </c>
      <c r="B83" s="140">
        <v>10401</v>
      </c>
      <c r="C83" s="130" t="str">
        <f t="shared" si="57"/>
        <v>I-010401</v>
      </c>
      <c r="D83" s="130">
        <v>33</v>
      </c>
      <c r="E83" s="140" t="s">
        <v>69</v>
      </c>
      <c r="F83" s="191" t="s">
        <v>71</v>
      </c>
      <c r="G83" s="192">
        <f>SUM(G84:G84)</f>
        <v>1125142</v>
      </c>
      <c r="H83" s="192">
        <f t="shared" ref="H83:T83" si="71">SUM(H84:H84)</f>
        <v>126686</v>
      </c>
      <c r="I83" s="192">
        <f t="shared" si="71"/>
        <v>119984</v>
      </c>
      <c r="J83" s="192">
        <f t="shared" si="71"/>
        <v>122327</v>
      </c>
      <c r="K83" s="192">
        <f t="shared" si="71"/>
        <v>105492</v>
      </c>
      <c r="L83" s="192">
        <f t="shared" si="71"/>
        <v>129617</v>
      </c>
      <c r="M83" s="192">
        <f t="shared" si="71"/>
        <v>101334</v>
      </c>
      <c r="N83" s="192">
        <f t="shared" si="71"/>
        <v>117669</v>
      </c>
      <c r="O83" s="192">
        <f t="shared" si="71"/>
        <v>119544</v>
      </c>
      <c r="P83" s="192">
        <f>+P84</f>
        <v>117197</v>
      </c>
      <c r="Q83" s="192">
        <f t="shared" si="71"/>
        <v>111764</v>
      </c>
      <c r="R83" s="192">
        <f t="shared" si="71"/>
        <v>114401</v>
      </c>
      <c r="S83" s="192">
        <f t="shared" si="71"/>
        <v>0</v>
      </c>
      <c r="T83" s="192">
        <f t="shared" si="71"/>
        <v>1286015</v>
      </c>
      <c r="U83"/>
      <c r="V83"/>
      <c r="W83"/>
      <c r="X83"/>
    </row>
    <row r="84" spans="1:24" ht="15" customHeight="1" x14ac:dyDescent="0.25">
      <c r="A84" s="70"/>
      <c r="B84" s="141">
        <v>1040101</v>
      </c>
      <c r="C84" s="130" t="str">
        <f t="shared" si="57"/>
        <v>I-01040101</v>
      </c>
      <c r="D84" s="130">
        <v>34</v>
      </c>
      <c r="E84" s="141" t="s">
        <v>72</v>
      </c>
      <c r="F84" s="347" t="s">
        <v>73</v>
      </c>
      <c r="G84" s="193">
        <v>1125142</v>
      </c>
      <c r="H84" s="193">
        <v>126686</v>
      </c>
      <c r="I84" s="193">
        <v>119984</v>
      </c>
      <c r="J84" s="193">
        <v>122327</v>
      </c>
      <c r="K84" s="193">
        <f>105567-75</f>
        <v>105492</v>
      </c>
      <c r="L84" s="193">
        <v>129617</v>
      </c>
      <c r="M84" s="193">
        <v>101334</v>
      </c>
      <c r="N84" s="193">
        <v>117669</v>
      </c>
      <c r="O84" s="193">
        <v>119544</v>
      </c>
      <c r="P84" s="193">
        <v>117197</v>
      </c>
      <c r="Q84" s="193">
        <v>111764</v>
      </c>
      <c r="R84" s="193">
        <v>114401</v>
      </c>
      <c r="S84" s="193">
        <v>0</v>
      </c>
      <c r="T84" s="193">
        <f>SUM(H84:S84)</f>
        <v>1286015</v>
      </c>
      <c r="U84"/>
      <c r="V84"/>
      <c r="W84"/>
      <c r="X84"/>
    </row>
    <row r="85" spans="1:24" ht="15" customHeight="1" x14ac:dyDescent="0.25">
      <c r="A85" s="70"/>
      <c r="B85" s="140">
        <v>10402</v>
      </c>
      <c r="C85" s="130" t="str">
        <f t="shared" si="57"/>
        <v>I-010402</v>
      </c>
      <c r="D85" s="130">
        <v>35</v>
      </c>
      <c r="E85" s="140" t="s">
        <v>69</v>
      </c>
      <c r="F85" s="191" t="s">
        <v>75</v>
      </c>
      <c r="G85" s="192">
        <f t="shared" ref="G85:O85" si="72">+G86</f>
        <v>271300</v>
      </c>
      <c r="H85" s="192">
        <f t="shared" si="72"/>
        <v>134210</v>
      </c>
      <c r="I85" s="192">
        <f t="shared" si="72"/>
        <v>5060</v>
      </c>
      <c r="J85" s="192">
        <f t="shared" si="72"/>
        <v>480</v>
      </c>
      <c r="K85" s="192">
        <f t="shared" si="72"/>
        <v>80</v>
      </c>
      <c r="L85" s="192">
        <f t="shared" si="72"/>
        <v>2085</v>
      </c>
      <c r="M85" s="192">
        <f t="shared" si="72"/>
        <v>21180</v>
      </c>
      <c r="N85" s="192">
        <f t="shared" si="72"/>
        <v>131335</v>
      </c>
      <c r="O85" s="192">
        <f t="shared" si="72"/>
        <v>3780</v>
      </c>
      <c r="P85" s="192">
        <f>+P86</f>
        <v>280</v>
      </c>
      <c r="Q85" s="192">
        <f t="shared" ref="Q85:T85" si="73">+Q86</f>
        <v>2120</v>
      </c>
      <c r="R85" s="192">
        <f t="shared" si="73"/>
        <v>3555</v>
      </c>
      <c r="S85" s="192">
        <f t="shared" si="73"/>
        <v>0</v>
      </c>
      <c r="T85" s="192">
        <f t="shared" si="73"/>
        <v>304165</v>
      </c>
      <c r="U85"/>
      <c r="V85"/>
      <c r="W85"/>
      <c r="X85"/>
    </row>
    <row r="86" spans="1:24" ht="15" customHeight="1" x14ac:dyDescent="0.25">
      <c r="A86" s="52">
        <v>2</v>
      </c>
      <c r="B86" s="141">
        <v>1040201</v>
      </c>
      <c r="C86" s="130" t="str">
        <f t="shared" si="57"/>
        <v>I-01040201</v>
      </c>
      <c r="D86" s="130">
        <v>36</v>
      </c>
      <c r="E86" s="141" t="s">
        <v>72</v>
      </c>
      <c r="F86" s="347" t="s">
        <v>76</v>
      </c>
      <c r="G86" s="193">
        <v>271300</v>
      </c>
      <c r="H86" s="193">
        <v>134210</v>
      </c>
      <c r="I86" s="193">
        <v>5060</v>
      </c>
      <c r="J86" s="193">
        <v>480</v>
      </c>
      <c r="K86" s="193">
        <f>180-100</f>
        <v>80</v>
      </c>
      <c r="L86" s="193">
        <v>2085</v>
      </c>
      <c r="M86" s="193">
        <v>21180</v>
      </c>
      <c r="N86" s="193">
        <v>131335</v>
      </c>
      <c r="O86" s="193">
        <v>3780</v>
      </c>
      <c r="P86" s="193">
        <v>280</v>
      </c>
      <c r="Q86" s="193">
        <v>2120</v>
      </c>
      <c r="R86" s="193">
        <v>3555</v>
      </c>
      <c r="S86" s="193">
        <v>0</v>
      </c>
      <c r="T86" s="193">
        <f>SUM(H86:S86)</f>
        <v>304165</v>
      </c>
      <c r="U86"/>
      <c r="V86"/>
      <c r="W86"/>
      <c r="X86"/>
    </row>
    <row r="87" spans="1:24" ht="15" customHeight="1" x14ac:dyDescent="0.25">
      <c r="A87" s="70"/>
      <c r="B87" s="140">
        <v>10403</v>
      </c>
      <c r="C87" s="130" t="str">
        <f t="shared" si="57"/>
        <v>I-010403</v>
      </c>
      <c r="D87" s="130">
        <v>37</v>
      </c>
      <c r="E87" s="140" t="s">
        <v>69</v>
      </c>
      <c r="F87" s="191" t="s">
        <v>81</v>
      </c>
      <c r="G87" s="192">
        <f t="shared" ref="G87:O87" si="74">+G88</f>
        <v>87730</v>
      </c>
      <c r="H87" s="192">
        <f t="shared" si="74"/>
        <v>3219</v>
      </c>
      <c r="I87" s="192">
        <f t="shared" si="74"/>
        <v>5390</v>
      </c>
      <c r="J87" s="192">
        <f t="shared" si="74"/>
        <v>7093</v>
      </c>
      <c r="K87" s="192">
        <f t="shared" si="74"/>
        <v>8720</v>
      </c>
      <c r="L87" s="192">
        <f t="shared" si="74"/>
        <v>5601</v>
      </c>
      <c r="M87" s="192">
        <f t="shared" si="74"/>
        <v>5435</v>
      </c>
      <c r="N87" s="192">
        <f t="shared" si="74"/>
        <v>4468</v>
      </c>
      <c r="O87" s="192">
        <f t="shared" si="74"/>
        <v>5979</v>
      </c>
      <c r="P87" s="192">
        <f>+P88</f>
        <v>9644</v>
      </c>
      <c r="Q87" s="192">
        <f t="shared" ref="Q87:T87" si="75">+Q88</f>
        <v>8470</v>
      </c>
      <c r="R87" s="192">
        <f t="shared" si="75"/>
        <v>6314</v>
      </c>
      <c r="S87" s="192">
        <f t="shared" si="75"/>
        <v>0</v>
      </c>
      <c r="T87" s="192">
        <f t="shared" si="75"/>
        <v>70333</v>
      </c>
      <c r="U87"/>
      <c r="V87"/>
      <c r="W87"/>
      <c r="X87"/>
    </row>
    <row r="88" spans="1:24" ht="15" customHeight="1" x14ac:dyDescent="0.25">
      <c r="A88" s="70"/>
      <c r="B88" s="141">
        <v>1040301</v>
      </c>
      <c r="C88" s="130" t="str">
        <f t="shared" si="57"/>
        <v>I-01040301</v>
      </c>
      <c r="D88" s="130">
        <v>38</v>
      </c>
      <c r="E88" s="141" t="s">
        <v>72</v>
      </c>
      <c r="F88" s="347" t="s">
        <v>76</v>
      </c>
      <c r="G88" s="193">
        <v>87730</v>
      </c>
      <c r="H88" s="193">
        <v>3219</v>
      </c>
      <c r="I88" s="193">
        <v>5390</v>
      </c>
      <c r="J88" s="193">
        <v>7093</v>
      </c>
      <c r="K88" s="193">
        <v>8720</v>
      </c>
      <c r="L88" s="193">
        <v>5601</v>
      </c>
      <c r="M88" s="193">
        <v>5435</v>
      </c>
      <c r="N88" s="193">
        <v>4468</v>
      </c>
      <c r="O88" s="193">
        <v>5979</v>
      </c>
      <c r="P88" s="193">
        <v>9644</v>
      </c>
      <c r="Q88" s="193">
        <v>8470</v>
      </c>
      <c r="R88" s="193">
        <v>6314</v>
      </c>
      <c r="S88" s="193">
        <v>0</v>
      </c>
      <c r="T88" s="193">
        <f>SUM(H88:S88)</f>
        <v>70333</v>
      </c>
      <c r="U88"/>
      <c r="V88"/>
      <c r="W88"/>
      <c r="X88"/>
    </row>
    <row r="89" spans="1:24" ht="15.75" x14ac:dyDescent="0.25">
      <c r="A89" s="49">
        <v>6</v>
      </c>
      <c r="B89" s="143">
        <v>2</v>
      </c>
      <c r="C89" s="130" t="str">
        <f t="shared" si="57"/>
        <v>I-02</v>
      </c>
      <c r="D89" s="130">
        <v>39</v>
      </c>
      <c r="E89" s="143" t="s">
        <v>67</v>
      </c>
      <c r="F89" s="195" t="s">
        <v>19</v>
      </c>
      <c r="G89" s="188">
        <f t="shared" ref="G89:T89" si="76">+G90+G95</f>
        <v>3550000</v>
      </c>
      <c r="H89" s="188">
        <f t="shared" si="76"/>
        <v>168860</v>
      </c>
      <c r="I89" s="188">
        <f t="shared" si="76"/>
        <v>439881</v>
      </c>
      <c r="J89" s="188">
        <f t="shared" si="76"/>
        <v>271846</v>
      </c>
      <c r="K89" s="188">
        <f t="shared" si="76"/>
        <v>309021</v>
      </c>
      <c r="L89" s="188">
        <f t="shared" si="76"/>
        <v>275840</v>
      </c>
      <c r="M89" s="188">
        <f t="shared" si="76"/>
        <v>202269</v>
      </c>
      <c r="N89" s="188">
        <f t="shared" si="76"/>
        <v>304204</v>
      </c>
      <c r="O89" s="188">
        <f t="shared" si="76"/>
        <v>339716</v>
      </c>
      <c r="P89" s="188">
        <f t="shared" si="76"/>
        <v>283036</v>
      </c>
      <c r="Q89" s="188">
        <f t="shared" si="76"/>
        <v>300165</v>
      </c>
      <c r="R89" s="188">
        <f t="shared" si="76"/>
        <v>320385</v>
      </c>
      <c r="S89" s="188">
        <f t="shared" si="76"/>
        <v>0</v>
      </c>
      <c r="T89" s="188">
        <f t="shared" si="76"/>
        <v>3215223</v>
      </c>
      <c r="U89"/>
      <c r="V89"/>
      <c r="W89"/>
      <c r="X89"/>
    </row>
    <row r="90" spans="1:24" ht="15" customHeight="1" x14ac:dyDescent="0.25">
      <c r="A90" s="52">
        <v>3.1</v>
      </c>
      <c r="B90" s="139">
        <v>201</v>
      </c>
      <c r="C90" s="130" t="str">
        <f t="shared" si="57"/>
        <v>I-0201</v>
      </c>
      <c r="D90" s="130">
        <v>40</v>
      </c>
      <c r="E90" s="139" t="s">
        <v>69</v>
      </c>
      <c r="F90" s="189" t="s">
        <v>86</v>
      </c>
      <c r="G90" s="190">
        <f>SUM(G91:G94)</f>
        <v>3395300</v>
      </c>
      <c r="H90" s="190">
        <f t="shared" ref="H90:T90" si="77">SUM(H91:H94)</f>
        <v>159575</v>
      </c>
      <c r="I90" s="190">
        <f t="shared" si="77"/>
        <v>416162</v>
      </c>
      <c r="J90" s="190">
        <f t="shared" si="77"/>
        <v>262275</v>
      </c>
      <c r="K90" s="190">
        <f t="shared" si="77"/>
        <v>299465</v>
      </c>
      <c r="L90" s="190">
        <f t="shared" si="77"/>
        <v>261840</v>
      </c>
      <c r="M90" s="190">
        <f t="shared" si="77"/>
        <v>179660</v>
      </c>
      <c r="N90" s="190">
        <f t="shared" si="77"/>
        <v>289370</v>
      </c>
      <c r="O90" s="190">
        <f t="shared" si="77"/>
        <v>333325</v>
      </c>
      <c r="P90" s="190">
        <f t="shared" si="77"/>
        <v>277950</v>
      </c>
      <c r="Q90" s="190">
        <f t="shared" si="77"/>
        <v>294080</v>
      </c>
      <c r="R90" s="190">
        <f t="shared" si="77"/>
        <v>309285</v>
      </c>
      <c r="S90" s="190">
        <f t="shared" si="77"/>
        <v>0</v>
      </c>
      <c r="T90" s="190">
        <f t="shared" si="77"/>
        <v>3082987</v>
      </c>
      <c r="U90"/>
      <c r="V90"/>
      <c r="W90"/>
      <c r="X90"/>
    </row>
    <row r="91" spans="1:24" ht="15" customHeight="1" x14ac:dyDescent="0.25">
      <c r="A91" s="70"/>
      <c r="B91" s="141">
        <v>20101</v>
      </c>
      <c r="C91" s="130" t="str">
        <f t="shared" si="57"/>
        <v>I-020101</v>
      </c>
      <c r="D91" s="130">
        <v>41</v>
      </c>
      <c r="E91" s="141" t="s">
        <v>72</v>
      </c>
      <c r="F91" s="347" t="s">
        <v>87</v>
      </c>
      <c r="G91" s="193">
        <v>1262700</v>
      </c>
      <c r="H91" s="193">
        <v>60625</v>
      </c>
      <c r="I91" s="193">
        <v>162890</v>
      </c>
      <c r="J91" s="193">
        <v>103885</v>
      </c>
      <c r="K91" s="193">
        <v>122540</v>
      </c>
      <c r="L91" s="193">
        <v>97185</v>
      </c>
      <c r="M91" s="193">
        <v>71030</v>
      </c>
      <c r="N91" s="193">
        <v>117555</v>
      </c>
      <c r="O91" s="193">
        <v>129780</v>
      </c>
      <c r="P91" s="193">
        <v>110885</v>
      </c>
      <c r="Q91" s="193">
        <v>116655</v>
      </c>
      <c r="R91" s="193">
        <v>118410</v>
      </c>
      <c r="S91" s="193">
        <v>0</v>
      </c>
      <c r="T91" s="193">
        <f>SUM(H91:S91)</f>
        <v>1211440</v>
      </c>
      <c r="U91"/>
      <c r="V91"/>
      <c r="W91"/>
      <c r="X91"/>
    </row>
    <row r="92" spans="1:24" ht="15" customHeight="1" x14ac:dyDescent="0.25">
      <c r="A92" s="70"/>
      <c r="B92" s="141">
        <v>20102</v>
      </c>
      <c r="C92" s="130" t="str">
        <f t="shared" si="57"/>
        <v>I-020102</v>
      </c>
      <c r="D92" s="130">
        <v>42</v>
      </c>
      <c r="E92" s="141" t="s">
        <v>72</v>
      </c>
      <c r="F92" s="347" t="s">
        <v>88</v>
      </c>
      <c r="G92" s="193">
        <v>1060000</v>
      </c>
      <c r="H92" s="193">
        <v>50350</v>
      </c>
      <c r="I92" s="193">
        <v>116557</v>
      </c>
      <c r="J92" s="193">
        <v>78060</v>
      </c>
      <c r="K92" s="193">
        <v>87080</v>
      </c>
      <c r="L92" s="193">
        <v>77440</v>
      </c>
      <c r="M92" s="193">
        <v>48965</v>
      </c>
      <c r="N92" s="193">
        <v>86880</v>
      </c>
      <c r="O92" s="193">
        <v>97745</v>
      </c>
      <c r="P92" s="193">
        <v>79620</v>
      </c>
      <c r="Q92" s="193">
        <v>83760</v>
      </c>
      <c r="R92" s="193">
        <v>90120</v>
      </c>
      <c r="S92" s="193">
        <v>0</v>
      </c>
      <c r="T92" s="193">
        <f>SUM(H92:S92)</f>
        <v>896577</v>
      </c>
      <c r="U92"/>
      <c r="V92"/>
      <c r="W92"/>
      <c r="X92"/>
    </row>
    <row r="93" spans="1:24" ht="15" customHeight="1" x14ac:dyDescent="0.25">
      <c r="A93" s="70"/>
      <c r="B93" s="141">
        <v>20103</v>
      </c>
      <c r="C93" s="130" t="str">
        <f t="shared" si="57"/>
        <v>I-020103</v>
      </c>
      <c r="D93" s="130">
        <v>43</v>
      </c>
      <c r="E93" s="141" t="s">
        <v>72</v>
      </c>
      <c r="F93" s="347" t="s">
        <v>89</v>
      </c>
      <c r="G93" s="193">
        <v>835900</v>
      </c>
      <c r="H93" s="193">
        <v>35550</v>
      </c>
      <c r="I93" s="193">
        <v>106990</v>
      </c>
      <c r="J93" s="193">
        <v>61370</v>
      </c>
      <c r="K93" s="193">
        <v>68295</v>
      </c>
      <c r="L93" s="193">
        <v>67715</v>
      </c>
      <c r="M93" s="193">
        <v>46085</v>
      </c>
      <c r="N93" s="193">
        <v>61635</v>
      </c>
      <c r="O93" s="193">
        <v>83615</v>
      </c>
      <c r="P93" s="193">
        <v>68005</v>
      </c>
      <c r="Q93" s="193">
        <v>72325</v>
      </c>
      <c r="R93" s="193">
        <v>81150</v>
      </c>
      <c r="S93" s="193">
        <v>0</v>
      </c>
      <c r="T93" s="193">
        <f>SUM(H93:S93)</f>
        <v>752735</v>
      </c>
      <c r="U93"/>
      <c r="V93"/>
      <c r="W93"/>
      <c r="X93"/>
    </row>
    <row r="94" spans="1:24" ht="15" customHeight="1" x14ac:dyDescent="0.25">
      <c r="A94" s="70"/>
      <c r="B94" s="141">
        <v>20104</v>
      </c>
      <c r="C94" s="130" t="str">
        <f t="shared" si="57"/>
        <v>I-020104</v>
      </c>
      <c r="D94" s="130">
        <v>44</v>
      </c>
      <c r="E94" s="141" t="s">
        <v>72</v>
      </c>
      <c r="F94" s="347" t="s">
        <v>90</v>
      </c>
      <c r="G94" s="193">
        <v>236700</v>
      </c>
      <c r="H94" s="193">
        <v>13050</v>
      </c>
      <c r="I94" s="193">
        <v>29725</v>
      </c>
      <c r="J94" s="193">
        <v>18960</v>
      </c>
      <c r="K94" s="193">
        <v>21550</v>
      </c>
      <c r="L94" s="193">
        <v>19500</v>
      </c>
      <c r="M94" s="193">
        <v>13580</v>
      </c>
      <c r="N94" s="193">
        <v>23300</v>
      </c>
      <c r="O94" s="193">
        <v>22185</v>
      </c>
      <c r="P94" s="193">
        <v>19440</v>
      </c>
      <c r="Q94" s="193">
        <v>21340</v>
      </c>
      <c r="R94" s="193">
        <v>19605</v>
      </c>
      <c r="S94" s="193">
        <v>0</v>
      </c>
      <c r="T94" s="193">
        <f>SUM(H94:S94)</f>
        <v>222235</v>
      </c>
      <c r="U94"/>
      <c r="V94"/>
      <c r="W94"/>
      <c r="X94"/>
    </row>
    <row r="95" spans="1:24" ht="15" customHeight="1" x14ac:dyDescent="0.25">
      <c r="A95" s="52">
        <v>3.2</v>
      </c>
      <c r="B95" s="139">
        <v>202</v>
      </c>
      <c r="C95" s="130" t="str">
        <f t="shared" si="57"/>
        <v>I-0202</v>
      </c>
      <c r="D95" s="130">
        <v>45</v>
      </c>
      <c r="E95" s="139" t="s">
        <v>69</v>
      </c>
      <c r="F95" s="189" t="s">
        <v>91</v>
      </c>
      <c r="G95" s="190">
        <f>SUM(G96:G98)</f>
        <v>154700</v>
      </c>
      <c r="H95" s="190">
        <f t="shared" ref="H95:T95" si="78">SUM(H96:H98)</f>
        <v>9285</v>
      </c>
      <c r="I95" s="190">
        <f t="shared" si="78"/>
        <v>23719</v>
      </c>
      <c r="J95" s="190">
        <f t="shared" si="78"/>
        <v>9571</v>
      </c>
      <c r="K95" s="190">
        <f t="shared" si="78"/>
        <v>9556</v>
      </c>
      <c r="L95" s="190">
        <f t="shared" si="78"/>
        <v>14000</v>
      </c>
      <c r="M95" s="190">
        <f t="shared" si="78"/>
        <v>22609</v>
      </c>
      <c r="N95" s="190">
        <f t="shared" si="78"/>
        <v>14834</v>
      </c>
      <c r="O95" s="190">
        <f t="shared" si="78"/>
        <v>6391</v>
      </c>
      <c r="P95" s="190">
        <f t="shared" si="78"/>
        <v>5086</v>
      </c>
      <c r="Q95" s="190">
        <f t="shared" si="78"/>
        <v>6085</v>
      </c>
      <c r="R95" s="190">
        <f t="shared" si="78"/>
        <v>11100</v>
      </c>
      <c r="S95" s="190">
        <f t="shared" si="78"/>
        <v>0</v>
      </c>
      <c r="T95" s="190">
        <f t="shared" si="78"/>
        <v>132236</v>
      </c>
      <c r="U95"/>
      <c r="V95"/>
      <c r="W95"/>
      <c r="X95"/>
    </row>
    <row r="96" spans="1:24" ht="15" customHeight="1" x14ac:dyDescent="0.25">
      <c r="A96" s="70"/>
      <c r="B96" s="141">
        <v>20201</v>
      </c>
      <c r="C96" s="130" t="str">
        <f t="shared" si="57"/>
        <v>I-020201</v>
      </c>
      <c r="D96" s="130">
        <v>46</v>
      </c>
      <c r="E96" s="141" t="s">
        <v>72</v>
      </c>
      <c r="F96" s="347" t="s">
        <v>87</v>
      </c>
      <c r="G96" s="193">
        <v>68900</v>
      </c>
      <c r="H96" s="193">
        <v>4803</v>
      </c>
      <c r="I96" s="193">
        <v>11834</v>
      </c>
      <c r="J96" s="193">
        <v>5000</v>
      </c>
      <c r="K96" s="193">
        <v>5285</v>
      </c>
      <c r="L96" s="193">
        <v>7457</v>
      </c>
      <c r="M96" s="193">
        <v>10747</v>
      </c>
      <c r="N96" s="193">
        <v>6054</v>
      </c>
      <c r="O96" s="193">
        <v>3096</v>
      </c>
      <c r="P96" s="193">
        <v>2343</v>
      </c>
      <c r="Q96" s="193">
        <v>3057</v>
      </c>
      <c r="R96" s="193">
        <v>5086</v>
      </c>
      <c r="S96" s="193">
        <v>0</v>
      </c>
      <c r="T96" s="193">
        <f>SUM(H96:S96)</f>
        <v>64762</v>
      </c>
      <c r="U96"/>
      <c r="V96"/>
      <c r="W96"/>
      <c r="X96"/>
    </row>
    <row r="97" spans="1:24" ht="15" customHeight="1" x14ac:dyDescent="0.25">
      <c r="A97" s="70"/>
      <c r="B97" s="141">
        <v>20202</v>
      </c>
      <c r="C97" s="130" t="str">
        <f t="shared" si="57"/>
        <v>I-020202</v>
      </c>
      <c r="D97" s="130">
        <v>47</v>
      </c>
      <c r="E97" s="141" t="s">
        <v>72</v>
      </c>
      <c r="F97" s="347" t="s">
        <v>88</v>
      </c>
      <c r="G97" s="193">
        <v>68600</v>
      </c>
      <c r="H97" s="193">
        <v>4058</v>
      </c>
      <c r="I97" s="193">
        <v>10206</v>
      </c>
      <c r="J97" s="193">
        <v>4057</v>
      </c>
      <c r="K97" s="193">
        <v>3600</v>
      </c>
      <c r="L97" s="193">
        <v>5814</v>
      </c>
      <c r="M97" s="193">
        <v>10833</v>
      </c>
      <c r="N97" s="193">
        <v>3647</v>
      </c>
      <c r="O97" s="193">
        <v>1419</v>
      </c>
      <c r="P97" s="193">
        <v>1143</v>
      </c>
      <c r="Q97" s="193">
        <v>1457</v>
      </c>
      <c r="R97" s="193">
        <v>2500</v>
      </c>
      <c r="S97" s="193">
        <v>0</v>
      </c>
      <c r="T97" s="193">
        <f>SUM(H97:S97)</f>
        <v>48734</v>
      </c>
      <c r="U97"/>
      <c r="V97"/>
      <c r="W97"/>
      <c r="X97"/>
    </row>
    <row r="98" spans="1:24" ht="15" customHeight="1" x14ac:dyDescent="0.25">
      <c r="A98" s="70"/>
      <c r="B98" s="141">
        <v>20203</v>
      </c>
      <c r="C98" s="130" t="str">
        <f t="shared" si="57"/>
        <v>I-020203</v>
      </c>
      <c r="D98" s="130">
        <v>48</v>
      </c>
      <c r="E98" s="141" t="s">
        <v>72</v>
      </c>
      <c r="F98" s="347" t="s">
        <v>89</v>
      </c>
      <c r="G98" s="193">
        <v>17200</v>
      </c>
      <c r="H98" s="193">
        <v>424</v>
      </c>
      <c r="I98" s="193">
        <v>1679</v>
      </c>
      <c r="J98" s="193">
        <v>514</v>
      </c>
      <c r="K98" s="193">
        <v>671</v>
      </c>
      <c r="L98" s="193">
        <v>729</v>
      </c>
      <c r="M98" s="193">
        <v>1029</v>
      </c>
      <c r="N98" s="193">
        <v>5133</v>
      </c>
      <c r="O98" s="193">
        <v>1876</v>
      </c>
      <c r="P98" s="193">
        <v>1600</v>
      </c>
      <c r="Q98" s="193">
        <v>1571</v>
      </c>
      <c r="R98" s="193">
        <v>3514</v>
      </c>
      <c r="S98" s="193">
        <v>0</v>
      </c>
      <c r="T98" s="193">
        <f>SUM(H98:S98)</f>
        <v>18740</v>
      </c>
      <c r="U98"/>
      <c r="V98"/>
      <c r="W98"/>
      <c r="X98"/>
    </row>
    <row r="99" spans="1:24" ht="15.75" x14ac:dyDescent="0.25">
      <c r="A99" s="49">
        <v>4</v>
      </c>
      <c r="B99" s="131">
        <v>3</v>
      </c>
      <c r="C99" s="130" t="str">
        <f t="shared" si="57"/>
        <v>I-03</v>
      </c>
      <c r="D99" s="130">
        <v>49</v>
      </c>
      <c r="E99" s="131" t="s">
        <v>67</v>
      </c>
      <c r="F99" s="50" t="s">
        <v>92</v>
      </c>
      <c r="G99" s="188">
        <f>+G100</f>
        <v>700000</v>
      </c>
      <c r="H99" s="188">
        <f t="shared" ref="H99:T99" si="79">+H100</f>
        <v>3520</v>
      </c>
      <c r="I99" s="188">
        <f t="shared" si="79"/>
        <v>29820</v>
      </c>
      <c r="J99" s="188">
        <f t="shared" si="79"/>
        <v>89279</v>
      </c>
      <c r="K99" s="188">
        <f t="shared" si="79"/>
        <v>63426</v>
      </c>
      <c r="L99" s="188">
        <f t="shared" si="79"/>
        <v>52699</v>
      </c>
      <c r="M99" s="188">
        <f t="shared" si="79"/>
        <v>15374</v>
      </c>
      <c r="N99" s="188">
        <f t="shared" si="79"/>
        <v>15105</v>
      </c>
      <c r="O99" s="188">
        <f t="shared" si="79"/>
        <v>30515</v>
      </c>
      <c r="P99" s="188">
        <f t="shared" si="79"/>
        <v>110080</v>
      </c>
      <c r="Q99" s="188">
        <f t="shared" si="79"/>
        <v>77355</v>
      </c>
      <c r="R99" s="188">
        <f t="shared" si="79"/>
        <v>58654</v>
      </c>
      <c r="S99" s="188">
        <f t="shared" si="79"/>
        <v>0</v>
      </c>
      <c r="T99" s="188">
        <f t="shared" si="79"/>
        <v>545827</v>
      </c>
      <c r="U99" s="8" t="s">
        <v>1</v>
      </c>
      <c r="V99"/>
      <c r="W99"/>
      <c r="X99"/>
    </row>
    <row r="100" spans="1:24" ht="15" customHeight="1" x14ac:dyDescent="0.25">
      <c r="A100" s="70"/>
      <c r="B100" s="139">
        <v>301</v>
      </c>
      <c r="C100" s="130" t="str">
        <f t="shared" si="57"/>
        <v>I-0301</v>
      </c>
      <c r="D100" s="130">
        <v>50</v>
      </c>
      <c r="E100" s="139" t="s">
        <v>69</v>
      </c>
      <c r="F100" s="189" t="s">
        <v>93</v>
      </c>
      <c r="G100" s="190">
        <f>+G101+G106</f>
        <v>700000</v>
      </c>
      <c r="H100" s="196">
        <f t="shared" ref="H100:T100" si="80">+H101+H106</f>
        <v>3520</v>
      </c>
      <c r="I100" s="190">
        <f t="shared" si="80"/>
        <v>29820</v>
      </c>
      <c r="J100" s="190">
        <f t="shared" si="80"/>
        <v>89279</v>
      </c>
      <c r="K100" s="190">
        <f t="shared" si="80"/>
        <v>63426</v>
      </c>
      <c r="L100" s="190">
        <f t="shared" si="80"/>
        <v>52699</v>
      </c>
      <c r="M100" s="190">
        <f t="shared" si="80"/>
        <v>15374</v>
      </c>
      <c r="N100" s="190">
        <f t="shared" si="80"/>
        <v>15105</v>
      </c>
      <c r="O100" s="190">
        <f t="shared" si="80"/>
        <v>30515</v>
      </c>
      <c r="P100" s="190">
        <f t="shared" si="80"/>
        <v>110080</v>
      </c>
      <c r="Q100" s="190">
        <f t="shared" si="80"/>
        <v>77355</v>
      </c>
      <c r="R100" s="190">
        <f t="shared" si="80"/>
        <v>58654</v>
      </c>
      <c r="S100" s="190">
        <f t="shared" si="80"/>
        <v>0</v>
      </c>
      <c r="T100" s="196">
        <f t="shared" si="80"/>
        <v>545827</v>
      </c>
      <c r="U100"/>
      <c r="V100" s="8" t="s">
        <v>1</v>
      </c>
      <c r="W100"/>
      <c r="X100"/>
    </row>
    <row r="101" spans="1:24" ht="15" customHeight="1" x14ac:dyDescent="0.25">
      <c r="A101" s="52">
        <v>41</v>
      </c>
      <c r="B101" s="140">
        <v>30101</v>
      </c>
      <c r="C101" s="130" t="str">
        <f t="shared" si="57"/>
        <v>I-030101</v>
      </c>
      <c r="D101" s="130">
        <v>51</v>
      </c>
      <c r="E101" s="140" t="s">
        <v>69</v>
      </c>
      <c r="F101" s="191" t="s">
        <v>94</v>
      </c>
      <c r="G101" s="192">
        <v>200650</v>
      </c>
      <c r="H101" s="197">
        <v>10</v>
      </c>
      <c r="I101" s="192">
        <v>135</v>
      </c>
      <c r="J101" s="192">
        <v>814</v>
      </c>
      <c r="K101" s="192">
        <v>6231</v>
      </c>
      <c r="L101" s="192">
        <v>1029</v>
      </c>
      <c r="M101" s="192">
        <v>2039</v>
      </c>
      <c r="N101" s="192">
        <v>925</v>
      </c>
      <c r="O101" s="192">
        <v>6325</v>
      </c>
      <c r="P101" s="192">
        <v>12495</v>
      </c>
      <c r="Q101" s="192">
        <v>14955</v>
      </c>
      <c r="R101" s="192">
        <v>2064</v>
      </c>
      <c r="S101" s="192">
        <v>0</v>
      </c>
      <c r="T101" s="197">
        <v>47022</v>
      </c>
      <c r="U101"/>
      <c r="V101"/>
      <c r="W101"/>
      <c r="X101"/>
    </row>
    <row r="102" spans="1:24" ht="15" customHeight="1" x14ac:dyDescent="0.25">
      <c r="A102" s="70" t="s">
        <v>1</v>
      </c>
      <c r="B102" s="141">
        <v>3010101</v>
      </c>
      <c r="C102" s="130" t="str">
        <f t="shared" si="57"/>
        <v>I-03010101</v>
      </c>
      <c r="D102" s="130">
        <v>52</v>
      </c>
      <c r="E102" s="141" t="s">
        <v>72</v>
      </c>
      <c r="F102" s="347" t="s">
        <v>95</v>
      </c>
      <c r="G102" s="193">
        <v>22230</v>
      </c>
      <c r="H102" s="193">
        <v>130</v>
      </c>
      <c r="I102" s="193">
        <v>75</v>
      </c>
      <c r="J102" s="193">
        <v>525</v>
      </c>
      <c r="K102" s="193">
        <v>4650</v>
      </c>
      <c r="L102" s="193">
        <v>355</v>
      </c>
      <c r="M102" s="193">
        <v>1455</v>
      </c>
      <c r="N102" s="193">
        <v>-295</v>
      </c>
      <c r="O102" s="193">
        <v>5140</v>
      </c>
      <c r="P102" s="193">
        <v>4295</v>
      </c>
      <c r="Q102" s="193">
        <v>10935</v>
      </c>
      <c r="R102" s="193">
        <v>1400</v>
      </c>
      <c r="S102" s="193">
        <v>0</v>
      </c>
      <c r="T102" s="193">
        <v>28665</v>
      </c>
      <c r="U102"/>
      <c r="V102"/>
      <c r="W102"/>
      <c r="X102"/>
    </row>
    <row r="103" spans="1:24" ht="15" customHeight="1" x14ac:dyDescent="0.25">
      <c r="A103" s="70" t="s">
        <v>1</v>
      </c>
      <c r="B103" s="141">
        <v>3010101</v>
      </c>
      <c r="C103" s="130" t="str">
        <f t="shared" si="57"/>
        <v>I-03010101</v>
      </c>
      <c r="D103" s="130">
        <v>53</v>
      </c>
      <c r="E103" s="141" t="s">
        <v>72</v>
      </c>
      <c r="F103" s="347" t="s">
        <v>88</v>
      </c>
      <c r="G103" s="193">
        <v>124370</v>
      </c>
      <c r="H103" s="193">
        <v>0</v>
      </c>
      <c r="I103" s="193">
        <v>60</v>
      </c>
      <c r="J103" s="193">
        <v>0</v>
      </c>
      <c r="K103" s="193">
        <v>0</v>
      </c>
      <c r="L103" s="193">
        <v>0</v>
      </c>
      <c r="M103" s="193">
        <v>0</v>
      </c>
      <c r="N103" s="193">
        <v>0</v>
      </c>
      <c r="O103" s="193">
        <v>735</v>
      </c>
      <c r="P103" s="193">
        <v>4165</v>
      </c>
      <c r="Q103" s="193">
        <v>3250</v>
      </c>
      <c r="R103" s="193">
        <v>540</v>
      </c>
      <c r="S103" s="193">
        <v>0</v>
      </c>
      <c r="T103" s="193">
        <v>8750</v>
      </c>
      <c r="U103"/>
      <c r="V103" t="s">
        <v>1</v>
      </c>
      <c r="W103"/>
      <c r="X103"/>
    </row>
    <row r="104" spans="1:24" ht="15" customHeight="1" x14ac:dyDescent="0.25">
      <c r="A104" s="70" t="s">
        <v>1</v>
      </c>
      <c r="B104" s="141">
        <v>3010101</v>
      </c>
      <c r="C104" s="130" t="str">
        <f t="shared" si="57"/>
        <v>I-03010101</v>
      </c>
      <c r="D104" s="130">
        <v>54</v>
      </c>
      <c r="E104" s="141" t="s">
        <v>72</v>
      </c>
      <c r="F104" s="347" t="s">
        <v>89</v>
      </c>
      <c r="G104" s="193">
        <v>48700</v>
      </c>
      <c r="H104" s="362">
        <v>-120</v>
      </c>
      <c r="I104" s="193">
        <v>0</v>
      </c>
      <c r="J104" s="193">
        <v>289</v>
      </c>
      <c r="K104" s="193">
        <v>1581</v>
      </c>
      <c r="L104" s="193">
        <v>674</v>
      </c>
      <c r="M104" s="193">
        <v>584</v>
      </c>
      <c r="N104" s="193">
        <v>1220</v>
      </c>
      <c r="O104" s="193">
        <v>450</v>
      </c>
      <c r="P104" s="193">
        <v>4035</v>
      </c>
      <c r="Q104" s="193">
        <v>770</v>
      </c>
      <c r="R104" s="193">
        <v>124</v>
      </c>
      <c r="S104" s="193">
        <v>0</v>
      </c>
      <c r="T104" s="193">
        <v>9607</v>
      </c>
      <c r="U104"/>
      <c r="V104"/>
      <c r="W104"/>
      <c r="X104"/>
    </row>
    <row r="105" spans="1:24" ht="15" customHeight="1" x14ac:dyDescent="0.25">
      <c r="A105" s="70" t="s">
        <v>1</v>
      </c>
      <c r="B105" s="141">
        <v>3010101</v>
      </c>
      <c r="C105" s="130" t="str">
        <f t="shared" si="57"/>
        <v>I-03010101</v>
      </c>
      <c r="D105" s="130">
        <v>55</v>
      </c>
      <c r="E105" s="141" t="s">
        <v>72</v>
      </c>
      <c r="F105" s="347" t="s">
        <v>90</v>
      </c>
      <c r="G105" s="193">
        <v>5350</v>
      </c>
      <c r="H105" s="193">
        <v>0</v>
      </c>
      <c r="I105" s="193">
        <v>0</v>
      </c>
      <c r="J105" s="193">
        <v>0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93">
        <v>0</v>
      </c>
      <c r="R105" s="193">
        <v>0</v>
      </c>
      <c r="S105" s="193">
        <v>0</v>
      </c>
      <c r="T105" s="193">
        <v>0</v>
      </c>
      <c r="U105"/>
      <c r="V105"/>
      <c r="W105"/>
      <c r="X105"/>
    </row>
    <row r="106" spans="1:24" ht="15" customHeight="1" x14ac:dyDescent="0.25">
      <c r="A106" s="52">
        <v>42</v>
      </c>
      <c r="B106" s="140">
        <v>30102</v>
      </c>
      <c r="C106" s="130" t="str">
        <f t="shared" si="57"/>
        <v>I-030102</v>
      </c>
      <c r="D106" s="130">
        <v>56</v>
      </c>
      <c r="E106" s="140" t="s">
        <v>69</v>
      </c>
      <c r="F106" s="191" t="s">
        <v>96</v>
      </c>
      <c r="G106" s="192">
        <v>499350</v>
      </c>
      <c r="H106" s="192">
        <v>3510</v>
      </c>
      <c r="I106" s="192">
        <v>29685</v>
      </c>
      <c r="J106" s="192">
        <v>88465</v>
      </c>
      <c r="K106" s="192">
        <v>57195</v>
      </c>
      <c r="L106" s="192">
        <v>51670</v>
      </c>
      <c r="M106" s="192">
        <v>13335</v>
      </c>
      <c r="N106" s="192">
        <v>14180</v>
      </c>
      <c r="O106" s="192">
        <v>24190</v>
      </c>
      <c r="P106" s="192">
        <v>97585</v>
      </c>
      <c r="Q106" s="192">
        <v>62400</v>
      </c>
      <c r="R106" s="192">
        <v>56590</v>
      </c>
      <c r="S106" s="192">
        <v>0</v>
      </c>
      <c r="T106" s="197">
        <v>498805</v>
      </c>
      <c r="U106"/>
      <c r="V106"/>
      <c r="W106"/>
      <c r="X106"/>
    </row>
    <row r="107" spans="1:24" ht="15" customHeight="1" x14ac:dyDescent="0.25">
      <c r="A107" s="70" t="s">
        <v>1</v>
      </c>
      <c r="B107" s="141">
        <v>3010201</v>
      </c>
      <c r="C107" s="130" t="str">
        <f t="shared" si="57"/>
        <v>I-03010201</v>
      </c>
      <c r="D107" s="130">
        <v>57</v>
      </c>
      <c r="E107" s="141" t="s">
        <v>72</v>
      </c>
      <c r="F107" s="347" t="s">
        <v>87</v>
      </c>
      <c r="G107" s="193">
        <v>64085</v>
      </c>
      <c r="H107" s="193">
        <v>1695</v>
      </c>
      <c r="I107" s="193">
        <v>6210</v>
      </c>
      <c r="J107" s="193">
        <v>12900</v>
      </c>
      <c r="K107" s="193">
        <v>23430</v>
      </c>
      <c r="L107" s="193">
        <v>21890</v>
      </c>
      <c r="M107" s="193">
        <v>195</v>
      </c>
      <c r="N107" s="193">
        <v>4995</v>
      </c>
      <c r="O107" s="193">
        <v>7545</v>
      </c>
      <c r="P107" s="193">
        <v>37200</v>
      </c>
      <c r="Q107" s="193">
        <v>12720</v>
      </c>
      <c r="R107" s="193">
        <v>11825</v>
      </c>
      <c r="S107" s="193">
        <v>0</v>
      </c>
      <c r="T107" s="193">
        <v>140605</v>
      </c>
      <c r="U107"/>
      <c r="V107"/>
      <c r="W107"/>
    </row>
    <row r="108" spans="1:24" ht="15" customHeight="1" x14ac:dyDescent="0.25">
      <c r="A108" s="70" t="s">
        <v>1</v>
      </c>
      <c r="B108" s="141">
        <v>3010202</v>
      </c>
      <c r="C108" s="130" t="str">
        <f t="shared" si="57"/>
        <v>I-03010202</v>
      </c>
      <c r="D108" s="130">
        <v>58</v>
      </c>
      <c r="E108" s="141" t="s">
        <v>72</v>
      </c>
      <c r="F108" s="347" t="s">
        <v>88</v>
      </c>
      <c r="G108" s="193">
        <v>196860</v>
      </c>
      <c r="H108" s="193">
        <v>540</v>
      </c>
      <c r="I108" s="193">
        <v>4575</v>
      </c>
      <c r="J108" s="193">
        <v>30085</v>
      </c>
      <c r="K108" s="193">
        <v>18615</v>
      </c>
      <c r="L108" s="193">
        <v>9500</v>
      </c>
      <c r="M108" s="193">
        <v>1320</v>
      </c>
      <c r="N108" s="193">
        <v>1150</v>
      </c>
      <c r="O108" s="193">
        <v>6160</v>
      </c>
      <c r="P108" s="193">
        <v>21940</v>
      </c>
      <c r="Q108" s="193">
        <v>24720</v>
      </c>
      <c r="R108" s="193">
        <v>28970</v>
      </c>
      <c r="S108" s="193">
        <v>0</v>
      </c>
      <c r="T108" s="193">
        <v>147575</v>
      </c>
      <c r="U108"/>
      <c r="V108"/>
      <c r="W108"/>
    </row>
    <row r="109" spans="1:24" ht="15" customHeight="1" x14ac:dyDescent="0.25">
      <c r="A109" s="70" t="s">
        <v>1</v>
      </c>
      <c r="B109" s="141">
        <v>3010203</v>
      </c>
      <c r="C109" s="130" t="str">
        <f t="shared" si="57"/>
        <v>I-03010203</v>
      </c>
      <c r="D109" s="130">
        <v>59</v>
      </c>
      <c r="E109" s="141" t="s">
        <v>72</v>
      </c>
      <c r="F109" s="347" t="s">
        <v>89</v>
      </c>
      <c r="G109" s="193">
        <v>184225</v>
      </c>
      <c r="H109" s="193">
        <v>495</v>
      </c>
      <c r="I109" s="193">
        <v>17550</v>
      </c>
      <c r="J109" s="193">
        <v>33225</v>
      </c>
      <c r="K109" s="193">
        <v>8250</v>
      </c>
      <c r="L109" s="193">
        <v>6825</v>
      </c>
      <c r="M109" s="193">
        <v>11715</v>
      </c>
      <c r="N109" s="193">
        <v>7960</v>
      </c>
      <c r="O109" s="193">
        <v>9240</v>
      </c>
      <c r="P109" s="193">
        <v>25095</v>
      </c>
      <c r="Q109" s="193">
        <v>14415</v>
      </c>
      <c r="R109" s="193">
        <v>3195</v>
      </c>
      <c r="S109" s="193">
        <v>0</v>
      </c>
      <c r="T109" s="193">
        <v>137965</v>
      </c>
      <c r="U109"/>
      <c r="V109"/>
      <c r="W109"/>
    </row>
    <row r="110" spans="1:24" ht="15" customHeight="1" x14ac:dyDescent="0.25">
      <c r="A110" s="70" t="s">
        <v>1</v>
      </c>
      <c r="B110" s="141">
        <v>3010204</v>
      </c>
      <c r="C110" s="130" t="str">
        <f t="shared" si="57"/>
        <v>I-03010204</v>
      </c>
      <c r="D110" s="130">
        <v>60</v>
      </c>
      <c r="E110" s="141" t="s">
        <v>72</v>
      </c>
      <c r="F110" s="347" t="s">
        <v>90</v>
      </c>
      <c r="G110" s="193">
        <v>54180</v>
      </c>
      <c r="H110" s="193">
        <v>780</v>
      </c>
      <c r="I110" s="193">
        <v>1350</v>
      </c>
      <c r="J110" s="193">
        <v>12255</v>
      </c>
      <c r="K110" s="193">
        <v>6900</v>
      </c>
      <c r="L110" s="193">
        <v>13455</v>
      </c>
      <c r="M110" s="193">
        <v>105</v>
      </c>
      <c r="N110" s="193">
        <v>75</v>
      </c>
      <c r="O110" s="193">
        <v>1245</v>
      </c>
      <c r="P110" s="193">
        <v>13350</v>
      </c>
      <c r="Q110" s="193">
        <v>10545</v>
      </c>
      <c r="R110" s="193">
        <v>12600</v>
      </c>
      <c r="S110" s="193">
        <v>0</v>
      </c>
      <c r="T110" s="193">
        <v>72660</v>
      </c>
      <c r="U110"/>
      <c r="V110"/>
      <c r="W110"/>
    </row>
    <row r="111" spans="1:24" ht="18" customHeight="1" x14ac:dyDescent="0.25">
      <c r="A111" s="49">
        <v>5</v>
      </c>
      <c r="B111" s="131">
        <v>4</v>
      </c>
      <c r="C111" s="130" t="str">
        <f t="shared" si="57"/>
        <v>I-04</v>
      </c>
      <c r="D111" s="130">
        <v>61</v>
      </c>
      <c r="E111" s="131" t="s">
        <v>67</v>
      </c>
      <c r="F111" s="50" t="s">
        <v>97</v>
      </c>
      <c r="G111" s="188">
        <f t="shared" ref="G111:T111" si="81">+G112+G173+G179</f>
        <v>1125000</v>
      </c>
      <c r="H111" s="188">
        <f t="shared" si="81"/>
        <v>98275</v>
      </c>
      <c r="I111" s="188">
        <f t="shared" si="81"/>
        <v>77531</v>
      </c>
      <c r="J111" s="188">
        <f t="shared" si="81"/>
        <v>93807</v>
      </c>
      <c r="K111" s="188">
        <f t="shared" si="81"/>
        <v>120796</v>
      </c>
      <c r="L111" s="188">
        <f t="shared" si="81"/>
        <v>93380</v>
      </c>
      <c r="M111" s="188">
        <f t="shared" si="81"/>
        <v>90226</v>
      </c>
      <c r="N111" s="188">
        <f t="shared" si="81"/>
        <v>85114</v>
      </c>
      <c r="O111" s="188">
        <f t="shared" si="81"/>
        <v>91892</v>
      </c>
      <c r="P111" s="188">
        <f t="shared" si="81"/>
        <v>92670</v>
      </c>
      <c r="Q111" s="188">
        <f t="shared" si="81"/>
        <v>159319</v>
      </c>
      <c r="R111" s="188">
        <f t="shared" si="81"/>
        <v>96616</v>
      </c>
      <c r="S111" s="188">
        <f t="shared" si="81"/>
        <v>0</v>
      </c>
      <c r="T111" s="188">
        <f t="shared" si="81"/>
        <v>1099626</v>
      </c>
      <c r="U111" s="111" t="s">
        <v>1</v>
      </c>
      <c r="V111"/>
      <c r="W111"/>
    </row>
    <row r="112" spans="1:24" ht="15" customHeight="1" x14ac:dyDescent="0.25">
      <c r="A112" s="48">
        <v>1</v>
      </c>
      <c r="B112" s="139">
        <v>401</v>
      </c>
      <c r="C112" s="130" t="str">
        <f t="shared" si="57"/>
        <v>I-0401</v>
      </c>
      <c r="D112" s="130">
        <v>62</v>
      </c>
      <c r="E112" s="139" t="s">
        <v>69</v>
      </c>
      <c r="F112" s="189" t="s">
        <v>98</v>
      </c>
      <c r="G112" s="190">
        <f t="shared" ref="G112:T112" si="82">+G113+G119+G125+G137+G143+G167+G149+G161+G155+G131</f>
        <v>852950</v>
      </c>
      <c r="H112" s="190">
        <f t="shared" si="82"/>
        <v>77187</v>
      </c>
      <c r="I112" s="190">
        <f t="shared" si="82"/>
        <v>62351</v>
      </c>
      <c r="J112" s="190">
        <f t="shared" si="82"/>
        <v>62054</v>
      </c>
      <c r="K112" s="190">
        <f t="shared" si="82"/>
        <v>106906</v>
      </c>
      <c r="L112" s="190">
        <f t="shared" si="82"/>
        <v>74315</v>
      </c>
      <c r="M112" s="190">
        <f t="shared" si="82"/>
        <v>60747</v>
      </c>
      <c r="N112" s="190">
        <f t="shared" si="82"/>
        <v>59877</v>
      </c>
      <c r="O112" s="190">
        <f t="shared" si="82"/>
        <v>64779</v>
      </c>
      <c r="P112" s="190">
        <f t="shared" si="82"/>
        <v>54295</v>
      </c>
      <c r="Q112" s="190">
        <f t="shared" si="82"/>
        <v>123642</v>
      </c>
      <c r="R112" s="190">
        <f t="shared" si="82"/>
        <v>68356</v>
      </c>
      <c r="S112" s="190">
        <f t="shared" si="82"/>
        <v>0</v>
      </c>
      <c r="T112" s="190">
        <f t="shared" si="82"/>
        <v>814509</v>
      </c>
      <c r="U112"/>
      <c r="V112"/>
      <c r="W112"/>
    </row>
    <row r="113" spans="1:23" ht="15" customHeight="1" x14ac:dyDescent="0.25">
      <c r="A113" s="52">
        <v>1</v>
      </c>
      <c r="B113" s="144">
        <v>40101</v>
      </c>
      <c r="C113" s="130" t="str">
        <f t="shared" si="57"/>
        <v>I-040101</v>
      </c>
      <c r="D113" s="130">
        <v>63</v>
      </c>
      <c r="E113" s="144" t="s">
        <v>69</v>
      </c>
      <c r="F113" s="198" t="s">
        <v>99</v>
      </c>
      <c r="G113" s="192">
        <f t="shared" ref="G113" si="83">SUM(G114:G118)</f>
        <v>61400</v>
      </c>
      <c r="H113" s="192">
        <f t="shared" ref="H113:T113" si="84">SUM(H114:H118)</f>
        <v>6285</v>
      </c>
      <c r="I113" s="192">
        <f t="shared" si="84"/>
        <v>4560</v>
      </c>
      <c r="J113" s="192">
        <f t="shared" si="84"/>
        <v>4312</v>
      </c>
      <c r="K113" s="192">
        <f t="shared" si="84"/>
        <v>5978</v>
      </c>
      <c r="L113" s="192">
        <f t="shared" si="84"/>
        <v>6280</v>
      </c>
      <c r="M113" s="192">
        <f t="shared" si="84"/>
        <v>3648</v>
      </c>
      <c r="N113" s="192">
        <f t="shared" si="84"/>
        <v>3579</v>
      </c>
      <c r="O113" s="192">
        <f t="shared" si="84"/>
        <v>4052</v>
      </c>
      <c r="P113" s="192">
        <f t="shared" si="84"/>
        <v>3505</v>
      </c>
      <c r="Q113" s="192">
        <f t="shared" si="84"/>
        <v>3804</v>
      </c>
      <c r="R113" s="192">
        <f t="shared" si="84"/>
        <v>1585</v>
      </c>
      <c r="S113" s="192">
        <f t="shared" si="84"/>
        <v>0</v>
      </c>
      <c r="T113" s="192">
        <f t="shared" si="84"/>
        <v>47588</v>
      </c>
      <c r="U113"/>
      <c r="V113"/>
      <c r="W113"/>
    </row>
    <row r="114" spans="1:23" ht="15" customHeight="1" x14ac:dyDescent="0.25">
      <c r="A114" s="70"/>
      <c r="B114" s="141">
        <v>4010101</v>
      </c>
      <c r="C114" s="130" t="str">
        <f t="shared" si="57"/>
        <v>I-04010101</v>
      </c>
      <c r="D114" s="130">
        <v>64</v>
      </c>
      <c r="E114" s="141" t="s">
        <v>72</v>
      </c>
      <c r="F114" s="347" t="s">
        <v>100</v>
      </c>
      <c r="G114" s="193">
        <f>1200+4560</f>
        <v>5760</v>
      </c>
      <c r="H114" s="193">
        <v>1440</v>
      </c>
      <c r="I114" s="193">
        <v>120</v>
      </c>
      <c r="J114" s="193">
        <v>120</v>
      </c>
      <c r="K114" s="193">
        <v>1440</v>
      </c>
      <c r="L114" s="193">
        <v>240</v>
      </c>
      <c r="M114" s="193">
        <v>0</v>
      </c>
      <c r="N114" s="193">
        <v>0</v>
      </c>
      <c r="O114" s="193">
        <v>0</v>
      </c>
      <c r="P114" s="193">
        <v>0</v>
      </c>
      <c r="Q114" s="193">
        <v>1080</v>
      </c>
      <c r="R114" s="193">
        <v>0</v>
      </c>
      <c r="S114" s="193">
        <v>0</v>
      </c>
      <c r="T114" s="193">
        <f>SUM(H114:S114)</f>
        <v>4440</v>
      </c>
      <c r="U114"/>
      <c r="V114"/>
      <c r="W114"/>
    </row>
    <row r="115" spans="1:23" ht="15" customHeight="1" x14ac:dyDescent="0.25">
      <c r="A115" s="70"/>
      <c r="B115" s="141">
        <v>4010102</v>
      </c>
      <c r="C115" s="130" t="str">
        <f t="shared" si="57"/>
        <v>I-04010102</v>
      </c>
      <c r="D115" s="130">
        <v>65</v>
      </c>
      <c r="E115" s="141" t="s">
        <v>72</v>
      </c>
      <c r="F115" s="347" t="s">
        <v>101</v>
      </c>
      <c r="G115" s="193">
        <f>12210+19140</f>
        <v>31350</v>
      </c>
      <c r="H115" s="193">
        <v>1870</v>
      </c>
      <c r="I115" s="193">
        <v>1135</v>
      </c>
      <c r="J115" s="193">
        <v>1210</v>
      </c>
      <c r="K115" s="193">
        <v>2090</v>
      </c>
      <c r="L115" s="193">
        <v>3080</v>
      </c>
      <c r="M115" s="193">
        <v>3020</v>
      </c>
      <c r="N115" s="193">
        <v>1920</v>
      </c>
      <c r="O115" s="193">
        <v>1210</v>
      </c>
      <c r="P115" s="193">
        <v>880</v>
      </c>
      <c r="Q115" s="193">
        <v>880</v>
      </c>
      <c r="R115" s="193">
        <v>595</v>
      </c>
      <c r="S115" s="193">
        <v>0</v>
      </c>
      <c r="T115" s="193">
        <f>SUM(H115:S115)</f>
        <v>17890</v>
      </c>
      <c r="U115"/>
      <c r="V115"/>
      <c r="W115"/>
    </row>
    <row r="116" spans="1:23" ht="15" customHeight="1" x14ac:dyDescent="0.25">
      <c r="A116" s="70"/>
      <c r="B116" s="141">
        <v>4010103</v>
      </c>
      <c r="C116" s="130" t="str">
        <f t="shared" ref="C116:C179" si="85">"I"&amp;"-0"&amp;B116</f>
        <v>I-04010103</v>
      </c>
      <c r="D116" s="130">
        <v>66</v>
      </c>
      <c r="E116" s="141" t="s">
        <v>72</v>
      </c>
      <c r="F116" s="347" t="s">
        <v>102</v>
      </c>
      <c r="G116" s="193">
        <v>22880</v>
      </c>
      <c r="H116" s="193">
        <v>2090</v>
      </c>
      <c r="I116" s="193">
        <v>3085</v>
      </c>
      <c r="J116" s="193">
        <v>2750</v>
      </c>
      <c r="K116" s="193">
        <v>2310</v>
      </c>
      <c r="L116" s="193">
        <v>1870</v>
      </c>
      <c r="M116" s="193">
        <v>550</v>
      </c>
      <c r="N116" s="193">
        <v>1360</v>
      </c>
      <c r="O116" s="193">
        <v>2620</v>
      </c>
      <c r="P116" s="193">
        <v>2530</v>
      </c>
      <c r="Q116" s="193">
        <v>1760</v>
      </c>
      <c r="R116" s="193">
        <v>990</v>
      </c>
      <c r="S116" s="193">
        <v>0</v>
      </c>
      <c r="T116" s="193">
        <f>SUM(H116:S116)</f>
        <v>21915</v>
      </c>
      <c r="U116"/>
      <c r="V116"/>
      <c r="W116"/>
    </row>
    <row r="117" spans="1:23" ht="15" customHeight="1" x14ac:dyDescent="0.25">
      <c r="A117" s="70"/>
      <c r="B117" s="141">
        <v>4010104</v>
      </c>
      <c r="C117" s="130" t="str">
        <f t="shared" si="85"/>
        <v>I-04010104</v>
      </c>
      <c r="D117" s="130">
        <v>67</v>
      </c>
      <c r="E117" s="141" t="s">
        <v>72</v>
      </c>
      <c r="F117" s="347" t="s">
        <v>103</v>
      </c>
      <c r="G117" s="193">
        <v>0</v>
      </c>
      <c r="H117" s="193">
        <v>487</v>
      </c>
      <c r="I117" s="193">
        <v>220</v>
      </c>
      <c r="J117" s="193">
        <v>232</v>
      </c>
      <c r="K117" s="193">
        <v>138</v>
      </c>
      <c r="L117" s="193">
        <v>625</v>
      </c>
      <c r="M117" s="193">
        <v>78</v>
      </c>
      <c r="N117" s="193">
        <v>299</v>
      </c>
      <c r="O117" s="193">
        <v>222</v>
      </c>
      <c r="P117" s="193">
        <v>95</v>
      </c>
      <c r="Q117" s="193">
        <v>84.000000000000014</v>
      </c>
      <c r="R117" s="193">
        <v>0</v>
      </c>
      <c r="S117" s="193">
        <v>0</v>
      </c>
      <c r="T117" s="193">
        <f>SUM(H117:S117)</f>
        <v>2480</v>
      </c>
      <c r="U117"/>
      <c r="V117"/>
      <c r="W117"/>
    </row>
    <row r="118" spans="1:23" ht="15" customHeight="1" x14ac:dyDescent="0.25">
      <c r="A118" s="70"/>
      <c r="B118" s="141">
        <v>4010105</v>
      </c>
      <c r="C118" s="130" t="str">
        <f t="shared" si="85"/>
        <v>I-04010105</v>
      </c>
      <c r="D118" s="130">
        <v>68</v>
      </c>
      <c r="E118" s="141" t="s">
        <v>72</v>
      </c>
      <c r="F118" s="347" t="s">
        <v>104</v>
      </c>
      <c r="G118" s="193">
        <v>1410</v>
      </c>
      <c r="H118" s="193">
        <v>398</v>
      </c>
      <c r="I118" s="193">
        <v>0</v>
      </c>
      <c r="J118" s="193">
        <v>0</v>
      </c>
      <c r="K118" s="193">
        <v>0</v>
      </c>
      <c r="L118" s="193">
        <v>465</v>
      </c>
      <c r="M118" s="193">
        <v>0</v>
      </c>
      <c r="N118" s="193">
        <v>0</v>
      </c>
      <c r="O118" s="193">
        <v>0</v>
      </c>
      <c r="P118" s="193">
        <v>0</v>
      </c>
      <c r="Q118" s="193">
        <v>0</v>
      </c>
      <c r="R118" s="193">
        <v>0</v>
      </c>
      <c r="S118" s="193">
        <v>0</v>
      </c>
      <c r="T118" s="193">
        <f>SUM(H118:S118)</f>
        <v>863</v>
      </c>
      <c r="U118"/>
      <c r="V118"/>
      <c r="W118"/>
    </row>
    <row r="119" spans="1:23" ht="15" customHeight="1" x14ac:dyDescent="0.25">
      <c r="A119" s="52">
        <v>2</v>
      </c>
      <c r="B119" s="144">
        <v>40102</v>
      </c>
      <c r="C119" s="130" t="str">
        <f t="shared" si="85"/>
        <v>I-040102</v>
      </c>
      <c r="D119" s="130">
        <v>69</v>
      </c>
      <c r="E119" s="144" t="s">
        <v>69</v>
      </c>
      <c r="F119" s="198" t="s">
        <v>105</v>
      </c>
      <c r="G119" s="192">
        <f>SUM(G120:G124)</f>
        <v>50520</v>
      </c>
      <c r="H119" s="192">
        <f t="shared" ref="H119:T119" si="86">SUM(H120:H124)</f>
        <v>5552</v>
      </c>
      <c r="I119" s="192">
        <f t="shared" si="86"/>
        <v>3322</v>
      </c>
      <c r="J119" s="192">
        <f t="shared" si="86"/>
        <v>4794</v>
      </c>
      <c r="K119" s="192">
        <f t="shared" si="86"/>
        <v>5645</v>
      </c>
      <c r="L119" s="192">
        <f t="shared" si="86"/>
        <v>5093</v>
      </c>
      <c r="M119" s="192">
        <f t="shared" si="86"/>
        <v>2696</v>
      </c>
      <c r="N119" s="192">
        <f t="shared" si="86"/>
        <v>2029</v>
      </c>
      <c r="O119" s="192">
        <f t="shared" si="86"/>
        <v>3030</v>
      </c>
      <c r="P119" s="192">
        <f t="shared" si="86"/>
        <v>1937</v>
      </c>
      <c r="Q119" s="192">
        <f t="shared" si="86"/>
        <v>3913</v>
      </c>
      <c r="R119" s="192">
        <f t="shared" si="86"/>
        <v>2733</v>
      </c>
      <c r="S119" s="192">
        <f t="shared" si="86"/>
        <v>0</v>
      </c>
      <c r="T119" s="192">
        <f t="shared" si="86"/>
        <v>40744</v>
      </c>
      <c r="U119"/>
      <c r="V119"/>
      <c r="W119"/>
    </row>
    <row r="120" spans="1:23" ht="15" customHeight="1" x14ac:dyDescent="0.25">
      <c r="A120" s="70" t="s">
        <v>1</v>
      </c>
      <c r="B120" s="141">
        <v>4010201</v>
      </c>
      <c r="C120" s="130" t="str">
        <f t="shared" si="85"/>
        <v>I-04010201</v>
      </c>
      <c r="D120" s="130">
        <v>70</v>
      </c>
      <c r="E120" s="141" t="s">
        <v>72</v>
      </c>
      <c r="F120" s="347" t="s">
        <v>100</v>
      </c>
      <c r="G120" s="193">
        <f>1080+4560</f>
        <v>5640</v>
      </c>
      <c r="H120" s="193">
        <v>1200</v>
      </c>
      <c r="I120" s="193">
        <v>120</v>
      </c>
      <c r="J120" s="193">
        <f>240-120</f>
        <v>120</v>
      </c>
      <c r="K120" s="193">
        <v>1560</v>
      </c>
      <c r="L120" s="193">
        <v>120</v>
      </c>
      <c r="M120" s="193">
        <v>0</v>
      </c>
      <c r="N120" s="193">
        <v>0</v>
      </c>
      <c r="O120" s="193">
        <v>0</v>
      </c>
      <c r="P120" s="193">
        <v>0</v>
      </c>
      <c r="Q120" s="193">
        <v>1680</v>
      </c>
      <c r="R120" s="193">
        <v>0</v>
      </c>
      <c r="S120" s="193">
        <v>0</v>
      </c>
      <c r="T120" s="193">
        <f>SUM(H120:S120)</f>
        <v>4800</v>
      </c>
      <c r="U120"/>
      <c r="V120"/>
      <c r="W120"/>
    </row>
    <row r="121" spans="1:23" ht="15" customHeight="1" x14ac:dyDescent="0.25">
      <c r="A121" s="70" t="s">
        <v>1</v>
      </c>
      <c r="B121" s="141">
        <v>4010202</v>
      </c>
      <c r="C121" s="130" t="str">
        <f t="shared" si="85"/>
        <v>I-04010202</v>
      </c>
      <c r="D121" s="130">
        <v>71</v>
      </c>
      <c r="E121" s="141" t="s">
        <v>72</v>
      </c>
      <c r="F121" s="347" t="s">
        <v>101</v>
      </c>
      <c r="G121" s="193">
        <f>9240+19140</f>
        <v>28380</v>
      </c>
      <c r="H121" s="193">
        <v>1430</v>
      </c>
      <c r="I121" s="193">
        <v>990</v>
      </c>
      <c r="J121" s="193">
        <f>1555-110</f>
        <v>1445</v>
      </c>
      <c r="K121" s="193">
        <v>2205</v>
      </c>
      <c r="L121" s="193">
        <v>3300</v>
      </c>
      <c r="M121" s="193">
        <v>2530</v>
      </c>
      <c r="N121" s="193">
        <v>1540</v>
      </c>
      <c r="O121" s="193">
        <v>1760</v>
      </c>
      <c r="P121" s="193">
        <v>1320</v>
      </c>
      <c r="Q121" s="193">
        <v>1650</v>
      </c>
      <c r="R121" s="193">
        <v>1870</v>
      </c>
      <c r="S121" s="193">
        <v>0</v>
      </c>
      <c r="T121" s="193">
        <f>SUM(H121:S121)</f>
        <v>20040</v>
      </c>
      <c r="U121"/>
      <c r="V121"/>
      <c r="W121"/>
    </row>
    <row r="122" spans="1:23" ht="15" customHeight="1" x14ac:dyDescent="0.25">
      <c r="A122" s="70"/>
      <c r="B122" s="141">
        <v>4010203</v>
      </c>
      <c r="C122" s="130" t="str">
        <f t="shared" si="85"/>
        <v>I-04010203</v>
      </c>
      <c r="D122" s="130">
        <v>72</v>
      </c>
      <c r="E122" s="141" t="s">
        <v>72</v>
      </c>
      <c r="F122" s="347" t="s">
        <v>102</v>
      </c>
      <c r="G122" s="193">
        <v>15270</v>
      </c>
      <c r="H122" s="193">
        <v>2090</v>
      </c>
      <c r="I122" s="193">
        <v>2090</v>
      </c>
      <c r="J122" s="193">
        <v>2860</v>
      </c>
      <c r="K122" s="193">
        <v>1760</v>
      </c>
      <c r="L122" s="193">
        <v>770</v>
      </c>
      <c r="M122" s="193">
        <v>0</v>
      </c>
      <c r="N122" s="193">
        <v>230</v>
      </c>
      <c r="O122" s="193">
        <v>1150</v>
      </c>
      <c r="P122" s="193">
        <v>550</v>
      </c>
      <c r="Q122" s="193">
        <v>550</v>
      </c>
      <c r="R122" s="193">
        <v>770</v>
      </c>
      <c r="S122" s="193">
        <v>0</v>
      </c>
      <c r="T122" s="193">
        <f>SUM(H122:S122)</f>
        <v>12820</v>
      </c>
      <c r="U122"/>
      <c r="V122"/>
      <c r="W122"/>
    </row>
    <row r="123" spans="1:23" ht="15" customHeight="1" x14ac:dyDescent="0.25">
      <c r="A123" s="70"/>
      <c r="B123" s="141">
        <v>4010204</v>
      </c>
      <c r="C123" s="130" t="str">
        <f t="shared" si="85"/>
        <v>I-04010204</v>
      </c>
      <c r="D123" s="130">
        <v>73</v>
      </c>
      <c r="E123" s="141" t="s">
        <v>72</v>
      </c>
      <c r="F123" s="347" t="s">
        <v>103</v>
      </c>
      <c r="G123" s="193">
        <v>0</v>
      </c>
      <c r="H123" s="193">
        <v>434</v>
      </c>
      <c r="I123" s="193">
        <v>122</v>
      </c>
      <c r="J123" s="193">
        <v>369</v>
      </c>
      <c r="K123" s="193">
        <v>120</v>
      </c>
      <c r="L123" s="193">
        <v>483</v>
      </c>
      <c r="M123" s="193">
        <v>166</v>
      </c>
      <c r="N123" s="193">
        <v>259</v>
      </c>
      <c r="O123" s="193">
        <v>120</v>
      </c>
      <c r="P123" s="193">
        <v>67</v>
      </c>
      <c r="Q123" s="193">
        <v>33</v>
      </c>
      <c r="R123" s="193">
        <v>93</v>
      </c>
      <c r="S123" s="193">
        <v>0</v>
      </c>
      <c r="T123" s="193">
        <f>SUM(H123:S123)</f>
        <v>2266</v>
      </c>
      <c r="U123"/>
      <c r="V123"/>
      <c r="W123"/>
    </row>
    <row r="124" spans="1:23" ht="15" customHeight="1" x14ac:dyDescent="0.25">
      <c r="A124" s="70"/>
      <c r="B124" s="141">
        <v>4010205</v>
      </c>
      <c r="C124" s="130" t="str">
        <f t="shared" si="85"/>
        <v>I-04010205</v>
      </c>
      <c r="D124" s="130">
        <v>74</v>
      </c>
      <c r="E124" s="141" t="s">
        <v>72</v>
      </c>
      <c r="F124" s="347" t="s">
        <v>104</v>
      </c>
      <c r="G124" s="193">
        <v>1230</v>
      </c>
      <c r="H124" s="193">
        <v>398</v>
      </c>
      <c r="I124" s="193">
        <v>0</v>
      </c>
      <c r="J124" s="193">
        <v>0</v>
      </c>
      <c r="K124" s="193">
        <v>0</v>
      </c>
      <c r="L124" s="193">
        <v>420</v>
      </c>
      <c r="M124" s="193">
        <v>0</v>
      </c>
      <c r="N124" s="193">
        <v>0</v>
      </c>
      <c r="O124" s="193">
        <v>0</v>
      </c>
      <c r="P124" s="193">
        <v>0</v>
      </c>
      <c r="Q124" s="193">
        <v>0</v>
      </c>
      <c r="R124" s="193">
        <v>0</v>
      </c>
      <c r="S124" s="193">
        <v>0</v>
      </c>
      <c r="T124" s="193">
        <f>SUM(H124:S124)</f>
        <v>818</v>
      </c>
      <c r="U124"/>
      <c r="V124"/>
      <c r="W124"/>
    </row>
    <row r="125" spans="1:23" ht="15" customHeight="1" x14ac:dyDescent="0.25">
      <c r="A125" s="52">
        <v>4</v>
      </c>
      <c r="B125" s="144">
        <v>40103</v>
      </c>
      <c r="C125" s="130" t="str">
        <f t="shared" si="85"/>
        <v>I-040103</v>
      </c>
      <c r="D125" s="130">
        <v>75</v>
      </c>
      <c r="E125" s="144" t="s">
        <v>69</v>
      </c>
      <c r="F125" s="198" t="s">
        <v>106</v>
      </c>
      <c r="G125" s="192">
        <f>SUM(G126:G130)</f>
        <v>55240</v>
      </c>
      <c r="H125" s="192">
        <f t="shared" ref="H125:T125" si="87">SUM(H126:H130)</f>
        <v>5855</v>
      </c>
      <c r="I125" s="192">
        <f t="shared" si="87"/>
        <v>3154</v>
      </c>
      <c r="J125" s="192">
        <f t="shared" si="87"/>
        <v>4047</v>
      </c>
      <c r="K125" s="192">
        <f t="shared" si="87"/>
        <v>6120</v>
      </c>
      <c r="L125" s="192">
        <f t="shared" si="87"/>
        <v>4993</v>
      </c>
      <c r="M125" s="192">
        <f t="shared" si="87"/>
        <v>3988</v>
      </c>
      <c r="N125" s="192">
        <f t="shared" si="87"/>
        <v>3453</v>
      </c>
      <c r="O125" s="192">
        <f t="shared" si="87"/>
        <v>3701</v>
      </c>
      <c r="P125" s="192">
        <f t="shared" si="87"/>
        <v>2853</v>
      </c>
      <c r="Q125" s="192">
        <f t="shared" si="87"/>
        <v>5335</v>
      </c>
      <c r="R125" s="192">
        <f t="shared" si="87"/>
        <v>2950</v>
      </c>
      <c r="S125" s="192">
        <f t="shared" si="87"/>
        <v>0</v>
      </c>
      <c r="T125" s="192">
        <f t="shared" si="87"/>
        <v>46449</v>
      </c>
      <c r="U125"/>
      <c r="V125"/>
      <c r="W125"/>
    </row>
    <row r="126" spans="1:23" ht="15" customHeight="1" x14ac:dyDescent="0.25">
      <c r="A126" s="70"/>
      <c r="B126" s="141">
        <v>4010301</v>
      </c>
      <c r="C126" s="130" t="str">
        <f t="shared" si="85"/>
        <v>I-04010301</v>
      </c>
      <c r="D126" s="130">
        <v>76</v>
      </c>
      <c r="E126" s="141" t="s">
        <v>72</v>
      </c>
      <c r="F126" s="347" t="s">
        <v>100</v>
      </c>
      <c r="G126" s="193">
        <f>1680+4560</f>
        <v>6240</v>
      </c>
      <c r="H126" s="193">
        <v>1800</v>
      </c>
      <c r="I126" s="193">
        <v>240</v>
      </c>
      <c r="J126" s="193">
        <v>480</v>
      </c>
      <c r="K126" s="193">
        <v>1320</v>
      </c>
      <c r="L126" s="193">
        <v>240</v>
      </c>
      <c r="M126" s="193">
        <v>0</v>
      </c>
      <c r="N126" s="193">
        <v>0</v>
      </c>
      <c r="O126" s="193">
        <v>120</v>
      </c>
      <c r="P126" s="193">
        <v>0</v>
      </c>
      <c r="Q126" s="193">
        <v>1440</v>
      </c>
      <c r="R126" s="193">
        <v>0</v>
      </c>
      <c r="S126" s="193">
        <v>0</v>
      </c>
      <c r="T126" s="193">
        <f>SUM(H126:S126)</f>
        <v>5640</v>
      </c>
      <c r="U126"/>
      <c r="V126"/>
      <c r="W126"/>
    </row>
    <row r="127" spans="1:23" ht="15" customHeight="1" x14ac:dyDescent="0.25">
      <c r="A127" s="70"/>
      <c r="B127" s="141">
        <v>4010302</v>
      </c>
      <c r="C127" s="130" t="str">
        <f t="shared" si="85"/>
        <v>I-04010302</v>
      </c>
      <c r="D127" s="130">
        <v>77</v>
      </c>
      <c r="E127" s="141" t="s">
        <v>72</v>
      </c>
      <c r="F127" s="347" t="s">
        <v>101</v>
      </c>
      <c r="G127" s="193">
        <f>14190+19140</f>
        <v>33330</v>
      </c>
      <c r="H127" s="193">
        <v>1650</v>
      </c>
      <c r="I127" s="193">
        <v>1760</v>
      </c>
      <c r="J127" s="193">
        <v>2310</v>
      </c>
      <c r="K127" s="193">
        <v>3680</v>
      </c>
      <c r="L127" s="193">
        <v>3960</v>
      </c>
      <c r="M127" s="193">
        <v>3900</v>
      </c>
      <c r="N127" s="193">
        <v>1320</v>
      </c>
      <c r="O127" s="193">
        <v>1430</v>
      </c>
      <c r="P127" s="193">
        <v>1210</v>
      </c>
      <c r="Q127" s="193">
        <v>1320</v>
      </c>
      <c r="R127" s="193">
        <v>1320</v>
      </c>
      <c r="S127" s="193">
        <v>0</v>
      </c>
      <c r="T127" s="193">
        <f>SUM(H127:S127)</f>
        <v>23860</v>
      </c>
      <c r="U127"/>
      <c r="V127"/>
      <c r="W127"/>
    </row>
    <row r="128" spans="1:23" ht="15" customHeight="1" x14ac:dyDescent="0.25">
      <c r="A128" s="70"/>
      <c r="B128" s="141">
        <v>4010303</v>
      </c>
      <c r="C128" s="130" t="str">
        <f t="shared" si="85"/>
        <v>I-04010303</v>
      </c>
      <c r="D128" s="130">
        <v>78</v>
      </c>
      <c r="E128" s="141" t="s">
        <v>72</v>
      </c>
      <c r="F128" s="347" t="s">
        <v>102</v>
      </c>
      <c r="G128" s="193">
        <v>15100</v>
      </c>
      <c r="H128" s="193">
        <v>2090</v>
      </c>
      <c r="I128" s="193">
        <v>1100</v>
      </c>
      <c r="J128" s="193">
        <v>1210</v>
      </c>
      <c r="K128" s="193">
        <v>1100</v>
      </c>
      <c r="L128" s="193">
        <v>0</v>
      </c>
      <c r="M128" s="193">
        <v>0</v>
      </c>
      <c r="N128" s="193">
        <v>1610</v>
      </c>
      <c r="O128" s="193">
        <v>2060</v>
      </c>
      <c r="P128" s="193">
        <v>1540</v>
      </c>
      <c r="Q128" s="193">
        <v>2530</v>
      </c>
      <c r="R128" s="193">
        <v>1540</v>
      </c>
      <c r="S128" s="193">
        <v>0</v>
      </c>
      <c r="T128" s="193">
        <f>SUM(H128:S128)</f>
        <v>14780</v>
      </c>
      <c r="U128"/>
      <c r="V128"/>
      <c r="W128"/>
    </row>
    <row r="129" spans="1:23" ht="15" customHeight="1" x14ac:dyDescent="0.25">
      <c r="A129" s="70"/>
      <c r="B129" s="141">
        <v>4010304</v>
      </c>
      <c r="C129" s="130" t="str">
        <f t="shared" si="85"/>
        <v>I-04010304</v>
      </c>
      <c r="D129" s="130">
        <v>79</v>
      </c>
      <c r="E129" s="141" t="s">
        <v>72</v>
      </c>
      <c r="F129" s="347" t="s">
        <v>103</v>
      </c>
      <c r="G129" s="193">
        <v>0</v>
      </c>
      <c r="H129" s="193">
        <v>204</v>
      </c>
      <c r="I129" s="193">
        <v>54</v>
      </c>
      <c r="J129" s="193">
        <v>47</v>
      </c>
      <c r="K129" s="193">
        <v>20</v>
      </c>
      <c r="L129" s="193">
        <v>505</v>
      </c>
      <c r="M129" s="193">
        <v>88</v>
      </c>
      <c r="N129" s="193">
        <v>523</v>
      </c>
      <c r="O129" s="193">
        <v>91</v>
      </c>
      <c r="P129" s="193">
        <v>103</v>
      </c>
      <c r="Q129" s="193">
        <v>45</v>
      </c>
      <c r="R129" s="193">
        <v>90</v>
      </c>
      <c r="S129" s="193">
        <v>0</v>
      </c>
      <c r="T129" s="193">
        <f>SUM(H129:S129)</f>
        <v>1770</v>
      </c>
      <c r="U129"/>
      <c r="V129"/>
      <c r="W129"/>
    </row>
    <row r="130" spans="1:23" ht="15" customHeight="1" x14ac:dyDescent="0.25">
      <c r="A130" s="70"/>
      <c r="B130" s="141">
        <v>4010305</v>
      </c>
      <c r="C130" s="130" t="str">
        <f t="shared" si="85"/>
        <v>I-04010305</v>
      </c>
      <c r="D130" s="130">
        <v>80</v>
      </c>
      <c r="E130" s="141" t="s">
        <v>72</v>
      </c>
      <c r="F130" s="347" t="s">
        <v>104</v>
      </c>
      <c r="G130" s="193">
        <v>570</v>
      </c>
      <c r="H130" s="193">
        <v>111</v>
      </c>
      <c r="I130" s="193">
        <v>0</v>
      </c>
      <c r="J130" s="193">
        <v>0</v>
      </c>
      <c r="K130" s="193">
        <v>0</v>
      </c>
      <c r="L130" s="193">
        <v>288</v>
      </c>
      <c r="M130" s="193">
        <v>0</v>
      </c>
      <c r="N130" s="193">
        <v>0</v>
      </c>
      <c r="O130" s="193">
        <v>0</v>
      </c>
      <c r="P130" s="193">
        <v>0</v>
      </c>
      <c r="Q130" s="193">
        <v>0</v>
      </c>
      <c r="R130" s="193">
        <v>0</v>
      </c>
      <c r="S130" s="193">
        <v>0</v>
      </c>
      <c r="T130" s="193">
        <f>SUM(H130:S130)</f>
        <v>399</v>
      </c>
      <c r="U130"/>
      <c r="V130"/>
      <c r="W130"/>
    </row>
    <row r="131" spans="1:23" ht="15" customHeight="1" x14ac:dyDescent="0.25">
      <c r="A131" s="70"/>
      <c r="B131" s="144">
        <v>40104</v>
      </c>
      <c r="C131" s="130" t="str">
        <f t="shared" si="85"/>
        <v>I-040104</v>
      </c>
      <c r="D131" s="130">
        <v>81</v>
      </c>
      <c r="E131" s="144" t="s">
        <v>69</v>
      </c>
      <c r="F131" s="198" t="s">
        <v>107</v>
      </c>
      <c r="G131" s="192">
        <f>SUM(G132:G136)</f>
        <v>92580</v>
      </c>
      <c r="H131" s="192">
        <f t="shared" ref="H131:T131" si="88">SUM(H132:H136)</f>
        <v>5400</v>
      </c>
      <c r="I131" s="192">
        <f t="shared" si="88"/>
        <v>5268</v>
      </c>
      <c r="J131" s="192">
        <f t="shared" si="88"/>
        <v>6888</v>
      </c>
      <c r="K131" s="192">
        <f t="shared" si="88"/>
        <v>11950</v>
      </c>
      <c r="L131" s="192">
        <f t="shared" si="88"/>
        <v>8288</v>
      </c>
      <c r="M131" s="192">
        <f t="shared" si="88"/>
        <v>6983</v>
      </c>
      <c r="N131" s="192">
        <f t="shared" si="88"/>
        <v>7189</v>
      </c>
      <c r="O131" s="192">
        <f t="shared" si="88"/>
        <v>7125</v>
      </c>
      <c r="P131" s="192">
        <f t="shared" si="88"/>
        <v>7025</v>
      </c>
      <c r="Q131" s="192">
        <f t="shared" si="88"/>
        <v>18389</v>
      </c>
      <c r="R131" s="192">
        <f t="shared" si="88"/>
        <v>10846</v>
      </c>
      <c r="S131" s="192">
        <f t="shared" si="88"/>
        <v>0</v>
      </c>
      <c r="T131" s="192">
        <f t="shared" si="88"/>
        <v>95351</v>
      </c>
      <c r="U131"/>
      <c r="V131"/>
      <c r="W131"/>
    </row>
    <row r="132" spans="1:23" ht="15" customHeight="1" x14ac:dyDescent="0.25">
      <c r="A132" s="70"/>
      <c r="B132" s="141">
        <v>4010401</v>
      </c>
      <c r="C132" s="130" t="str">
        <f t="shared" si="85"/>
        <v>I-04010401</v>
      </c>
      <c r="D132" s="130">
        <v>82</v>
      </c>
      <c r="E132" s="141" t="s">
        <v>72</v>
      </c>
      <c r="F132" s="347" t="s">
        <v>100</v>
      </c>
      <c r="G132" s="193">
        <v>15360</v>
      </c>
      <c r="H132" s="193">
        <v>0</v>
      </c>
      <c r="I132" s="193">
        <v>120</v>
      </c>
      <c r="J132" s="193">
        <v>1200</v>
      </c>
      <c r="K132" s="193">
        <v>6240</v>
      </c>
      <c r="L132" s="193">
        <v>240</v>
      </c>
      <c r="M132" s="193">
        <v>0</v>
      </c>
      <c r="N132" s="193">
        <v>0</v>
      </c>
      <c r="O132" s="193">
        <v>120</v>
      </c>
      <c r="P132" s="193">
        <v>600</v>
      </c>
      <c r="Q132" s="193">
        <v>8760</v>
      </c>
      <c r="R132" s="193">
        <v>840</v>
      </c>
      <c r="S132" s="193">
        <v>0</v>
      </c>
      <c r="T132" s="193">
        <f>SUM(H132:S132)</f>
        <v>18120</v>
      </c>
      <c r="U132"/>
      <c r="V132"/>
      <c r="W132"/>
    </row>
    <row r="133" spans="1:23" ht="15" customHeight="1" x14ac:dyDescent="0.25">
      <c r="A133" s="70"/>
      <c r="B133" s="141">
        <v>4010402</v>
      </c>
      <c r="C133" s="130" t="str">
        <f t="shared" si="85"/>
        <v>I-04010402</v>
      </c>
      <c r="D133" s="130">
        <v>83</v>
      </c>
      <c r="E133" s="141" t="s">
        <v>72</v>
      </c>
      <c r="F133" s="347" t="s">
        <v>101</v>
      </c>
      <c r="G133" s="193">
        <v>77220</v>
      </c>
      <c r="H133" s="193">
        <v>5205</v>
      </c>
      <c r="I133" s="193">
        <v>5060</v>
      </c>
      <c r="J133" s="193">
        <v>5555</v>
      </c>
      <c r="K133" s="193">
        <v>5655</v>
      </c>
      <c r="L133" s="193">
        <v>7865</v>
      </c>
      <c r="M133" s="193">
        <v>6820</v>
      </c>
      <c r="N133" s="193">
        <v>7030</v>
      </c>
      <c r="O133" s="193">
        <v>6875</v>
      </c>
      <c r="P133" s="193">
        <v>6325</v>
      </c>
      <c r="Q133" s="193">
        <v>9405</v>
      </c>
      <c r="R133" s="193">
        <v>9735</v>
      </c>
      <c r="S133" s="193">
        <v>0</v>
      </c>
      <c r="T133" s="193">
        <f>SUM(H133:S133)</f>
        <v>75530</v>
      </c>
      <c r="U133"/>
      <c r="V133"/>
      <c r="W133"/>
    </row>
    <row r="134" spans="1:23" ht="15" customHeight="1" x14ac:dyDescent="0.25">
      <c r="A134" s="70"/>
      <c r="B134" s="141">
        <v>4010403</v>
      </c>
      <c r="C134" s="130" t="str">
        <f t="shared" si="85"/>
        <v>I-04010403</v>
      </c>
      <c r="D134" s="130">
        <v>84</v>
      </c>
      <c r="E134" s="141" t="s">
        <v>72</v>
      </c>
      <c r="F134" s="347" t="s">
        <v>102</v>
      </c>
      <c r="G134" s="193">
        <v>0</v>
      </c>
      <c r="H134" s="193">
        <v>195</v>
      </c>
      <c r="I134" s="193">
        <v>0</v>
      </c>
      <c r="J134" s="193">
        <v>0</v>
      </c>
      <c r="K134" s="193">
        <v>0</v>
      </c>
      <c r="L134" s="193">
        <v>0</v>
      </c>
      <c r="M134" s="193">
        <v>0</v>
      </c>
      <c r="N134" s="193">
        <v>0</v>
      </c>
      <c r="O134" s="193">
        <v>0</v>
      </c>
      <c r="P134" s="193">
        <v>0</v>
      </c>
      <c r="Q134" s="193">
        <v>0</v>
      </c>
      <c r="R134" s="193">
        <v>0</v>
      </c>
      <c r="S134" s="193">
        <v>0</v>
      </c>
      <c r="T134" s="193">
        <f>SUM(H134:S134)</f>
        <v>195</v>
      </c>
      <c r="U134"/>
      <c r="V134"/>
      <c r="W134"/>
    </row>
    <row r="135" spans="1:23" ht="15" customHeight="1" x14ac:dyDescent="0.25">
      <c r="A135" s="70"/>
      <c r="B135" s="141">
        <v>4010404</v>
      </c>
      <c r="C135" s="130" t="str">
        <f t="shared" si="85"/>
        <v>I-04010404</v>
      </c>
      <c r="D135" s="130">
        <v>85</v>
      </c>
      <c r="E135" s="141" t="s">
        <v>72</v>
      </c>
      <c r="F135" s="347" t="s">
        <v>103</v>
      </c>
      <c r="G135" s="193">
        <v>0</v>
      </c>
      <c r="H135" s="193">
        <v>0</v>
      </c>
      <c r="I135" s="193">
        <v>88</v>
      </c>
      <c r="J135" s="193">
        <v>133</v>
      </c>
      <c r="K135" s="193">
        <v>55</v>
      </c>
      <c r="L135" s="193">
        <v>183</v>
      </c>
      <c r="M135" s="193">
        <v>163</v>
      </c>
      <c r="N135" s="193">
        <v>159</v>
      </c>
      <c r="O135" s="193">
        <v>130</v>
      </c>
      <c r="P135" s="193">
        <v>100</v>
      </c>
      <c r="Q135" s="193">
        <v>224.00000000000003</v>
      </c>
      <c r="R135" s="193">
        <v>271</v>
      </c>
      <c r="S135" s="193">
        <v>0</v>
      </c>
      <c r="T135" s="193">
        <f>SUM(H135:S135)</f>
        <v>1506</v>
      </c>
      <c r="U135"/>
      <c r="V135"/>
      <c r="W135"/>
    </row>
    <row r="136" spans="1:23" ht="15" customHeight="1" x14ac:dyDescent="0.25">
      <c r="A136" s="70"/>
      <c r="B136" s="141">
        <v>4010405</v>
      </c>
      <c r="C136" s="130" t="str">
        <f t="shared" si="85"/>
        <v>I-04010405</v>
      </c>
      <c r="D136" s="130">
        <v>86</v>
      </c>
      <c r="E136" s="141" t="s">
        <v>72</v>
      </c>
      <c r="F136" s="347" t="s">
        <v>104</v>
      </c>
      <c r="G136" s="193">
        <v>0</v>
      </c>
      <c r="H136" s="193">
        <v>0</v>
      </c>
      <c r="I136" s="193">
        <v>0</v>
      </c>
      <c r="J136" s="193">
        <v>0</v>
      </c>
      <c r="K136" s="193">
        <v>0</v>
      </c>
      <c r="L136" s="193">
        <v>0</v>
      </c>
      <c r="M136" s="193">
        <v>0</v>
      </c>
      <c r="N136" s="193">
        <v>0</v>
      </c>
      <c r="O136" s="193">
        <v>0</v>
      </c>
      <c r="P136" s="193">
        <v>0</v>
      </c>
      <c r="Q136" s="193">
        <v>0</v>
      </c>
      <c r="R136" s="193">
        <v>0</v>
      </c>
      <c r="S136" s="193">
        <v>0</v>
      </c>
      <c r="T136" s="193">
        <f>SUM(H136:S136)</f>
        <v>0</v>
      </c>
      <c r="U136"/>
      <c r="V136"/>
      <c r="W136"/>
    </row>
    <row r="137" spans="1:23" ht="15" customHeight="1" x14ac:dyDescent="0.25">
      <c r="A137" s="52">
        <v>5</v>
      </c>
      <c r="B137" s="144">
        <v>40105</v>
      </c>
      <c r="C137" s="130" t="str">
        <f t="shared" si="85"/>
        <v>I-040105</v>
      </c>
      <c r="D137" s="130">
        <v>87</v>
      </c>
      <c r="E137" s="144" t="s">
        <v>69</v>
      </c>
      <c r="F137" s="198" t="s">
        <v>108</v>
      </c>
      <c r="G137" s="192">
        <f>SUM(G138:G142)</f>
        <v>163180</v>
      </c>
      <c r="H137" s="192">
        <f t="shared" ref="H137:T137" si="89">SUM(H138:H142)</f>
        <v>19079</v>
      </c>
      <c r="I137" s="192">
        <f t="shared" si="89"/>
        <v>10955</v>
      </c>
      <c r="J137" s="192">
        <f t="shared" si="89"/>
        <v>10966</v>
      </c>
      <c r="K137" s="192">
        <f t="shared" si="89"/>
        <v>23035</v>
      </c>
      <c r="L137" s="192">
        <f t="shared" si="89"/>
        <v>14385</v>
      </c>
      <c r="M137" s="192">
        <f t="shared" si="89"/>
        <v>11228</v>
      </c>
      <c r="N137" s="192">
        <f t="shared" si="89"/>
        <v>10978</v>
      </c>
      <c r="O137" s="192">
        <f t="shared" si="89"/>
        <v>15843</v>
      </c>
      <c r="P137" s="192">
        <f t="shared" si="89"/>
        <v>10536</v>
      </c>
      <c r="Q137" s="192">
        <f t="shared" si="89"/>
        <v>26375</v>
      </c>
      <c r="R137" s="192">
        <f t="shared" si="89"/>
        <v>12692</v>
      </c>
      <c r="S137" s="192">
        <f t="shared" si="89"/>
        <v>0</v>
      </c>
      <c r="T137" s="192">
        <f t="shared" si="89"/>
        <v>166072</v>
      </c>
      <c r="U137"/>
      <c r="V137"/>
      <c r="W137"/>
    </row>
    <row r="138" spans="1:23" ht="15" customHeight="1" x14ac:dyDescent="0.25">
      <c r="A138" s="70"/>
      <c r="B138" s="141">
        <v>4010501</v>
      </c>
      <c r="C138" s="130" t="str">
        <f t="shared" si="85"/>
        <v>I-04010501</v>
      </c>
      <c r="D138" s="130">
        <v>88</v>
      </c>
      <c r="E138" s="141" t="s">
        <v>72</v>
      </c>
      <c r="F138" s="347" t="s">
        <v>100</v>
      </c>
      <c r="G138" s="193">
        <v>20280</v>
      </c>
      <c r="H138" s="193">
        <v>3360</v>
      </c>
      <c r="I138" s="193">
        <v>240</v>
      </c>
      <c r="J138" s="193">
        <v>240</v>
      </c>
      <c r="K138" s="193">
        <v>9000</v>
      </c>
      <c r="L138" s="193">
        <v>120</v>
      </c>
      <c r="M138" s="193">
        <v>120</v>
      </c>
      <c r="N138" s="193">
        <v>0</v>
      </c>
      <c r="O138" s="193">
        <v>0</v>
      </c>
      <c r="P138" s="193">
        <v>720</v>
      </c>
      <c r="Q138" s="193">
        <v>10560</v>
      </c>
      <c r="R138" s="193">
        <v>0</v>
      </c>
      <c r="S138" s="193">
        <v>0</v>
      </c>
      <c r="T138" s="193">
        <f>SUM(H138:S138)</f>
        <v>24360</v>
      </c>
      <c r="U138"/>
      <c r="V138"/>
      <c r="W138"/>
    </row>
    <row r="139" spans="1:23" ht="15" customHeight="1" x14ac:dyDescent="0.25">
      <c r="A139" s="70"/>
      <c r="B139" s="141">
        <v>4010502</v>
      </c>
      <c r="C139" s="130" t="str">
        <f t="shared" si="85"/>
        <v>I-04010502</v>
      </c>
      <c r="D139" s="130">
        <v>89</v>
      </c>
      <c r="E139" s="141" t="s">
        <v>72</v>
      </c>
      <c r="F139" s="347" t="s">
        <v>101</v>
      </c>
      <c r="G139" s="193">
        <v>115170</v>
      </c>
      <c r="H139" s="193">
        <v>12100</v>
      </c>
      <c r="I139" s="193">
        <v>8800</v>
      </c>
      <c r="J139" s="193">
        <v>8700</v>
      </c>
      <c r="K139" s="193">
        <v>12420</v>
      </c>
      <c r="L139" s="193">
        <v>12230</v>
      </c>
      <c r="M139" s="193">
        <f>11000-160</f>
        <v>10840</v>
      </c>
      <c r="N139" s="193">
        <v>9890</v>
      </c>
      <c r="O139" s="193">
        <v>9130</v>
      </c>
      <c r="P139" s="193">
        <v>6490</v>
      </c>
      <c r="Q139" s="193">
        <v>12540</v>
      </c>
      <c r="R139" s="193">
        <v>10000</v>
      </c>
      <c r="S139" s="193">
        <v>0</v>
      </c>
      <c r="T139" s="193">
        <f>SUM(H139:S139)</f>
        <v>113140</v>
      </c>
      <c r="U139"/>
      <c r="V139"/>
      <c r="W139"/>
    </row>
    <row r="140" spans="1:23" ht="15" customHeight="1" x14ac:dyDescent="0.25">
      <c r="A140" s="70"/>
      <c r="B140" s="141">
        <v>4010503</v>
      </c>
      <c r="C140" s="130" t="str">
        <f t="shared" si="85"/>
        <v>I-04010503</v>
      </c>
      <c r="D140" s="130">
        <v>90</v>
      </c>
      <c r="E140" s="141" t="s">
        <v>72</v>
      </c>
      <c r="F140" s="347" t="s">
        <v>102</v>
      </c>
      <c r="G140" s="193">
        <v>25990</v>
      </c>
      <c r="H140" s="193">
        <v>1980</v>
      </c>
      <c r="I140" s="193">
        <v>1650</v>
      </c>
      <c r="J140" s="193">
        <v>1650</v>
      </c>
      <c r="K140" s="193">
        <v>1210</v>
      </c>
      <c r="L140" s="193">
        <v>880</v>
      </c>
      <c r="M140" s="193">
        <v>0</v>
      </c>
      <c r="N140" s="193">
        <v>570</v>
      </c>
      <c r="O140" s="193">
        <v>5960</v>
      </c>
      <c r="P140" s="193">
        <v>3080</v>
      </c>
      <c r="Q140" s="193">
        <v>2860</v>
      </c>
      <c r="R140" s="193">
        <v>2420</v>
      </c>
      <c r="S140" s="193">
        <v>0</v>
      </c>
      <c r="T140" s="193">
        <f>SUM(H140:S140)</f>
        <v>22260</v>
      </c>
      <c r="U140"/>
      <c r="V140"/>
      <c r="W140"/>
    </row>
    <row r="141" spans="1:23" ht="15" customHeight="1" x14ac:dyDescent="0.25">
      <c r="A141" s="70"/>
      <c r="B141" s="141">
        <v>4010504</v>
      </c>
      <c r="C141" s="130" t="str">
        <f t="shared" si="85"/>
        <v>I-04010504</v>
      </c>
      <c r="D141" s="130">
        <v>91</v>
      </c>
      <c r="E141" s="141" t="s">
        <v>72</v>
      </c>
      <c r="F141" s="347" t="s">
        <v>103</v>
      </c>
      <c r="G141" s="193">
        <v>0</v>
      </c>
      <c r="H141" s="193">
        <v>1130.0000000000002</v>
      </c>
      <c r="I141" s="193">
        <v>243</v>
      </c>
      <c r="J141" s="193">
        <v>332</v>
      </c>
      <c r="K141" s="193">
        <v>405</v>
      </c>
      <c r="L141" s="193">
        <v>779</v>
      </c>
      <c r="M141" s="193">
        <v>224</v>
      </c>
      <c r="N141" s="193">
        <v>518</v>
      </c>
      <c r="O141" s="193">
        <v>753</v>
      </c>
      <c r="P141" s="193">
        <v>246</v>
      </c>
      <c r="Q141" s="193">
        <v>415</v>
      </c>
      <c r="R141" s="193">
        <v>272</v>
      </c>
      <c r="S141" s="193">
        <v>0</v>
      </c>
      <c r="T141" s="193">
        <f>SUM(H141:S141)</f>
        <v>5317</v>
      </c>
      <c r="U141"/>
      <c r="V141"/>
      <c r="W141"/>
    </row>
    <row r="142" spans="1:23" ht="15" customHeight="1" x14ac:dyDescent="0.25">
      <c r="A142" s="70"/>
      <c r="B142" s="141">
        <v>4010505</v>
      </c>
      <c r="C142" s="130" t="str">
        <f t="shared" si="85"/>
        <v>I-04010505</v>
      </c>
      <c r="D142" s="130">
        <v>92</v>
      </c>
      <c r="E142" s="141" t="s">
        <v>72</v>
      </c>
      <c r="F142" s="347" t="s">
        <v>104</v>
      </c>
      <c r="G142" s="193">
        <v>1740</v>
      </c>
      <c r="H142" s="193">
        <v>509</v>
      </c>
      <c r="I142" s="193">
        <v>22</v>
      </c>
      <c r="J142" s="193">
        <v>44</v>
      </c>
      <c r="K142" s="193">
        <v>0</v>
      </c>
      <c r="L142" s="193">
        <v>376</v>
      </c>
      <c r="M142" s="193">
        <v>44</v>
      </c>
      <c r="N142" s="193">
        <v>0</v>
      </c>
      <c r="O142" s="193">
        <v>0</v>
      </c>
      <c r="P142" s="193">
        <v>0</v>
      </c>
      <c r="Q142" s="193">
        <v>0</v>
      </c>
      <c r="R142" s="193">
        <v>0</v>
      </c>
      <c r="S142" s="193">
        <v>0</v>
      </c>
      <c r="T142" s="193">
        <f>SUM(H142:S142)</f>
        <v>995</v>
      </c>
      <c r="U142"/>
      <c r="V142"/>
      <c r="W142"/>
    </row>
    <row r="143" spans="1:23" ht="15" customHeight="1" x14ac:dyDescent="0.25">
      <c r="A143" s="52">
        <v>6</v>
      </c>
      <c r="B143" s="144">
        <v>40106</v>
      </c>
      <c r="C143" s="130" t="str">
        <f t="shared" si="85"/>
        <v>I-040106</v>
      </c>
      <c r="D143" s="130">
        <v>93</v>
      </c>
      <c r="E143" s="144" t="s">
        <v>69</v>
      </c>
      <c r="F143" s="198" t="s">
        <v>109</v>
      </c>
      <c r="G143" s="192">
        <f>SUM(G144:G148)</f>
        <v>37270</v>
      </c>
      <c r="H143" s="192">
        <f t="shared" ref="H143:T143" si="90">SUM(H144:H148)</f>
        <v>5774</v>
      </c>
      <c r="I143" s="192">
        <f t="shared" si="90"/>
        <v>3839</v>
      </c>
      <c r="J143" s="192">
        <f t="shared" si="90"/>
        <v>3777</v>
      </c>
      <c r="K143" s="192">
        <f t="shared" si="90"/>
        <v>2700</v>
      </c>
      <c r="L143" s="192">
        <f t="shared" si="90"/>
        <v>2297</v>
      </c>
      <c r="M143" s="192">
        <f t="shared" si="90"/>
        <v>740</v>
      </c>
      <c r="N143" s="192">
        <f t="shared" si="90"/>
        <v>2015</v>
      </c>
      <c r="O143" s="192">
        <f t="shared" si="90"/>
        <v>1120</v>
      </c>
      <c r="P143" s="192">
        <f t="shared" si="90"/>
        <v>1367</v>
      </c>
      <c r="Q143" s="192">
        <f t="shared" si="90"/>
        <v>1020</v>
      </c>
      <c r="R143" s="192">
        <f t="shared" si="90"/>
        <v>898</v>
      </c>
      <c r="S143" s="192">
        <f t="shared" si="90"/>
        <v>0</v>
      </c>
      <c r="T143" s="192">
        <f t="shared" si="90"/>
        <v>25547</v>
      </c>
      <c r="U143"/>
      <c r="V143"/>
      <c r="W143"/>
    </row>
    <row r="144" spans="1:23" ht="15" customHeight="1" x14ac:dyDescent="0.25">
      <c r="A144" s="70"/>
      <c r="B144" s="141">
        <v>4010601</v>
      </c>
      <c r="C144" s="130" t="str">
        <f t="shared" si="85"/>
        <v>I-04010601</v>
      </c>
      <c r="D144" s="130">
        <v>94</v>
      </c>
      <c r="E144" s="141" t="s">
        <v>72</v>
      </c>
      <c r="F144" s="347" t="s">
        <v>100</v>
      </c>
      <c r="G144" s="193">
        <v>3720</v>
      </c>
      <c r="H144" s="193">
        <v>1320</v>
      </c>
      <c r="I144" s="193">
        <v>120</v>
      </c>
      <c r="J144" s="193">
        <v>0</v>
      </c>
      <c r="K144" s="193">
        <v>0</v>
      </c>
      <c r="L144" s="193">
        <v>0</v>
      </c>
      <c r="M144" s="193">
        <v>0</v>
      </c>
      <c r="N144" s="193">
        <v>0</v>
      </c>
      <c r="O144" s="193">
        <v>0</v>
      </c>
      <c r="P144" s="193">
        <v>0</v>
      </c>
      <c r="Q144" s="193">
        <v>0</v>
      </c>
      <c r="R144" s="193">
        <v>0</v>
      </c>
      <c r="S144" s="193">
        <v>0</v>
      </c>
      <c r="T144" s="193">
        <f>SUM(H144:S144)</f>
        <v>1440</v>
      </c>
      <c r="U144"/>
      <c r="V144"/>
      <c r="W144"/>
    </row>
    <row r="145" spans="1:23" ht="15" customHeight="1" x14ac:dyDescent="0.25">
      <c r="A145" s="70"/>
      <c r="B145" s="141">
        <v>4010602</v>
      </c>
      <c r="C145" s="130" t="str">
        <f t="shared" si="85"/>
        <v>I-04010602</v>
      </c>
      <c r="D145" s="130">
        <v>95</v>
      </c>
      <c r="E145" s="141" t="s">
        <v>72</v>
      </c>
      <c r="F145" s="347" t="s">
        <v>101</v>
      </c>
      <c r="G145" s="193">
        <v>15180</v>
      </c>
      <c r="H145" s="193">
        <v>1430</v>
      </c>
      <c r="I145" s="193">
        <v>1650</v>
      </c>
      <c r="J145" s="193">
        <v>1430</v>
      </c>
      <c r="K145" s="193">
        <v>990</v>
      </c>
      <c r="L145" s="193">
        <v>1320</v>
      </c>
      <c r="M145" s="193">
        <v>660</v>
      </c>
      <c r="N145" s="193">
        <v>212</v>
      </c>
      <c r="O145" s="193">
        <v>1120</v>
      </c>
      <c r="P145" s="193">
        <v>0</v>
      </c>
      <c r="Q145" s="193">
        <v>0</v>
      </c>
      <c r="R145" s="193">
        <v>0</v>
      </c>
      <c r="S145" s="193">
        <v>0</v>
      </c>
      <c r="T145" s="193">
        <f>SUM(H145:S145)</f>
        <v>8812</v>
      </c>
      <c r="U145"/>
      <c r="V145"/>
      <c r="W145"/>
    </row>
    <row r="146" spans="1:23" ht="15" customHeight="1" x14ac:dyDescent="0.25">
      <c r="A146" s="70"/>
      <c r="B146" s="141">
        <v>4010603</v>
      </c>
      <c r="C146" s="130" t="str">
        <f t="shared" si="85"/>
        <v>I-04010603</v>
      </c>
      <c r="D146" s="130">
        <v>96</v>
      </c>
      <c r="E146" s="141" t="s">
        <v>72</v>
      </c>
      <c r="F146" s="347" t="s">
        <v>102</v>
      </c>
      <c r="G146" s="193">
        <v>17050</v>
      </c>
      <c r="H146" s="193">
        <v>2640</v>
      </c>
      <c r="I146" s="193">
        <v>1870</v>
      </c>
      <c r="J146" s="193">
        <v>2200</v>
      </c>
      <c r="K146" s="193">
        <v>1650</v>
      </c>
      <c r="L146" s="193">
        <v>0</v>
      </c>
      <c r="M146" s="193">
        <v>0</v>
      </c>
      <c r="N146" s="193">
        <v>1950</v>
      </c>
      <c r="O146" s="193">
        <v>0</v>
      </c>
      <c r="P146" s="193">
        <v>1320</v>
      </c>
      <c r="Q146" s="193">
        <v>990</v>
      </c>
      <c r="R146" s="193">
        <v>888</v>
      </c>
      <c r="S146" s="193">
        <v>0</v>
      </c>
      <c r="T146" s="193">
        <f>SUM(H146:S146)</f>
        <v>13508</v>
      </c>
      <c r="U146"/>
      <c r="V146"/>
      <c r="W146"/>
    </row>
    <row r="147" spans="1:23" ht="15" customHeight="1" x14ac:dyDescent="0.25">
      <c r="A147" s="70"/>
      <c r="B147" s="141">
        <v>4010604</v>
      </c>
      <c r="C147" s="130" t="str">
        <f t="shared" si="85"/>
        <v>I-04010604</v>
      </c>
      <c r="D147" s="130">
        <v>97</v>
      </c>
      <c r="E147" s="141" t="s">
        <v>72</v>
      </c>
      <c r="F147" s="347" t="s">
        <v>103</v>
      </c>
      <c r="G147" s="193">
        <v>0</v>
      </c>
      <c r="H147" s="193">
        <v>207</v>
      </c>
      <c r="I147" s="193">
        <v>199</v>
      </c>
      <c r="J147" s="193">
        <v>147</v>
      </c>
      <c r="K147" s="193">
        <v>60</v>
      </c>
      <c r="L147" s="193">
        <v>512</v>
      </c>
      <c r="M147" s="193">
        <v>80</v>
      </c>
      <c r="N147" s="193">
        <v>-147</v>
      </c>
      <c r="O147" s="193">
        <v>0</v>
      </c>
      <c r="P147" s="193">
        <v>47</v>
      </c>
      <c r="Q147" s="193">
        <v>30</v>
      </c>
      <c r="R147" s="193">
        <v>10</v>
      </c>
      <c r="S147" s="193">
        <v>0</v>
      </c>
      <c r="T147" s="193">
        <f>SUM(H147:S147)</f>
        <v>1145</v>
      </c>
      <c r="U147"/>
      <c r="V147"/>
      <c r="W147"/>
    </row>
    <row r="148" spans="1:23" ht="15" customHeight="1" x14ac:dyDescent="0.25">
      <c r="A148" s="70"/>
      <c r="B148" s="141">
        <v>4010605</v>
      </c>
      <c r="C148" s="130" t="str">
        <f t="shared" si="85"/>
        <v>I-04010605</v>
      </c>
      <c r="D148" s="130">
        <v>98</v>
      </c>
      <c r="E148" s="141" t="s">
        <v>72</v>
      </c>
      <c r="F148" s="347" t="s">
        <v>104</v>
      </c>
      <c r="G148" s="193">
        <v>1320</v>
      </c>
      <c r="H148" s="193">
        <v>177</v>
      </c>
      <c r="I148" s="193">
        <v>0</v>
      </c>
      <c r="J148" s="193">
        <v>0</v>
      </c>
      <c r="K148" s="193">
        <v>0</v>
      </c>
      <c r="L148" s="193">
        <v>465</v>
      </c>
      <c r="M148" s="193">
        <v>0</v>
      </c>
      <c r="N148" s="193">
        <v>0</v>
      </c>
      <c r="O148" s="193">
        <v>0</v>
      </c>
      <c r="P148" s="193">
        <v>0</v>
      </c>
      <c r="Q148" s="193">
        <v>0</v>
      </c>
      <c r="R148" s="193">
        <v>0</v>
      </c>
      <c r="S148" s="193">
        <v>0</v>
      </c>
      <c r="T148" s="193">
        <f>SUM(H148:S148)</f>
        <v>642</v>
      </c>
      <c r="U148"/>
      <c r="V148"/>
      <c r="W148"/>
    </row>
    <row r="149" spans="1:23" ht="15" customHeight="1" x14ac:dyDescent="0.25">
      <c r="A149" s="52">
        <v>6</v>
      </c>
      <c r="B149" s="144">
        <v>40107</v>
      </c>
      <c r="C149" s="130" t="str">
        <f t="shared" si="85"/>
        <v>I-040107</v>
      </c>
      <c r="D149" s="130">
        <v>99</v>
      </c>
      <c r="E149" s="144" t="s">
        <v>69</v>
      </c>
      <c r="F149" s="198" t="s">
        <v>110</v>
      </c>
      <c r="G149" s="192">
        <f>SUM(G150:G154)</f>
        <v>226050</v>
      </c>
      <c r="H149" s="192">
        <f t="shared" ref="H149:T149" si="91">SUM(H150:H154)</f>
        <v>15739</v>
      </c>
      <c r="I149" s="192">
        <f t="shared" si="91"/>
        <v>19573</v>
      </c>
      <c r="J149" s="192">
        <f t="shared" si="91"/>
        <v>15525</v>
      </c>
      <c r="K149" s="192">
        <f t="shared" si="91"/>
        <v>28616</v>
      </c>
      <c r="L149" s="192">
        <f t="shared" si="91"/>
        <v>18561</v>
      </c>
      <c r="M149" s="192">
        <f t="shared" si="91"/>
        <v>18036</v>
      </c>
      <c r="N149" s="192">
        <f t="shared" si="91"/>
        <v>17093</v>
      </c>
      <c r="O149" s="192">
        <f t="shared" si="91"/>
        <v>17295</v>
      </c>
      <c r="P149" s="192">
        <f t="shared" si="91"/>
        <v>15738</v>
      </c>
      <c r="Q149" s="192">
        <f t="shared" si="91"/>
        <v>33287</v>
      </c>
      <c r="R149" s="192">
        <f t="shared" si="91"/>
        <v>20894</v>
      </c>
      <c r="S149" s="192">
        <f t="shared" si="91"/>
        <v>0</v>
      </c>
      <c r="T149" s="192">
        <f t="shared" si="91"/>
        <v>220357</v>
      </c>
      <c r="U149"/>
      <c r="V149"/>
      <c r="W149" t="s">
        <v>1</v>
      </c>
    </row>
    <row r="150" spans="1:23" ht="15" customHeight="1" x14ac:dyDescent="0.25">
      <c r="A150" s="70"/>
      <c r="B150" s="141">
        <v>4010701</v>
      </c>
      <c r="C150" s="130" t="str">
        <f t="shared" si="85"/>
        <v>I-04010701</v>
      </c>
      <c r="D150" s="130">
        <v>100</v>
      </c>
      <c r="E150" s="141" t="s">
        <v>72</v>
      </c>
      <c r="F150" s="347" t="s">
        <v>100</v>
      </c>
      <c r="G150" s="193">
        <v>21960</v>
      </c>
      <c r="H150" s="193">
        <v>2760</v>
      </c>
      <c r="I150" s="193">
        <v>120</v>
      </c>
      <c r="J150" s="193">
        <v>1320</v>
      </c>
      <c r="K150" s="193">
        <v>11280</v>
      </c>
      <c r="L150" s="193">
        <v>480</v>
      </c>
      <c r="M150" s="193">
        <v>0</v>
      </c>
      <c r="N150" s="193">
        <v>0</v>
      </c>
      <c r="O150" s="193">
        <v>360</v>
      </c>
      <c r="P150" s="193">
        <v>360</v>
      </c>
      <c r="Q150" s="193">
        <v>14520</v>
      </c>
      <c r="R150" s="193">
        <v>1080</v>
      </c>
      <c r="S150" s="193">
        <v>0</v>
      </c>
      <c r="T150" s="193">
        <f>SUM(H150:S150)</f>
        <v>32280</v>
      </c>
      <c r="U150"/>
      <c r="V150"/>
      <c r="W150"/>
    </row>
    <row r="151" spans="1:23" ht="15" customHeight="1" x14ac:dyDescent="0.25">
      <c r="A151" s="70"/>
      <c r="B151" s="141">
        <v>4010702</v>
      </c>
      <c r="C151" s="130" t="str">
        <f t="shared" si="85"/>
        <v>I-04010702</v>
      </c>
      <c r="D151" s="130">
        <v>101</v>
      </c>
      <c r="E151" s="141" t="s">
        <v>72</v>
      </c>
      <c r="F151" s="347" t="s">
        <v>101</v>
      </c>
      <c r="G151" s="193">
        <v>148980</v>
      </c>
      <c r="H151" s="193">
        <v>12210</v>
      </c>
      <c r="I151" s="193">
        <v>10020</v>
      </c>
      <c r="J151" s="193">
        <v>10560</v>
      </c>
      <c r="K151" s="193">
        <v>13960</v>
      </c>
      <c r="L151" s="193">
        <v>14760</v>
      </c>
      <c r="M151" s="193">
        <v>13880</v>
      </c>
      <c r="N151" s="193">
        <v>11330</v>
      </c>
      <c r="O151" s="193">
        <v>11550</v>
      </c>
      <c r="P151" s="193">
        <v>9680</v>
      </c>
      <c r="Q151" s="193">
        <v>14410</v>
      </c>
      <c r="R151" s="193">
        <v>15415</v>
      </c>
      <c r="S151" s="193">
        <v>0</v>
      </c>
      <c r="T151" s="193">
        <f>SUM(H151:S151)</f>
        <v>137775</v>
      </c>
      <c r="U151"/>
      <c r="V151"/>
      <c r="W151"/>
    </row>
    <row r="152" spans="1:23" ht="15" customHeight="1" x14ac:dyDescent="0.25">
      <c r="A152" s="70"/>
      <c r="B152" s="141">
        <v>4010703</v>
      </c>
      <c r="C152" s="130" t="str">
        <f t="shared" si="85"/>
        <v>I-04010703</v>
      </c>
      <c r="D152" s="130">
        <v>102</v>
      </c>
      <c r="E152" s="141" t="s">
        <v>72</v>
      </c>
      <c r="F152" s="347" t="s">
        <v>102</v>
      </c>
      <c r="G152" s="193">
        <v>55110</v>
      </c>
      <c r="H152" s="193">
        <v>220</v>
      </c>
      <c r="I152" s="193">
        <v>8220</v>
      </c>
      <c r="J152" s="193">
        <v>3290</v>
      </c>
      <c r="K152" s="193">
        <v>2970</v>
      </c>
      <c r="L152" s="193">
        <v>2860</v>
      </c>
      <c r="M152" s="193">
        <v>3620</v>
      </c>
      <c r="N152" s="193">
        <v>5040</v>
      </c>
      <c r="O152" s="193">
        <v>4820</v>
      </c>
      <c r="P152" s="193">
        <v>5280</v>
      </c>
      <c r="Q152" s="193">
        <v>3960</v>
      </c>
      <c r="R152" s="193">
        <v>3850</v>
      </c>
      <c r="S152" s="193">
        <v>0</v>
      </c>
      <c r="T152" s="193">
        <f>SUM(H152:S152)</f>
        <v>44130</v>
      </c>
      <c r="U152"/>
      <c r="V152"/>
      <c r="W152"/>
    </row>
    <row r="153" spans="1:23" ht="15" customHeight="1" x14ac:dyDescent="0.25">
      <c r="A153" s="70"/>
      <c r="B153" s="141">
        <v>4010704</v>
      </c>
      <c r="C153" s="130" t="str">
        <f t="shared" si="85"/>
        <v>I-04010704</v>
      </c>
      <c r="D153" s="130">
        <v>103</v>
      </c>
      <c r="E153" s="141" t="s">
        <v>72</v>
      </c>
      <c r="F153" s="347" t="s">
        <v>103</v>
      </c>
      <c r="G153" s="193">
        <v>0</v>
      </c>
      <c r="H153" s="193">
        <v>549</v>
      </c>
      <c r="I153" s="193">
        <v>1213</v>
      </c>
      <c r="J153" s="193">
        <v>355</v>
      </c>
      <c r="K153" s="193">
        <v>406</v>
      </c>
      <c r="L153" s="193">
        <v>461</v>
      </c>
      <c r="M153" s="193">
        <v>536</v>
      </c>
      <c r="N153" s="193">
        <v>723</v>
      </c>
      <c r="O153" s="193">
        <v>565</v>
      </c>
      <c r="P153" s="193">
        <v>418</v>
      </c>
      <c r="Q153" s="193">
        <v>397</v>
      </c>
      <c r="R153" s="193">
        <v>549</v>
      </c>
      <c r="S153" s="193">
        <v>0</v>
      </c>
      <c r="T153" s="193">
        <f>SUM(H153:S153)</f>
        <v>6172</v>
      </c>
      <c r="U153"/>
      <c r="V153"/>
      <c r="W153"/>
    </row>
    <row r="154" spans="1:23" ht="15" customHeight="1" x14ac:dyDescent="0.25">
      <c r="A154" s="70"/>
      <c r="B154" s="141">
        <v>4010705</v>
      </c>
      <c r="C154" s="130" t="str">
        <f t="shared" si="85"/>
        <v>I-04010705</v>
      </c>
      <c r="D154" s="130">
        <v>104</v>
      </c>
      <c r="E154" s="141" t="s">
        <v>72</v>
      </c>
      <c r="F154" s="347" t="s">
        <v>104</v>
      </c>
      <c r="G154" s="193">
        <v>0</v>
      </c>
      <c r="H154" s="193">
        <v>0</v>
      </c>
      <c r="I154" s="193">
        <v>0</v>
      </c>
      <c r="J154" s="193">
        <v>0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93">
        <v>0</v>
      </c>
      <c r="R154" s="193">
        <v>0</v>
      </c>
      <c r="S154" s="193">
        <v>0</v>
      </c>
      <c r="T154" s="193">
        <f>SUM(H154:S154)</f>
        <v>0</v>
      </c>
      <c r="U154"/>
      <c r="V154"/>
      <c r="W154"/>
    </row>
    <row r="155" spans="1:23" ht="15" customHeight="1" x14ac:dyDescent="0.25">
      <c r="A155" s="70">
        <v>7</v>
      </c>
      <c r="B155" s="144">
        <v>40108</v>
      </c>
      <c r="C155" s="130" t="str">
        <f t="shared" si="85"/>
        <v>I-040108</v>
      </c>
      <c r="D155" s="130">
        <v>105</v>
      </c>
      <c r="E155" s="144" t="s">
        <v>69</v>
      </c>
      <c r="F155" s="198" t="s">
        <v>111</v>
      </c>
      <c r="G155" s="192">
        <f>SUM(G156:G160)</f>
        <v>116300</v>
      </c>
      <c r="H155" s="192">
        <f t="shared" ref="H155:T155" si="92">SUM(H156:H160)</f>
        <v>9583</v>
      </c>
      <c r="I155" s="192">
        <f t="shared" si="92"/>
        <v>7390</v>
      </c>
      <c r="J155" s="192">
        <f t="shared" si="92"/>
        <v>6875</v>
      </c>
      <c r="K155" s="192">
        <f t="shared" si="92"/>
        <v>16592</v>
      </c>
      <c r="L155" s="192">
        <f t="shared" si="92"/>
        <v>11540</v>
      </c>
      <c r="M155" s="192">
        <f t="shared" si="92"/>
        <v>11018</v>
      </c>
      <c r="N155" s="192">
        <f t="shared" si="92"/>
        <v>10111</v>
      </c>
      <c r="O155" s="192">
        <f t="shared" si="92"/>
        <v>10063</v>
      </c>
      <c r="P155" s="192">
        <f t="shared" si="92"/>
        <v>9466</v>
      </c>
      <c r="Q155" s="192">
        <f t="shared" si="92"/>
        <v>25009</v>
      </c>
      <c r="R155" s="192">
        <f t="shared" si="92"/>
        <v>13478</v>
      </c>
      <c r="S155" s="192">
        <f t="shared" si="92"/>
        <v>0</v>
      </c>
      <c r="T155" s="192">
        <f t="shared" si="92"/>
        <v>131125</v>
      </c>
      <c r="U155"/>
      <c r="V155"/>
      <c r="W155"/>
    </row>
    <row r="156" spans="1:23" ht="15" customHeight="1" x14ac:dyDescent="0.25">
      <c r="A156" s="70"/>
      <c r="B156" s="141">
        <v>4010801</v>
      </c>
      <c r="C156" s="130" t="str">
        <f t="shared" si="85"/>
        <v>I-04010801</v>
      </c>
      <c r="D156" s="130">
        <v>106</v>
      </c>
      <c r="E156" s="141" t="s">
        <v>72</v>
      </c>
      <c r="F156" s="347" t="s">
        <v>100</v>
      </c>
      <c r="G156" s="193">
        <v>16200</v>
      </c>
      <c r="H156" s="193">
        <v>1560</v>
      </c>
      <c r="I156" s="193">
        <v>480</v>
      </c>
      <c r="J156" s="193">
        <v>600</v>
      </c>
      <c r="K156" s="193">
        <v>7830</v>
      </c>
      <c r="L156" s="193">
        <v>480</v>
      </c>
      <c r="M156" s="193">
        <v>10760</v>
      </c>
      <c r="N156" s="193">
        <v>240</v>
      </c>
      <c r="O156" s="193">
        <v>240</v>
      </c>
      <c r="P156" s="193">
        <v>720</v>
      </c>
      <c r="Q156" s="193">
        <v>11280</v>
      </c>
      <c r="R156" s="193">
        <v>240</v>
      </c>
      <c r="S156" s="193">
        <v>0</v>
      </c>
      <c r="T156" s="193">
        <f>SUM(H156:S156)</f>
        <v>34430</v>
      </c>
      <c r="U156"/>
      <c r="V156"/>
      <c r="W156"/>
    </row>
    <row r="157" spans="1:23" ht="15" customHeight="1" x14ac:dyDescent="0.25">
      <c r="A157" s="70"/>
      <c r="B157" s="141">
        <v>4010802</v>
      </c>
      <c r="C157" s="130" t="str">
        <f t="shared" si="85"/>
        <v>I-04010802</v>
      </c>
      <c r="D157" s="130">
        <v>107</v>
      </c>
      <c r="E157" s="141" t="s">
        <v>72</v>
      </c>
      <c r="F157" s="347" t="s">
        <v>101</v>
      </c>
      <c r="G157" s="193">
        <v>92730</v>
      </c>
      <c r="H157" s="193">
        <v>7700</v>
      </c>
      <c r="I157" s="193">
        <v>6710</v>
      </c>
      <c r="J157" s="193">
        <v>6070</v>
      </c>
      <c r="K157" s="193">
        <v>8440</v>
      </c>
      <c r="L157" s="193">
        <v>10780</v>
      </c>
      <c r="M157" s="193">
        <v>0</v>
      </c>
      <c r="N157" s="193">
        <v>8690</v>
      </c>
      <c r="O157" s="193">
        <v>7810</v>
      </c>
      <c r="P157" s="193">
        <v>7260</v>
      </c>
      <c r="Q157" s="193">
        <v>12330</v>
      </c>
      <c r="R157" s="193">
        <v>11760</v>
      </c>
      <c r="S157" s="193">
        <v>0</v>
      </c>
      <c r="T157" s="193">
        <f>SUM(H157:S157)</f>
        <v>87550</v>
      </c>
      <c r="U157"/>
      <c r="V157"/>
      <c r="W157"/>
    </row>
    <row r="158" spans="1:23" ht="15" customHeight="1" x14ac:dyDescent="0.25">
      <c r="A158" s="70"/>
      <c r="B158" s="141">
        <v>4010803</v>
      </c>
      <c r="C158" s="130" t="str">
        <f t="shared" si="85"/>
        <v>I-04010803</v>
      </c>
      <c r="D158" s="130">
        <v>108</v>
      </c>
      <c r="E158" s="141" t="s">
        <v>72</v>
      </c>
      <c r="F158" s="347" t="s">
        <v>102</v>
      </c>
      <c r="G158" s="193">
        <v>7370</v>
      </c>
      <c r="H158" s="193">
        <v>0</v>
      </c>
      <c r="I158" s="193">
        <v>0</v>
      </c>
      <c r="J158" s="193">
        <v>0</v>
      </c>
      <c r="K158" s="193">
        <v>0</v>
      </c>
      <c r="L158" s="193">
        <v>0</v>
      </c>
      <c r="M158" s="193">
        <v>0</v>
      </c>
      <c r="N158" s="193">
        <v>690</v>
      </c>
      <c r="O158" s="193">
        <v>1720</v>
      </c>
      <c r="P158" s="193">
        <v>1210</v>
      </c>
      <c r="Q158" s="193">
        <v>880</v>
      </c>
      <c r="R158" s="193">
        <v>1210</v>
      </c>
      <c r="S158" s="193">
        <v>0</v>
      </c>
      <c r="T158" s="193">
        <f>SUM(H158:S158)</f>
        <v>5710</v>
      </c>
      <c r="U158"/>
      <c r="V158"/>
      <c r="W158"/>
    </row>
    <row r="159" spans="1:23" ht="15" customHeight="1" x14ac:dyDescent="0.25">
      <c r="A159" s="70"/>
      <c r="B159" s="141">
        <v>4010804</v>
      </c>
      <c r="C159" s="130" t="str">
        <f t="shared" si="85"/>
        <v>I-04010804</v>
      </c>
      <c r="D159" s="130">
        <v>109</v>
      </c>
      <c r="E159" s="141" t="s">
        <v>72</v>
      </c>
      <c r="F159" s="347" t="s">
        <v>103</v>
      </c>
      <c r="G159" s="193">
        <v>0</v>
      </c>
      <c r="H159" s="193">
        <v>323</v>
      </c>
      <c r="I159" s="193">
        <v>200</v>
      </c>
      <c r="J159" s="193">
        <v>205</v>
      </c>
      <c r="K159" s="193">
        <v>322.00000000000006</v>
      </c>
      <c r="L159" s="193">
        <v>280</v>
      </c>
      <c r="M159" s="193">
        <v>258</v>
      </c>
      <c r="N159" s="193">
        <v>491</v>
      </c>
      <c r="O159" s="193">
        <v>293</v>
      </c>
      <c r="P159" s="193">
        <v>276</v>
      </c>
      <c r="Q159" s="193">
        <v>519</v>
      </c>
      <c r="R159" s="193">
        <v>268</v>
      </c>
      <c r="S159" s="193">
        <v>0</v>
      </c>
      <c r="T159" s="193">
        <f>SUM(H159:S159)</f>
        <v>3435</v>
      </c>
      <c r="U159"/>
      <c r="V159"/>
      <c r="W159"/>
    </row>
    <row r="160" spans="1:23" ht="15" customHeight="1" x14ac:dyDescent="0.25">
      <c r="A160" s="70"/>
      <c r="B160" s="141">
        <v>4010805</v>
      </c>
      <c r="C160" s="130" t="str">
        <f t="shared" si="85"/>
        <v>I-04010805</v>
      </c>
      <c r="D160" s="130">
        <v>110</v>
      </c>
      <c r="E160" s="141" t="s">
        <v>72</v>
      </c>
      <c r="F160" s="347" t="s">
        <v>104</v>
      </c>
      <c r="G160" s="193">
        <v>0</v>
      </c>
      <c r="H160" s="193">
        <v>0</v>
      </c>
      <c r="I160" s="193">
        <v>0</v>
      </c>
      <c r="J160" s="193">
        <v>0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93">
        <v>0</v>
      </c>
      <c r="R160" s="193">
        <v>0</v>
      </c>
      <c r="S160" s="193">
        <v>0</v>
      </c>
      <c r="T160" s="193">
        <f>SUM(H160:S160)</f>
        <v>0</v>
      </c>
      <c r="U160"/>
      <c r="V160"/>
      <c r="W160"/>
    </row>
    <row r="161" spans="1:23" ht="15" customHeight="1" x14ac:dyDescent="0.25">
      <c r="A161" s="52">
        <v>8</v>
      </c>
      <c r="B161" s="144">
        <v>40109</v>
      </c>
      <c r="C161" s="130" t="str">
        <f t="shared" si="85"/>
        <v>I-040109</v>
      </c>
      <c r="D161" s="130">
        <v>111</v>
      </c>
      <c r="E161" s="144" t="s">
        <v>69</v>
      </c>
      <c r="F161" s="198" t="s">
        <v>112</v>
      </c>
      <c r="G161" s="192">
        <f>SUM(G162:G166)</f>
        <v>6580</v>
      </c>
      <c r="H161" s="192">
        <f t="shared" ref="H161:T161" si="93">SUM(H162:H166)</f>
        <v>1360</v>
      </c>
      <c r="I161" s="192">
        <f t="shared" si="93"/>
        <v>1450</v>
      </c>
      <c r="J161" s="192">
        <f t="shared" si="93"/>
        <v>1470</v>
      </c>
      <c r="K161" s="192">
        <f t="shared" si="93"/>
        <v>890</v>
      </c>
      <c r="L161" s="192">
        <f t="shared" si="93"/>
        <v>1028</v>
      </c>
      <c r="M161" s="192">
        <f t="shared" si="93"/>
        <v>0</v>
      </c>
      <c r="N161" s="192">
        <f t="shared" si="93"/>
        <v>0</v>
      </c>
      <c r="O161" s="192">
        <f t="shared" si="93"/>
        <v>0</v>
      </c>
      <c r="P161" s="192">
        <f t="shared" si="93"/>
        <v>0</v>
      </c>
      <c r="Q161" s="192">
        <f t="shared" si="93"/>
        <v>0</v>
      </c>
      <c r="R161" s="192">
        <f t="shared" si="93"/>
        <v>0</v>
      </c>
      <c r="S161" s="192">
        <f t="shared" si="93"/>
        <v>0</v>
      </c>
      <c r="T161" s="192">
        <f t="shared" si="93"/>
        <v>6198</v>
      </c>
      <c r="U161"/>
      <c r="V161"/>
      <c r="W161"/>
    </row>
    <row r="162" spans="1:23" ht="15" customHeight="1" x14ac:dyDescent="0.25">
      <c r="A162" s="70"/>
      <c r="B162" s="141">
        <v>4010901</v>
      </c>
      <c r="C162" s="130" t="str">
        <f t="shared" si="85"/>
        <v>I-04010901</v>
      </c>
      <c r="D162" s="130">
        <v>112</v>
      </c>
      <c r="E162" s="141" t="s">
        <v>72</v>
      </c>
      <c r="F162" s="347" t="s">
        <v>100</v>
      </c>
      <c r="G162" s="193">
        <v>0</v>
      </c>
      <c r="H162" s="193">
        <v>0</v>
      </c>
      <c r="I162" s="193">
        <v>0</v>
      </c>
      <c r="J162" s="193">
        <v>40</v>
      </c>
      <c r="K162" s="193">
        <v>10</v>
      </c>
      <c r="L162" s="193">
        <v>0</v>
      </c>
      <c r="M162" s="193">
        <v>0</v>
      </c>
      <c r="N162" s="193">
        <v>0</v>
      </c>
      <c r="O162" s="193">
        <v>0</v>
      </c>
      <c r="P162" s="193">
        <v>0</v>
      </c>
      <c r="Q162" s="193">
        <v>0</v>
      </c>
      <c r="R162" s="193">
        <v>0</v>
      </c>
      <c r="S162" s="193">
        <v>0</v>
      </c>
      <c r="T162" s="193">
        <f>SUM(H162:S162)</f>
        <v>50</v>
      </c>
      <c r="U162"/>
      <c r="V162"/>
      <c r="W162"/>
    </row>
    <row r="163" spans="1:23" ht="15" customHeight="1" x14ac:dyDescent="0.25">
      <c r="A163" s="70"/>
      <c r="B163" s="141">
        <v>4010902</v>
      </c>
      <c r="C163" s="130" t="str">
        <f t="shared" si="85"/>
        <v>I-04010902</v>
      </c>
      <c r="D163" s="130">
        <v>113</v>
      </c>
      <c r="E163" s="141" t="s">
        <v>72</v>
      </c>
      <c r="F163" s="347" t="s">
        <v>101</v>
      </c>
      <c r="G163" s="193">
        <v>0</v>
      </c>
      <c r="H163" s="193">
        <v>1320</v>
      </c>
      <c r="I163" s="193">
        <v>0</v>
      </c>
      <c r="J163" s="193">
        <v>1430</v>
      </c>
      <c r="K163" s="193">
        <v>880</v>
      </c>
      <c r="L163" s="193">
        <v>0</v>
      </c>
      <c r="M163" s="193">
        <v>0</v>
      </c>
      <c r="N163" s="193">
        <v>0</v>
      </c>
      <c r="O163" s="193">
        <v>0</v>
      </c>
      <c r="P163" s="193">
        <v>0</v>
      </c>
      <c r="Q163" s="193">
        <v>0</v>
      </c>
      <c r="R163" s="193">
        <v>0</v>
      </c>
      <c r="S163" s="193">
        <v>0</v>
      </c>
      <c r="T163" s="193">
        <f>SUM(H163:S163)</f>
        <v>3630</v>
      </c>
      <c r="U163"/>
      <c r="V163"/>
      <c r="W163"/>
    </row>
    <row r="164" spans="1:23" ht="15" customHeight="1" x14ac:dyDescent="0.25">
      <c r="A164" s="70"/>
      <c r="B164" s="141">
        <v>4010903</v>
      </c>
      <c r="C164" s="130" t="str">
        <f t="shared" si="85"/>
        <v>I-04010903</v>
      </c>
      <c r="D164" s="130">
        <v>114</v>
      </c>
      <c r="E164" s="141" t="s">
        <v>72</v>
      </c>
      <c r="F164" s="347" t="s">
        <v>102</v>
      </c>
      <c r="G164" s="193">
        <v>6160</v>
      </c>
      <c r="H164" s="193">
        <v>0</v>
      </c>
      <c r="I164" s="193">
        <v>1430</v>
      </c>
      <c r="J164" s="193">
        <v>0</v>
      </c>
      <c r="K164" s="193">
        <v>0</v>
      </c>
      <c r="L164" s="193">
        <v>440</v>
      </c>
      <c r="M164" s="193">
        <v>0</v>
      </c>
      <c r="N164" s="193">
        <v>0</v>
      </c>
      <c r="O164" s="193">
        <v>0</v>
      </c>
      <c r="P164" s="193">
        <v>0</v>
      </c>
      <c r="Q164" s="193">
        <v>0</v>
      </c>
      <c r="R164" s="193">
        <v>0</v>
      </c>
      <c r="S164" s="193">
        <v>0</v>
      </c>
      <c r="T164" s="193">
        <f>SUM(H164:S164)</f>
        <v>1870</v>
      </c>
      <c r="U164"/>
      <c r="V164"/>
      <c r="W164"/>
    </row>
    <row r="165" spans="1:23" ht="15" customHeight="1" x14ac:dyDescent="0.25">
      <c r="A165" s="70"/>
      <c r="B165" s="141">
        <v>4010904</v>
      </c>
      <c r="C165" s="130" t="str">
        <f t="shared" si="85"/>
        <v>I-04010904</v>
      </c>
      <c r="D165" s="130">
        <v>115</v>
      </c>
      <c r="E165" s="141" t="s">
        <v>72</v>
      </c>
      <c r="F165" s="347" t="s">
        <v>103</v>
      </c>
      <c r="G165" s="193">
        <v>0</v>
      </c>
      <c r="H165" s="193">
        <v>40</v>
      </c>
      <c r="I165" s="193">
        <v>20</v>
      </c>
      <c r="J165" s="193">
        <v>0</v>
      </c>
      <c r="K165" s="193">
        <v>0</v>
      </c>
      <c r="L165" s="193">
        <v>278</v>
      </c>
      <c r="M165" s="193">
        <v>0</v>
      </c>
      <c r="N165" s="193">
        <v>0</v>
      </c>
      <c r="O165" s="193">
        <v>0</v>
      </c>
      <c r="P165" s="193">
        <v>0</v>
      </c>
      <c r="Q165" s="193">
        <v>0</v>
      </c>
      <c r="R165" s="193">
        <v>0</v>
      </c>
      <c r="S165" s="193">
        <v>0</v>
      </c>
      <c r="T165" s="193">
        <f>SUM(H165:S165)</f>
        <v>338</v>
      </c>
      <c r="U165"/>
      <c r="V165"/>
      <c r="W165"/>
    </row>
    <row r="166" spans="1:23" ht="15" customHeight="1" x14ac:dyDescent="0.25">
      <c r="A166" s="70"/>
      <c r="B166" s="141">
        <v>4010905</v>
      </c>
      <c r="C166" s="130" t="str">
        <f t="shared" si="85"/>
        <v>I-04010905</v>
      </c>
      <c r="D166" s="130">
        <v>116</v>
      </c>
      <c r="E166" s="141" t="s">
        <v>72</v>
      </c>
      <c r="F166" s="347" t="s">
        <v>104</v>
      </c>
      <c r="G166" s="193">
        <v>420</v>
      </c>
      <c r="H166" s="193">
        <v>0</v>
      </c>
      <c r="I166" s="193">
        <v>0</v>
      </c>
      <c r="J166" s="193">
        <v>0</v>
      </c>
      <c r="K166" s="193">
        <v>0</v>
      </c>
      <c r="L166" s="193">
        <v>310</v>
      </c>
      <c r="M166" s="193">
        <v>0</v>
      </c>
      <c r="N166" s="193">
        <v>0</v>
      </c>
      <c r="O166" s="193">
        <v>0</v>
      </c>
      <c r="P166" s="193">
        <v>0</v>
      </c>
      <c r="Q166" s="193">
        <v>0</v>
      </c>
      <c r="R166" s="193">
        <v>0</v>
      </c>
      <c r="S166" s="193">
        <v>0</v>
      </c>
      <c r="T166" s="193">
        <f>SUM(H166:S166)</f>
        <v>310</v>
      </c>
      <c r="U166"/>
      <c r="V166"/>
      <c r="W166"/>
    </row>
    <row r="167" spans="1:23" ht="15" customHeight="1" x14ac:dyDescent="0.25">
      <c r="A167" s="52">
        <v>9</v>
      </c>
      <c r="B167" s="144">
        <v>40110</v>
      </c>
      <c r="C167" s="130" t="str">
        <f t="shared" si="85"/>
        <v>I-040110</v>
      </c>
      <c r="D167" s="130">
        <v>117</v>
      </c>
      <c r="E167" s="144" t="s">
        <v>69</v>
      </c>
      <c r="F167" s="198" t="s">
        <v>113</v>
      </c>
      <c r="G167" s="192">
        <f>SUM(G168:G172)</f>
        <v>43830</v>
      </c>
      <c r="H167" s="192">
        <f t="shared" ref="H167:T167" si="94">SUM(H168:H172)</f>
        <v>2560</v>
      </c>
      <c r="I167" s="192">
        <f t="shared" si="94"/>
        <v>2840</v>
      </c>
      <c r="J167" s="192">
        <f t="shared" si="94"/>
        <v>3400</v>
      </c>
      <c r="K167" s="192">
        <f t="shared" si="94"/>
        <v>5380</v>
      </c>
      <c r="L167" s="192">
        <f t="shared" si="94"/>
        <v>1850</v>
      </c>
      <c r="M167" s="192">
        <f t="shared" si="94"/>
        <v>2410</v>
      </c>
      <c r="N167" s="192">
        <f t="shared" si="94"/>
        <v>3430</v>
      </c>
      <c r="O167" s="192">
        <f t="shared" si="94"/>
        <v>2550</v>
      </c>
      <c r="P167" s="192">
        <f t="shared" si="94"/>
        <v>1868</v>
      </c>
      <c r="Q167" s="192">
        <f t="shared" si="94"/>
        <v>6510</v>
      </c>
      <c r="R167" s="192">
        <f t="shared" si="94"/>
        <v>2280</v>
      </c>
      <c r="S167" s="192">
        <f t="shared" si="94"/>
        <v>0</v>
      </c>
      <c r="T167" s="192">
        <f t="shared" si="94"/>
        <v>35078</v>
      </c>
      <c r="U167"/>
      <c r="V167"/>
      <c r="W167"/>
    </row>
    <row r="168" spans="1:23" ht="15" customHeight="1" x14ac:dyDescent="0.25">
      <c r="A168" s="70"/>
      <c r="B168" s="141">
        <v>4011001</v>
      </c>
      <c r="C168" s="130" t="str">
        <f t="shared" si="85"/>
        <v>I-04011001</v>
      </c>
      <c r="D168" s="130">
        <v>118</v>
      </c>
      <c r="E168" s="141" t="s">
        <v>72</v>
      </c>
      <c r="F168" s="347" t="s">
        <v>100</v>
      </c>
      <c r="G168" s="193">
        <v>7200</v>
      </c>
      <c r="H168" s="193">
        <v>0</v>
      </c>
      <c r="I168" s="193">
        <v>0</v>
      </c>
      <c r="J168" s="193">
        <v>980</v>
      </c>
      <c r="K168" s="193">
        <v>2240</v>
      </c>
      <c r="L168" s="193">
        <v>-280</v>
      </c>
      <c r="M168" s="193">
        <v>0</v>
      </c>
      <c r="N168" s="193">
        <v>0</v>
      </c>
      <c r="O168" s="193">
        <v>0</v>
      </c>
      <c r="P168" s="193">
        <v>280</v>
      </c>
      <c r="Q168" s="193">
        <v>2800</v>
      </c>
      <c r="R168" s="193">
        <f>-140-140-140</f>
        <v>-420</v>
      </c>
      <c r="S168" s="193">
        <v>0</v>
      </c>
      <c r="T168" s="193">
        <f>SUM(H168:S168)</f>
        <v>5600</v>
      </c>
      <c r="U168"/>
      <c r="V168"/>
      <c r="W168"/>
    </row>
    <row r="169" spans="1:23" ht="15" customHeight="1" x14ac:dyDescent="0.25">
      <c r="A169" s="70"/>
      <c r="B169" s="141">
        <v>4011002</v>
      </c>
      <c r="C169" s="130" t="str">
        <f t="shared" si="85"/>
        <v>I-04011002</v>
      </c>
      <c r="D169" s="130">
        <v>119</v>
      </c>
      <c r="E169" s="141" t="s">
        <v>72</v>
      </c>
      <c r="F169" s="347" t="s">
        <v>101</v>
      </c>
      <c r="G169" s="193">
        <v>36630</v>
      </c>
      <c r="H169" s="193">
        <v>2520</v>
      </c>
      <c r="I169" s="193">
        <v>2810</v>
      </c>
      <c r="J169" s="193">
        <v>2380</v>
      </c>
      <c r="K169" s="193">
        <v>3080</v>
      </c>
      <c r="L169" s="193">
        <f>2240-140</f>
        <v>2100</v>
      </c>
      <c r="M169" s="193">
        <v>2380</v>
      </c>
      <c r="N169" s="193">
        <v>3360</v>
      </c>
      <c r="O169" s="193">
        <v>2520</v>
      </c>
      <c r="P169" s="193">
        <v>1540</v>
      </c>
      <c r="Q169" s="193">
        <v>3640</v>
      </c>
      <c r="R169" s="193">
        <f>2940-140-140</f>
        <v>2660</v>
      </c>
      <c r="S169" s="193">
        <v>0</v>
      </c>
      <c r="T169" s="193">
        <f>SUM(H169:S169)</f>
        <v>28990</v>
      </c>
      <c r="U169"/>
      <c r="V169"/>
      <c r="W169"/>
    </row>
    <row r="170" spans="1:23" ht="15" customHeight="1" x14ac:dyDescent="0.25">
      <c r="A170" s="70"/>
      <c r="B170" s="141">
        <v>4011003</v>
      </c>
      <c r="C170" s="130" t="str">
        <f t="shared" si="85"/>
        <v>I-04011003</v>
      </c>
      <c r="D170" s="130">
        <v>120</v>
      </c>
      <c r="E170" s="141" t="s">
        <v>72</v>
      </c>
      <c r="F170" s="347" t="s">
        <v>102</v>
      </c>
      <c r="G170" s="193">
        <v>0</v>
      </c>
      <c r="H170" s="193">
        <v>0</v>
      </c>
      <c r="I170" s="193">
        <v>0</v>
      </c>
      <c r="J170" s="193">
        <v>0</v>
      </c>
      <c r="K170" s="193">
        <v>0</v>
      </c>
      <c r="L170" s="193">
        <v>0</v>
      </c>
      <c r="M170" s="193">
        <v>0</v>
      </c>
      <c r="N170" s="193">
        <v>0</v>
      </c>
      <c r="O170" s="193">
        <v>0</v>
      </c>
      <c r="P170" s="193">
        <v>0</v>
      </c>
      <c r="Q170" s="193">
        <v>0</v>
      </c>
      <c r="R170" s="193">
        <v>0</v>
      </c>
      <c r="S170" s="193">
        <v>0</v>
      </c>
      <c r="T170" s="193">
        <f>SUM(H170:S170)</f>
        <v>0</v>
      </c>
      <c r="U170"/>
      <c r="V170"/>
      <c r="W170"/>
    </row>
    <row r="171" spans="1:23" ht="15" customHeight="1" x14ac:dyDescent="0.25">
      <c r="A171" s="70"/>
      <c r="B171" s="141">
        <v>4011004</v>
      </c>
      <c r="C171" s="130" t="str">
        <f t="shared" si="85"/>
        <v>I-04011004</v>
      </c>
      <c r="D171" s="130">
        <v>121</v>
      </c>
      <c r="E171" s="141" t="s">
        <v>72</v>
      </c>
      <c r="F171" s="347" t="s">
        <v>103</v>
      </c>
      <c r="G171" s="193">
        <v>0</v>
      </c>
      <c r="H171" s="193">
        <v>40</v>
      </c>
      <c r="I171" s="193">
        <v>30</v>
      </c>
      <c r="J171" s="193">
        <v>40</v>
      </c>
      <c r="K171" s="193">
        <v>60</v>
      </c>
      <c r="L171" s="193">
        <v>30</v>
      </c>
      <c r="M171" s="193">
        <v>30</v>
      </c>
      <c r="N171" s="193">
        <v>70</v>
      </c>
      <c r="O171" s="193">
        <v>30</v>
      </c>
      <c r="P171" s="193">
        <v>48</v>
      </c>
      <c r="Q171" s="193">
        <v>70</v>
      </c>
      <c r="R171" s="193">
        <v>40</v>
      </c>
      <c r="S171" s="193">
        <v>0</v>
      </c>
      <c r="T171" s="193">
        <f>SUM(H171:S171)</f>
        <v>488</v>
      </c>
      <c r="U171"/>
      <c r="V171"/>
      <c r="W171"/>
    </row>
    <row r="172" spans="1:23" ht="15" customHeight="1" x14ac:dyDescent="0.25">
      <c r="A172" s="70"/>
      <c r="B172" s="141">
        <v>4011005</v>
      </c>
      <c r="C172" s="130" t="str">
        <f t="shared" si="85"/>
        <v>I-04011005</v>
      </c>
      <c r="D172" s="130">
        <v>122</v>
      </c>
      <c r="E172" s="141" t="s">
        <v>72</v>
      </c>
      <c r="F172" s="347" t="s">
        <v>104</v>
      </c>
      <c r="G172" s="193">
        <v>0</v>
      </c>
      <c r="H172" s="193">
        <v>0</v>
      </c>
      <c r="I172" s="193">
        <v>0</v>
      </c>
      <c r="J172" s="193">
        <v>0</v>
      </c>
      <c r="K172" s="193">
        <v>0</v>
      </c>
      <c r="L172" s="193">
        <v>0</v>
      </c>
      <c r="M172" s="193">
        <v>0</v>
      </c>
      <c r="N172" s="193">
        <v>0</v>
      </c>
      <c r="O172" s="193">
        <v>0</v>
      </c>
      <c r="P172" s="193">
        <v>0</v>
      </c>
      <c r="Q172" s="193">
        <v>0</v>
      </c>
      <c r="R172" s="193">
        <v>0</v>
      </c>
      <c r="S172" s="193">
        <v>0</v>
      </c>
      <c r="T172" s="193">
        <f>SUM(H172:S172)</f>
        <v>0</v>
      </c>
      <c r="U172"/>
      <c r="V172"/>
      <c r="W172"/>
    </row>
    <row r="173" spans="1:23" ht="15" customHeight="1" x14ac:dyDescent="0.25">
      <c r="A173" s="48">
        <v>2</v>
      </c>
      <c r="B173" s="139">
        <v>402</v>
      </c>
      <c r="C173" s="130" t="str">
        <f t="shared" si="85"/>
        <v>I-0402</v>
      </c>
      <c r="D173" s="130">
        <v>123</v>
      </c>
      <c r="E173" s="139" t="s">
        <v>69</v>
      </c>
      <c r="F173" s="189" t="s">
        <v>114</v>
      </c>
      <c r="G173" s="190">
        <f t="shared" ref="G173:T173" si="95">SUM(G174:G178)</f>
        <v>272050</v>
      </c>
      <c r="H173" s="190">
        <f t="shared" si="95"/>
        <v>21088</v>
      </c>
      <c r="I173" s="190">
        <f t="shared" si="95"/>
        <v>15180</v>
      </c>
      <c r="J173" s="190">
        <f t="shared" si="95"/>
        <v>31753</v>
      </c>
      <c r="K173" s="190">
        <f t="shared" si="95"/>
        <v>13890</v>
      </c>
      <c r="L173" s="190">
        <f t="shared" si="95"/>
        <v>19065</v>
      </c>
      <c r="M173" s="190">
        <f t="shared" si="95"/>
        <v>29479</v>
      </c>
      <c r="N173" s="190">
        <f t="shared" si="95"/>
        <v>24862</v>
      </c>
      <c r="O173" s="190">
        <f t="shared" si="95"/>
        <v>27113</v>
      </c>
      <c r="P173" s="190">
        <f t="shared" si="95"/>
        <v>38375</v>
      </c>
      <c r="Q173" s="190">
        <f t="shared" si="95"/>
        <v>35080</v>
      </c>
      <c r="R173" s="190">
        <f t="shared" si="95"/>
        <v>28260</v>
      </c>
      <c r="S173" s="190">
        <f t="shared" si="95"/>
        <v>0</v>
      </c>
      <c r="T173" s="190">
        <f t="shared" si="95"/>
        <v>284145</v>
      </c>
      <c r="U173"/>
      <c r="V173"/>
      <c r="W173"/>
    </row>
    <row r="174" spans="1:23" ht="15" customHeight="1" x14ac:dyDescent="0.25">
      <c r="A174" s="72" t="s">
        <v>1</v>
      </c>
      <c r="B174" s="141">
        <v>40201</v>
      </c>
      <c r="C174" s="130" t="str">
        <f t="shared" si="85"/>
        <v>I-040201</v>
      </c>
      <c r="D174" s="130">
        <v>124</v>
      </c>
      <c r="E174" s="141" t="s">
        <v>72</v>
      </c>
      <c r="F174" s="347" t="s">
        <v>100</v>
      </c>
      <c r="G174" s="193">
        <v>69450</v>
      </c>
      <c r="H174" s="193">
        <v>1200</v>
      </c>
      <c r="I174" s="193">
        <v>3480</v>
      </c>
      <c r="J174" s="193">
        <f>12420-120-120-120</f>
        <v>12060</v>
      </c>
      <c r="K174" s="193">
        <v>60</v>
      </c>
      <c r="L174" s="193">
        <v>2520</v>
      </c>
      <c r="M174" s="193">
        <v>9000</v>
      </c>
      <c r="N174" s="193">
        <v>5160</v>
      </c>
      <c r="O174" s="193">
        <f>2400-120-220</f>
        <v>2060</v>
      </c>
      <c r="P174" s="193">
        <v>15240</v>
      </c>
      <c r="Q174" s="193">
        <v>2040</v>
      </c>
      <c r="R174" s="193">
        <v>2760</v>
      </c>
      <c r="S174" s="193">
        <v>0</v>
      </c>
      <c r="T174" s="193">
        <f>SUM(H174:S174)</f>
        <v>55580</v>
      </c>
      <c r="U174"/>
      <c r="V174"/>
      <c r="W174"/>
    </row>
    <row r="175" spans="1:23" ht="15" customHeight="1" x14ac:dyDescent="0.25">
      <c r="A175" s="70"/>
      <c r="B175" s="141">
        <v>40202</v>
      </c>
      <c r="C175" s="130" t="str">
        <f t="shared" si="85"/>
        <v>I-040202</v>
      </c>
      <c r="D175" s="130">
        <v>125</v>
      </c>
      <c r="E175" s="141" t="s">
        <v>72</v>
      </c>
      <c r="F175" s="347" t="s">
        <v>101</v>
      </c>
      <c r="G175" s="193">
        <v>199000</v>
      </c>
      <c r="H175" s="193">
        <v>18990</v>
      </c>
      <c r="I175" s="193">
        <v>11020</v>
      </c>
      <c r="J175" s="193">
        <f>19465-300</f>
        <v>19165</v>
      </c>
      <c r="K175" s="193">
        <v>13300</v>
      </c>
      <c r="L175" s="193">
        <v>15250</v>
      </c>
      <c r="M175" s="193">
        <v>18930</v>
      </c>
      <c r="N175" s="193">
        <f>18760-200</f>
        <v>18560</v>
      </c>
      <c r="O175" s="193">
        <v>24070</v>
      </c>
      <c r="P175" s="193">
        <v>22200</v>
      </c>
      <c r="Q175" s="193">
        <v>32520</v>
      </c>
      <c r="R175" s="193">
        <v>25010</v>
      </c>
      <c r="S175" s="193">
        <v>0</v>
      </c>
      <c r="T175" s="193">
        <f>SUM(H175:S175)</f>
        <v>219015</v>
      </c>
      <c r="U175"/>
      <c r="V175"/>
      <c r="W175"/>
    </row>
    <row r="176" spans="1:23" ht="15" customHeight="1" x14ac:dyDescent="0.25">
      <c r="A176" s="70"/>
      <c r="B176" s="141">
        <v>40203</v>
      </c>
      <c r="C176" s="130" t="str">
        <f t="shared" si="85"/>
        <v>I-040203</v>
      </c>
      <c r="D176" s="130">
        <v>126</v>
      </c>
      <c r="E176" s="141" t="s">
        <v>72</v>
      </c>
      <c r="F176" s="347" t="s">
        <v>103</v>
      </c>
      <c r="G176" s="193">
        <v>0</v>
      </c>
      <c r="H176" s="193">
        <v>448</v>
      </c>
      <c r="I176" s="193">
        <v>230</v>
      </c>
      <c r="J176" s="193">
        <v>303</v>
      </c>
      <c r="K176" s="193">
        <v>530</v>
      </c>
      <c r="L176" s="193">
        <v>470</v>
      </c>
      <c r="M176" s="193">
        <v>393.99999999999994</v>
      </c>
      <c r="N176" s="193">
        <v>522</v>
      </c>
      <c r="O176" s="193">
        <v>683</v>
      </c>
      <c r="P176" s="193">
        <v>520</v>
      </c>
      <c r="Q176" s="193">
        <v>520</v>
      </c>
      <c r="R176" s="193">
        <v>490</v>
      </c>
      <c r="S176" s="193">
        <v>0</v>
      </c>
      <c r="T176" s="193">
        <f>SUM(H176:S176)</f>
        <v>5110</v>
      </c>
      <c r="U176"/>
      <c r="V176"/>
      <c r="W176"/>
    </row>
    <row r="177" spans="1:23" ht="15" customHeight="1" x14ac:dyDescent="0.25">
      <c r="A177" s="70"/>
      <c r="B177" s="141">
        <v>40204</v>
      </c>
      <c r="C177" s="130" t="str">
        <f t="shared" si="85"/>
        <v>I-040204</v>
      </c>
      <c r="D177" s="130">
        <v>127</v>
      </c>
      <c r="E177" s="141" t="s">
        <v>72</v>
      </c>
      <c r="F177" s="347" t="s">
        <v>115</v>
      </c>
      <c r="G177" s="193">
        <v>0</v>
      </c>
      <c r="H177" s="193">
        <v>450</v>
      </c>
      <c r="I177" s="193">
        <v>450</v>
      </c>
      <c r="J177" s="193">
        <v>225</v>
      </c>
      <c r="K177" s="193">
        <v>0</v>
      </c>
      <c r="L177" s="193">
        <v>825</v>
      </c>
      <c r="M177" s="193">
        <v>1155</v>
      </c>
      <c r="N177" s="193">
        <v>620</v>
      </c>
      <c r="O177" s="193">
        <v>300</v>
      </c>
      <c r="P177" s="193">
        <v>415</v>
      </c>
      <c r="Q177" s="193">
        <v>0</v>
      </c>
      <c r="R177" s="193">
        <v>0</v>
      </c>
      <c r="S177" s="193">
        <v>0</v>
      </c>
      <c r="T177" s="193">
        <f>SUM(H177:S177)</f>
        <v>4440</v>
      </c>
      <c r="U177"/>
      <c r="V177"/>
      <c r="W177"/>
    </row>
    <row r="178" spans="1:23" ht="15" customHeight="1" x14ac:dyDescent="0.25">
      <c r="A178" s="70"/>
      <c r="B178" s="141">
        <v>40205</v>
      </c>
      <c r="C178" s="130" t="str">
        <f t="shared" si="85"/>
        <v>I-040205</v>
      </c>
      <c r="D178" s="130">
        <v>128</v>
      </c>
      <c r="E178" s="141" t="s">
        <v>72</v>
      </c>
      <c r="F178" s="347" t="s">
        <v>104</v>
      </c>
      <c r="G178" s="193">
        <v>3600</v>
      </c>
      <c r="H178" s="193">
        <v>0</v>
      </c>
      <c r="I178" s="193">
        <v>0</v>
      </c>
      <c r="J178" s="193">
        <v>0</v>
      </c>
      <c r="K178" s="193">
        <v>0</v>
      </c>
      <c r="L178" s="193">
        <v>0</v>
      </c>
      <c r="M178" s="193">
        <v>0</v>
      </c>
      <c r="N178" s="193">
        <v>0</v>
      </c>
      <c r="O178" s="193">
        <v>0</v>
      </c>
      <c r="P178" s="193">
        <v>0</v>
      </c>
      <c r="Q178" s="193">
        <v>0</v>
      </c>
      <c r="R178" s="193">
        <v>0</v>
      </c>
      <c r="S178" s="193">
        <v>0</v>
      </c>
      <c r="T178" s="193">
        <f>SUM(H178:S178)</f>
        <v>0</v>
      </c>
      <c r="U178"/>
      <c r="V178"/>
      <c r="W178"/>
    </row>
    <row r="179" spans="1:23" ht="15" customHeight="1" x14ac:dyDescent="0.25">
      <c r="A179" s="48">
        <v>3</v>
      </c>
      <c r="B179" s="139">
        <v>403</v>
      </c>
      <c r="C179" s="130" t="str">
        <f t="shared" si="85"/>
        <v>I-0403</v>
      </c>
      <c r="D179" s="130">
        <v>129</v>
      </c>
      <c r="E179" s="139" t="s">
        <v>69</v>
      </c>
      <c r="F179" s="189" t="s">
        <v>24</v>
      </c>
      <c r="G179" s="190">
        <f>SUM(G180:G181)</f>
        <v>0</v>
      </c>
      <c r="H179" s="190">
        <f t="shared" ref="H179:K179" si="96">SUM(H180:H181)</f>
        <v>0</v>
      </c>
      <c r="I179" s="190">
        <f t="shared" si="96"/>
        <v>0</v>
      </c>
      <c r="J179" s="190">
        <f t="shared" si="96"/>
        <v>0</v>
      </c>
      <c r="K179" s="190">
        <f t="shared" si="96"/>
        <v>0</v>
      </c>
      <c r="L179" s="190">
        <v>0</v>
      </c>
      <c r="M179" s="190">
        <f>SUM(M180:M181)</f>
        <v>0</v>
      </c>
      <c r="N179" s="190">
        <f t="shared" ref="N179:T179" si="97">SUM(N180:N181)</f>
        <v>375</v>
      </c>
      <c r="O179" s="190">
        <f t="shared" si="97"/>
        <v>0</v>
      </c>
      <c r="P179" s="190">
        <f t="shared" si="97"/>
        <v>0</v>
      </c>
      <c r="Q179" s="190">
        <f t="shared" si="97"/>
        <v>597</v>
      </c>
      <c r="R179" s="190">
        <f t="shared" si="97"/>
        <v>0</v>
      </c>
      <c r="S179" s="190">
        <f t="shared" si="97"/>
        <v>0</v>
      </c>
      <c r="T179" s="190">
        <f t="shared" si="97"/>
        <v>972</v>
      </c>
      <c r="U179"/>
      <c r="V179"/>
      <c r="W179"/>
    </row>
    <row r="180" spans="1:23" ht="15" customHeight="1" x14ac:dyDescent="0.25">
      <c r="A180" s="70"/>
      <c r="B180" s="141">
        <v>40301</v>
      </c>
      <c r="C180" s="130" t="str">
        <f t="shared" ref="C180:C200" si="98">"I"&amp;"-0"&amp;B180</f>
        <v>I-040301</v>
      </c>
      <c r="D180" s="130">
        <v>130</v>
      </c>
      <c r="E180" s="141" t="s">
        <v>72</v>
      </c>
      <c r="F180" s="347" t="s">
        <v>116</v>
      </c>
      <c r="G180" s="193">
        <v>0</v>
      </c>
      <c r="H180" s="193">
        <v>0</v>
      </c>
      <c r="I180" s="193">
        <v>0</v>
      </c>
      <c r="J180" s="193">
        <v>0</v>
      </c>
      <c r="K180" s="193">
        <v>0</v>
      </c>
      <c r="L180" s="193">
        <v>0</v>
      </c>
      <c r="M180" s="193">
        <v>0</v>
      </c>
      <c r="N180" s="193">
        <v>0</v>
      </c>
      <c r="O180" s="193">
        <v>0</v>
      </c>
      <c r="P180" s="193">
        <v>0</v>
      </c>
      <c r="Q180" s="193">
        <v>0</v>
      </c>
      <c r="R180" s="193">
        <v>0</v>
      </c>
      <c r="S180" s="193">
        <v>0</v>
      </c>
      <c r="T180" s="193">
        <f>SUM(H180:S180)</f>
        <v>0</v>
      </c>
      <c r="U180"/>
      <c r="V180"/>
      <c r="W180"/>
    </row>
    <row r="181" spans="1:23" ht="15" customHeight="1" x14ac:dyDescent="0.25">
      <c r="A181" s="70"/>
      <c r="B181" s="141">
        <v>40302</v>
      </c>
      <c r="C181" s="130" t="str">
        <f t="shared" si="98"/>
        <v>I-040302</v>
      </c>
      <c r="D181" s="130">
        <v>131</v>
      </c>
      <c r="E181" s="141" t="s">
        <v>72</v>
      </c>
      <c r="F181" s="347" t="s">
        <v>117</v>
      </c>
      <c r="G181" s="193">
        <v>0</v>
      </c>
      <c r="H181" s="193">
        <v>0</v>
      </c>
      <c r="I181" s="193">
        <v>0</v>
      </c>
      <c r="J181" s="193">
        <v>0</v>
      </c>
      <c r="K181" s="193">
        <v>0</v>
      </c>
      <c r="L181" s="193">
        <v>0</v>
      </c>
      <c r="M181" s="193">
        <v>0</v>
      </c>
      <c r="N181" s="193">
        <v>375</v>
      </c>
      <c r="O181" s="193">
        <v>0</v>
      </c>
      <c r="P181" s="193">
        <v>0</v>
      </c>
      <c r="Q181" s="193">
        <v>597</v>
      </c>
      <c r="R181" s="193">
        <v>0</v>
      </c>
      <c r="S181" s="193">
        <v>0</v>
      </c>
      <c r="T181" s="193">
        <f>SUM(H181:S181)</f>
        <v>972</v>
      </c>
      <c r="U181"/>
      <c r="V181"/>
      <c r="W181"/>
    </row>
    <row r="182" spans="1:23" ht="19.149999999999999" customHeight="1" x14ac:dyDescent="0.25">
      <c r="A182" s="49">
        <v>7</v>
      </c>
      <c r="B182" s="131">
        <v>5</v>
      </c>
      <c r="C182" s="130" t="str">
        <f t="shared" si="98"/>
        <v>I-05</v>
      </c>
      <c r="D182" s="130">
        <v>132</v>
      </c>
      <c r="E182" s="131" t="s">
        <v>67</v>
      </c>
      <c r="F182" s="50" t="s">
        <v>118</v>
      </c>
      <c r="G182" s="188">
        <v>50000</v>
      </c>
      <c r="H182" s="188">
        <f t="shared" ref="G182:T184" si="99">+H183</f>
        <v>0</v>
      </c>
      <c r="I182" s="188">
        <f t="shared" si="99"/>
        <v>9000</v>
      </c>
      <c r="J182" s="188">
        <f t="shared" si="99"/>
        <v>5750</v>
      </c>
      <c r="K182" s="188">
        <f t="shared" si="99"/>
        <v>0</v>
      </c>
      <c r="L182" s="188">
        <f t="shared" si="99"/>
        <v>5750</v>
      </c>
      <c r="M182" s="188">
        <f t="shared" si="99"/>
        <v>0</v>
      </c>
      <c r="N182" s="188">
        <f t="shared" si="99"/>
        <v>0</v>
      </c>
      <c r="O182" s="188">
        <f t="shared" si="99"/>
        <v>0</v>
      </c>
      <c r="P182" s="188">
        <f t="shared" si="99"/>
        <v>0</v>
      </c>
      <c r="Q182" s="188">
        <f t="shared" si="99"/>
        <v>0</v>
      </c>
      <c r="R182" s="188">
        <f t="shared" si="99"/>
        <v>0</v>
      </c>
      <c r="S182" s="188">
        <f t="shared" si="99"/>
        <v>0</v>
      </c>
      <c r="T182" s="188">
        <f t="shared" si="99"/>
        <v>20500</v>
      </c>
      <c r="U182"/>
      <c r="V182"/>
      <c r="W182"/>
    </row>
    <row r="183" spans="1:23" ht="17.25" customHeight="1" x14ac:dyDescent="0.25">
      <c r="A183" s="48">
        <v>1</v>
      </c>
      <c r="B183" s="139">
        <v>501</v>
      </c>
      <c r="C183" s="130" t="str">
        <f t="shared" si="98"/>
        <v>I-0501</v>
      </c>
      <c r="D183" s="130">
        <v>133</v>
      </c>
      <c r="E183" s="139" t="s">
        <v>72</v>
      </c>
      <c r="F183" s="189" t="s">
        <v>119</v>
      </c>
      <c r="G183" s="190">
        <f t="shared" si="99"/>
        <v>0</v>
      </c>
      <c r="H183" s="190">
        <f t="shared" si="99"/>
        <v>0</v>
      </c>
      <c r="I183" s="190">
        <f t="shared" si="99"/>
        <v>9000</v>
      </c>
      <c r="J183" s="190">
        <f t="shared" si="99"/>
        <v>5750</v>
      </c>
      <c r="K183" s="190">
        <f t="shared" si="99"/>
        <v>0</v>
      </c>
      <c r="L183" s="190">
        <f t="shared" si="99"/>
        <v>5750</v>
      </c>
      <c r="M183" s="190">
        <f t="shared" si="99"/>
        <v>0</v>
      </c>
      <c r="N183" s="190">
        <f t="shared" si="99"/>
        <v>0</v>
      </c>
      <c r="O183" s="190">
        <f t="shared" si="99"/>
        <v>0</v>
      </c>
      <c r="P183" s="190">
        <f t="shared" si="99"/>
        <v>0</v>
      </c>
      <c r="Q183" s="190">
        <f t="shared" si="99"/>
        <v>0</v>
      </c>
      <c r="R183" s="190">
        <f t="shared" si="99"/>
        <v>0</v>
      </c>
      <c r="S183" s="190">
        <f t="shared" si="99"/>
        <v>0</v>
      </c>
      <c r="T183" s="190">
        <f t="shared" si="99"/>
        <v>20500</v>
      </c>
      <c r="U183"/>
      <c r="V183"/>
      <c r="W183"/>
    </row>
    <row r="184" spans="1:23" ht="15" customHeight="1" x14ac:dyDescent="0.35">
      <c r="A184" s="71"/>
      <c r="B184" s="140">
        <v>50101</v>
      </c>
      <c r="C184" s="130" t="str">
        <f t="shared" si="98"/>
        <v>I-050101</v>
      </c>
      <c r="D184" s="130">
        <v>134</v>
      </c>
      <c r="E184" s="140" t="s">
        <v>69</v>
      </c>
      <c r="F184" s="199" t="s">
        <v>120</v>
      </c>
      <c r="G184" s="192">
        <f>+G185</f>
        <v>0</v>
      </c>
      <c r="H184" s="192">
        <f t="shared" si="99"/>
        <v>0</v>
      </c>
      <c r="I184" s="192">
        <f t="shared" si="99"/>
        <v>9000</v>
      </c>
      <c r="J184" s="192">
        <f t="shared" si="99"/>
        <v>5750</v>
      </c>
      <c r="K184" s="192">
        <f t="shared" si="99"/>
        <v>0</v>
      </c>
      <c r="L184" s="192">
        <f t="shared" si="99"/>
        <v>5750</v>
      </c>
      <c r="M184" s="192">
        <f t="shared" si="99"/>
        <v>0</v>
      </c>
      <c r="N184" s="192">
        <f t="shared" si="99"/>
        <v>0</v>
      </c>
      <c r="O184" s="192">
        <f t="shared" si="99"/>
        <v>0</v>
      </c>
      <c r="P184" s="192">
        <f t="shared" si="99"/>
        <v>0</v>
      </c>
      <c r="Q184" s="192">
        <f t="shared" si="99"/>
        <v>0</v>
      </c>
      <c r="R184" s="192">
        <f t="shared" si="99"/>
        <v>0</v>
      </c>
      <c r="S184" s="192">
        <f t="shared" si="99"/>
        <v>0</v>
      </c>
      <c r="T184" s="192">
        <f t="shared" si="99"/>
        <v>20500</v>
      </c>
      <c r="U184"/>
      <c r="V184"/>
      <c r="W184"/>
    </row>
    <row r="185" spans="1:23" ht="15" customHeight="1" x14ac:dyDescent="0.35">
      <c r="A185" s="71"/>
      <c r="B185" s="344">
        <v>5010103</v>
      </c>
      <c r="C185" s="130" t="str">
        <f t="shared" si="98"/>
        <v>I-05010103</v>
      </c>
      <c r="D185" s="130">
        <v>135</v>
      </c>
      <c r="E185" s="344"/>
      <c r="F185" s="363" t="s">
        <v>1396</v>
      </c>
      <c r="G185" s="364">
        <f t="shared" ref="G185:H185" si="100">SUM(G186:G186)</f>
        <v>0</v>
      </c>
      <c r="H185" s="364">
        <f t="shared" si="100"/>
        <v>0</v>
      </c>
      <c r="I185" s="364">
        <f>SUM(I186:I187)</f>
        <v>9000</v>
      </c>
      <c r="J185" s="364">
        <f t="shared" ref="J185:T185" si="101">SUM(J186:J187)</f>
        <v>5750</v>
      </c>
      <c r="K185" s="364">
        <f t="shared" si="101"/>
        <v>0</v>
      </c>
      <c r="L185" s="364">
        <f t="shared" si="101"/>
        <v>5750</v>
      </c>
      <c r="M185" s="364">
        <f t="shared" si="101"/>
        <v>0</v>
      </c>
      <c r="N185" s="364">
        <f t="shared" si="101"/>
        <v>0</v>
      </c>
      <c r="O185" s="364">
        <f t="shared" si="101"/>
        <v>0</v>
      </c>
      <c r="P185" s="364">
        <f t="shared" si="101"/>
        <v>0</v>
      </c>
      <c r="Q185" s="364">
        <f t="shared" si="101"/>
        <v>0</v>
      </c>
      <c r="R185" s="364">
        <f t="shared" si="101"/>
        <v>0</v>
      </c>
      <c r="S185" s="364">
        <f t="shared" si="101"/>
        <v>0</v>
      </c>
      <c r="T185" s="364">
        <f t="shared" si="101"/>
        <v>20500</v>
      </c>
      <c r="U185"/>
      <c r="V185"/>
      <c r="W185"/>
    </row>
    <row r="186" spans="1:23" ht="15" customHeight="1" x14ac:dyDescent="0.35">
      <c r="A186" s="71"/>
      <c r="B186" s="132">
        <v>5010101</v>
      </c>
      <c r="C186" s="130" t="str">
        <f t="shared" si="98"/>
        <v>I-05010101</v>
      </c>
      <c r="D186" s="130">
        <v>136</v>
      </c>
      <c r="E186" s="132" t="s">
        <v>69</v>
      </c>
      <c r="F186" s="345" t="s">
        <v>121</v>
      </c>
      <c r="G186" s="193">
        <v>0</v>
      </c>
      <c r="H186" s="193">
        <v>0</v>
      </c>
      <c r="I186" s="193">
        <v>9000</v>
      </c>
      <c r="J186" s="193">
        <v>0</v>
      </c>
      <c r="K186" s="193">
        <v>0</v>
      </c>
      <c r="L186" s="193">
        <v>0</v>
      </c>
      <c r="M186" s="193">
        <v>0</v>
      </c>
      <c r="N186" s="193">
        <v>0</v>
      </c>
      <c r="O186" s="193">
        <v>0</v>
      </c>
      <c r="P186" s="193">
        <v>0</v>
      </c>
      <c r="Q186" s="193">
        <v>0</v>
      </c>
      <c r="R186" s="193">
        <v>0</v>
      </c>
      <c r="S186" s="193">
        <v>0</v>
      </c>
      <c r="T186" s="193">
        <f>SUM(H186:S186)</f>
        <v>9000</v>
      </c>
      <c r="U186"/>
      <c r="V186"/>
      <c r="W186"/>
    </row>
    <row r="187" spans="1:23" ht="15" customHeight="1" x14ac:dyDescent="0.35">
      <c r="A187" s="71"/>
      <c r="B187" s="132">
        <v>5010102</v>
      </c>
      <c r="C187" s="130" t="str">
        <f t="shared" si="98"/>
        <v>I-05010102</v>
      </c>
      <c r="D187" s="130">
        <v>137</v>
      </c>
      <c r="E187" s="132" t="s">
        <v>69</v>
      </c>
      <c r="F187" s="345" t="s">
        <v>122</v>
      </c>
      <c r="G187" s="193">
        <v>0</v>
      </c>
      <c r="H187" s="193">
        <v>0</v>
      </c>
      <c r="I187" s="193">
        <v>0</v>
      </c>
      <c r="J187" s="193">
        <v>5750</v>
      </c>
      <c r="K187" s="193">
        <v>0</v>
      </c>
      <c r="L187" s="193">
        <v>5750</v>
      </c>
      <c r="M187" s="193">
        <v>0</v>
      </c>
      <c r="N187" s="193">
        <v>0</v>
      </c>
      <c r="O187" s="193">
        <v>0</v>
      </c>
      <c r="P187" s="193">
        <v>0</v>
      </c>
      <c r="Q187" s="193">
        <v>0</v>
      </c>
      <c r="R187" s="193">
        <v>0</v>
      </c>
      <c r="S187" s="193">
        <v>0</v>
      </c>
      <c r="T187" s="193">
        <f>SUM(H187:S187)</f>
        <v>11500</v>
      </c>
      <c r="U187"/>
      <c r="V187"/>
      <c r="W187"/>
    </row>
    <row r="188" spans="1:23" ht="16.149999999999999" customHeight="1" x14ac:dyDescent="0.25">
      <c r="A188" s="49">
        <v>8</v>
      </c>
      <c r="B188" s="131">
        <v>6</v>
      </c>
      <c r="C188" s="130" t="str">
        <f t="shared" si="98"/>
        <v>I-06</v>
      </c>
      <c r="D188" s="130">
        <v>138</v>
      </c>
      <c r="E188" s="131" t="s">
        <v>67</v>
      </c>
      <c r="F188" s="50" t="s">
        <v>123</v>
      </c>
      <c r="G188" s="188">
        <v>105000</v>
      </c>
      <c r="H188" s="188">
        <f>+H189+H195</f>
        <v>12574</v>
      </c>
      <c r="I188" s="188">
        <f>+I189+I195</f>
        <v>15747</v>
      </c>
      <c r="J188" s="188">
        <f>+J189+J195</f>
        <v>17231</v>
      </c>
      <c r="K188" s="188">
        <f t="shared" ref="K188:T188" si="102">+K189+K195</f>
        <v>13550</v>
      </c>
      <c r="L188" s="188">
        <f t="shared" si="102"/>
        <v>30804</v>
      </c>
      <c r="M188" s="188">
        <f t="shared" si="102"/>
        <v>22243</v>
      </c>
      <c r="N188" s="188">
        <f t="shared" si="102"/>
        <v>38336</v>
      </c>
      <c r="O188" s="188">
        <f t="shared" si="102"/>
        <v>21433</v>
      </c>
      <c r="P188" s="188">
        <f t="shared" si="102"/>
        <v>21048</v>
      </c>
      <c r="Q188" s="188">
        <f t="shared" si="102"/>
        <v>32054</v>
      </c>
      <c r="R188" s="188">
        <f t="shared" si="102"/>
        <v>17582</v>
      </c>
      <c r="S188" s="188">
        <f t="shared" si="102"/>
        <v>0</v>
      </c>
      <c r="T188" s="188">
        <f t="shared" si="102"/>
        <v>242602</v>
      </c>
      <c r="U188"/>
      <c r="V188"/>
      <c r="W188"/>
    </row>
    <row r="189" spans="1:23" ht="15" customHeight="1" x14ac:dyDescent="0.35">
      <c r="A189" s="71"/>
      <c r="B189" s="140">
        <v>601</v>
      </c>
      <c r="C189" s="130" t="str">
        <f t="shared" si="98"/>
        <v>I-0601</v>
      </c>
      <c r="D189" s="130">
        <v>139</v>
      </c>
      <c r="E189" s="140" t="s">
        <v>72</v>
      </c>
      <c r="F189" s="199" t="s">
        <v>124</v>
      </c>
      <c r="G189" s="192">
        <v>0</v>
      </c>
      <c r="H189" s="192">
        <f t="shared" ref="H189:T189" si="103">SUM(H190:H194)</f>
        <v>12574</v>
      </c>
      <c r="I189" s="192">
        <f t="shared" si="103"/>
        <v>9687</v>
      </c>
      <c r="J189" s="192">
        <f t="shared" si="103"/>
        <v>9205</v>
      </c>
      <c r="K189" s="192">
        <f t="shared" si="103"/>
        <v>11540</v>
      </c>
      <c r="L189" s="192">
        <f t="shared" si="103"/>
        <v>9993</v>
      </c>
      <c r="M189" s="192">
        <f t="shared" si="103"/>
        <v>8988</v>
      </c>
      <c r="N189" s="192">
        <f t="shared" si="103"/>
        <v>13027</v>
      </c>
      <c r="O189" s="192">
        <f t="shared" si="103"/>
        <v>18018</v>
      </c>
      <c r="P189" s="192">
        <f t="shared" si="103"/>
        <v>13763</v>
      </c>
      <c r="Q189" s="192">
        <f t="shared" si="103"/>
        <v>27831</v>
      </c>
      <c r="R189" s="192">
        <f t="shared" si="103"/>
        <v>17272</v>
      </c>
      <c r="S189" s="192">
        <f t="shared" si="103"/>
        <v>0</v>
      </c>
      <c r="T189" s="192">
        <f t="shared" si="103"/>
        <v>151898</v>
      </c>
      <c r="U189"/>
      <c r="V189"/>
      <c r="W189"/>
    </row>
    <row r="190" spans="1:23" ht="15" customHeight="1" x14ac:dyDescent="0.25">
      <c r="A190" s="70"/>
      <c r="B190" s="141">
        <v>60101</v>
      </c>
      <c r="C190" s="130" t="str">
        <f t="shared" si="98"/>
        <v>I-060101</v>
      </c>
      <c r="D190" s="130">
        <v>140</v>
      </c>
      <c r="E190" s="141" t="s">
        <v>69</v>
      </c>
      <c r="F190" s="347" t="s">
        <v>125</v>
      </c>
      <c r="G190" s="193">
        <v>0</v>
      </c>
      <c r="H190" s="193">
        <f>570+300</f>
        <v>870</v>
      </c>
      <c r="I190" s="193">
        <v>870</v>
      </c>
      <c r="J190" s="193">
        <v>870</v>
      </c>
      <c r="K190" s="193">
        <v>870</v>
      </c>
      <c r="L190" s="193">
        <v>35</v>
      </c>
      <c r="M190" s="193">
        <v>870</v>
      </c>
      <c r="N190" s="193">
        <v>870</v>
      </c>
      <c r="O190" s="193">
        <v>570</v>
      </c>
      <c r="P190" s="193">
        <v>1012</v>
      </c>
      <c r="Q190" s="193">
        <v>3101</v>
      </c>
      <c r="R190" s="193">
        <v>3512</v>
      </c>
      <c r="S190" s="193">
        <v>0</v>
      </c>
      <c r="T190" s="193">
        <f>SUM(H190:S190)</f>
        <v>13450</v>
      </c>
      <c r="U190"/>
      <c r="V190"/>
      <c r="W190"/>
    </row>
    <row r="191" spans="1:23" ht="15" customHeight="1" x14ac:dyDescent="0.25">
      <c r="A191" s="70"/>
      <c r="B191" s="141">
        <v>60102</v>
      </c>
      <c r="C191" s="130" t="str">
        <f t="shared" si="98"/>
        <v>I-060102</v>
      </c>
      <c r="D191" s="130">
        <v>141</v>
      </c>
      <c r="E191" s="141" t="s">
        <v>69</v>
      </c>
      <c r="F191" s="347" t="s">
        <v>116</v>
      </c>
      <c r="G191" s="193">
        <v>0</v>
      </c>
      <c r="H191" s="193">
        <v>0</v>
      </c>
      <c r="I191" s="193">
        <v>607</v>
      </c>
      <c r="J191" s="193">
        <v>464</v>
      </c>
      <c r="K191" s="193">
        <v>310</v>
      </c>
      <c r="L191" s="193">
        <v>378</v>
      </c>
      <c r="M191" s="193">
        <v>87</v>
      </c>
      <c r="N191" s="193">
        <v>409</v>
      </c>
      <c r="O191" s="193">
        <v>340</v>
      </c>
      <c r="P191" s="193">
        <v>415</v>
      </c>
      <c r="Q191" s="193">
        <v>427</v>
      </c>
      <c r="R191" s="193">
        <v>371</v>
      </c>
      <c r="S191" s="193">
        <v>0</v>
      </c>
      <c r="T191" s="193">
        <f>SUM(H191:S191)</f>
        <v>3808</v>
      </c>
      <c r="U191"/>
      <c r="V191"/>
      <c r="W191"/>
    </row>
    <row r="192" spans="1:23" ht="15" customHeight="1" x14ac:dyDescent="0.25">
      <c r="A192" s="70"/>
      <c r="B192" s="141">
        <v>60103</v>
      </c>
      <c r="C192" s="130" t="str">
        <f t="shared" si="98"/>
        <v>I-060103</v>
      </c>
      <c r="D192" s="130">
        <v>142</v>
      </c>
      <c r="E192" s="141" t="s">
        <v>69</v>
      </c>
      <c r="F192" s="347" t="s">
        <v>126</v>
      </c>
      <c r="G192" s="193">
        <v>0</v>
      </c>
      <c r="H192" s="193">
        <v>11654</v>
      </c>
      <c r="I192" s="193">
        <v>7328</v>
      </c>
      <c r="J192" s="193">
        <v>7871</v>
      </c>
      <c r="K192" s="193">
        <v>10310</v>
      </c>
      <c r="L192" s="193">
        <f>8461.64+0.36</f>
        <v>8462</v>
      </c>
      <c r="M192" s="193">
        <v>7139</v>
      </c>
      <c r="N192" s="193">
        <v>11678</v>
      </c>
      <c r="O192" s="193">
        <v>17058</v>
      </c>
      <c r="P192" s="193">
        <v>12219</v>
      </c>
      <c r="Q192" s="193">
        <f>15994.84+6415.25-0.09</f>
        <v>22410</v>
      </c>
      <c r="R192" s="193">
        <f>13335.51+0.49</f>
        <v>13336</v>
      </c>
      <c r="S192" s="193">
        <v>0</v>
      </c>
      <c r="T192" s="193">
        <f>SUM(H192:S192)</f>
        <v>129465</v>
      </c>
      <c r="U192"/>
      <c r="V192"/>
      <c r="W192"/>
    </row>
    <row r="193" spans="1:24" ht="15" customHeight="1" x14ac:dyDescent="0.25">
      <c r="A193" s="70"/>
      <c r="B193" s="141">
        <v>60104</v>
      </c>
      <c r="C193" s="130" t="str">
        <f t="shared" si="98"/>
        <v>I-060104</v>
      </c>
      <c r="D193" s="130">
        <v>143</v>
      </c>
      <c r="E193" s="141" t="s">
        <v>69</v>
      </c>
      <c r="F193" s="347" t="s">
        <v>127</v>
      </c>
      <c r="G193" s="193">
        <v>0</v>
      </c>
      <c r="H193" s="193">
        <v>0</v>
      </c>
      <c r="I193" s="193">
        <v>0</v>
      </c>
      <c r="J193" s="193">
        <v>0</v>
      </c>
      <c r="K193" s="193">
        <v>0</v>
      </c>
      <c r="L193" s="193">
        <v>1118</v>
      </c>
      <c r="M193" s="193">
        <v>877</v>
      </c>
      <c r="N193" s="193">
        <v>0</v>
      </c>
      <c r="O193" s="193">
        <v>0</v>
      </c>
      <c r="P193" s="193">
        <v>0</v>
      </c>
      <c r="Q193" s="193">
        <v>1078</v>
      </c>
      <c r="R193" s="193">
        <v>0</v>
      </c>
      <c r="S193" s="193">
        <v>0</v>
      </c>
      <c r="T193" s="193">
        <f>SUM(H193:S193)</f>
        <v>3073</v>
      </c>
      <c r="U193"/>
      <c r="V193"/>
      <c r="W193"/>
    </row>
    <row r="194" spans="1:24" ht="15" customHeight="1" x14ac:dyDescent="0.25">
      <c r="A194" s="70"/>
      <c r="B194" s="141">
        <v>60105</v>
      </c>
      <c r="C194" s="130" t="str">
        <f t="shared" si="98"/>
        <v>I-060105</v>
      </c>
      <c r="D194" s="130">
        <v>144</v>
      </c>
      <c r="E194" s="141" t="s">
        <v>69</v>
      </c>
      <c r="F194" s="347" t="s">
        <v>128</v>
      </c>
      <c r="G194" s="193">
        <v>0</v>
      </c>
      <c r="H194" s="193">
        <v>50</v>
      </c>
      <c r="I194" s="193">
        <v>882</v>
      </c>
      <c r="J194" s="193">
        <v>0</v>
      </c>
      <c r="K194" s="193">
        <v>50</v>
      </c>
      <c r="L194" s="193">
        <v>0</v>
      </c>
      <c r="M194" s="193">
        <v>15</v>
      </c>
      <c r="N194" s="193">
        <v>70</v>
      </c>
      <c r="O194" s="193">
        <v>50</v>
      </c>
      <c r="P194" s="193">
        <v>117</v>
      </c>
      <c r="Q194" s="193">
        <v>815</v>
      </c>
      <c r="R194" s="193">
        <v>53</v>
      </c>
      <c r="S194" s="193">
        <v>0</v>
      </c>
      <c r="T194" s="193">
        <f>SUM(H194:S194)</f>
        <v>2102</v>
      </c>
      <c r="U194"/>
      <c r="V194">
        <f>6+5.25+1.75+12.5+0.32+0.32+0.32+0.32+1+0.41+0.41+0.41+0.28+0.28+0.28+0.28</f>
        <v>30.130000000000006</v>
      </c>
      <c r="W194"/>
    </row>
    <row r="195" spans="1:24" ht="15" customHeight="1" x14ac:dyDescent="0.25">
      <c r="A195" s="70"/>
      <c r="B195" s="140">
        <v>602</v>
      </c>
      <c r="C195" s="130" t="str">
        <f t="shared" si="98"/>
        <v>I-0602</v>
      </c>
      <c r="D195" s="130">
        <v>145</v>
      </c>
      <c r="E195" s="140" t="s">
        <v>72</v>
      </c>
      <c r="F195" s="199" t="s">
        <v>129</v>
      </c>
      <c r="G195" s="192">
        <v>0</v>
      </c>
      <c r="H195" s="192">
        <f t="shared" ref="H195:T195" si="104">SUM(H196:H200)</f>
        <v>0</v>
      </c>
      <c r="I195" s="192">
        <f t="shared" si="104"/>
        <v>6060</v>
      </c>
      <c r="J195" s="192">
        <f t="shared" si="104"/>
        <v>8026</v>
      </c>
      <c r="K195" s="192">
        <f t="shared" si="104"/>
        <v>2010</v>
      </c>
      <c r="L195" s="192">
        <f t="shared" si="104"/>
        <v>20811</v>
      </c>
      <c r="M195" s="192">
        <f t="shared" si="104"/>
        <v>13255</v>
      </c>
      <c r="N195" s="192">
        <f t="shared" si="104"/>
        <v>25309</v>
      </c>
      <c r="O195" s="192">
        <f t="shared" si="104"/>
        <v>3415</v>
      </c>
      <c r="P195" s="192">
        <f t="shared" si="104"/>
        <v>7285</v>
      </c>
      <c r="Q195" s="192">
        <f t="shared" si="104"/>
        <v>4223</v>
      </c>
      <c r="R195" s="192">
        <f t="shared" si="104"/>
        <v>310</v>
      </c>
      <c r="S195" s="192">
        <f t="shared" si="104"/>
        <v>0</v>
      </c>
      <c r="T195" s="192">
        <f t="shared" si="104"/>
        <v>90704</v>
      </c>
      <c r="U195"/>
      <c r="V195"/>
      <c r="W195"/>
    </row>
    <row r="196" spans="1:24" ht="20.25" customHeight="1" x14ac:dyDescent="0.25">
      <c r="A196" s="70"/>
      <c r="B196" s="141">
        <v>60201</v>
      </c>
      <c r="C196" s="130" t="str">
        <f t="shared" si="98"/>
        <v>I-060201</v>
      </c>
      <c r="D196" s="130">
        <v>146</v>
      </c>
      <c r="E196" s="141" t="s">
        <v>69</v>
      </c>
      <c r="F196" s="347" t="s">
        <v>130</v>
      </c>
      <c r="G196" s="193">
        <v>0</v>
      </c>
      <c r="H196" s="193">
        <v>0</v>
      </c>
      <c r="I196" s="193">
        <v>5160</v>
      </c>
      <c r="J196" s="193">
        <v>150</v>
      </c>
      <c r="K196" s="193">
        <v>40</v>
      </c>
      <c r="L196" s="193">
        <f>-406.8-0.2-505+30</f>
        <v>-882</v>
      </c>
      <c r="M196" s="193">
        <f>-699-297</f>
        <v>-996</v>
      </c>
      <c r="N196" s="193">
        <f>-187.91-448.92-122.38-178.5-2258+4900-0.29</f>
        <v>1704</v>
      </c>
      <c r="O196" s="193">
        <f>285-149.9-0.1-50</f>
        <v>85</v>
      </c>
      <c r="P196" s="193">
        <v>50</v>
      </c>
      <c r="Q196" s="193">
        <v>0</v>
      </c>
      <c r="R196" s="193">
        <v>0</v>
      </c>
      <c r="S196" s="193">
        <v>0</v>
      </c>
      <c r="T196" s="193">
        <f>SUM(H196:S196)</f>
        <v>5311</v>
      </c>
      <c r="U196"/>
      <c r="V196"/>
      <c r="W196"/>
    </row>
    <row r="197" spans="1:24" ht="17.25" customHeight="1" x14ac:dyDescent="0.25">
      <c r="A197" s="70"/>
      <c r="B197" s="141">
        <v>60202</v>
      </c>
      <c r="C197" s="130" t="str">
        <f t="shared" si="98"/>
        <v>I-060202</v>
      </c>
      <c r="D197" s="130">
        <v>147</v>
      </c>
      <c r="E197" s="141" t="s">
        <v>69</v>
      </c>
      <c r="F197" s="347" t="s">
        <v>1397</v>
      </c>
      <c r="G197" s="193">
        <v>5250</v>
      </c>
      <c r="H197" s="193">
        <v>0</v>
      </c>
      <c r="I197" s="193">
        <v>0</v>
      </c>
      <c r="J197" s="193">
        <v>0</v>
      </c>
      <c r="K197" s="193">
        <v>0</v>
      </c>
      <c r="L197" s="193">
        <v>0</v>
      </c>
      <c r="M197" s="193">
        <v>0</v>
      </c>
      <c r="N197" s="193">
        <v>0</v>
      </c>
      <c r="O197" s="193">
        <v>1050</v>
      </c>
      <c r="P197" s="193">
        <f>-160.7-343.2-113.1</f>
        <v>-617</v>
      </c>
      <c r="Q197" s="193">
        <v>3675</v>
      </c>
      <c r="R197" s="193">
        <v>0</v>
      </c>
      <c r="S197" s="193">
        <v>0</v>
      </c>
      <c r="T197" s="193">
        <f>SUM(H197:S197)</f>
        <v>4108</v>
      </c>
      <c r="U197"/>
      <c r="V197"/>
      <c r="W197"/>
    </row>
    <row r="198" spans="1:24" ht="17.25" customHeight="1" x14ac:dyDescent="0.25">
      <c r="A198" s="70"/>
      <c r="B198" s="344">
        <v>60205</v>
      </c>
      <c r="C198" s="130" t="str">
        <f t="shared" si="98"/>
        <v>I-060205</v>
      </c>
      <c r="D198" s="130">
        <v>148</v>
      </c>
      <c r="E198" s="344" t="s">
        <v>69</v>
      </c>
      <c r="F198" s="347" t="s">
        <v>1398</v>
      </c>
      <c r="G198" s="193">
        <v>0</v>
      </c>
      <c r="H198" s="193">
        <v>0</v>
      </c>
      <c r="I198" s="193">
        <v>0</v>
      </c>
      <c r="J198" s="193">
        <v>0</v>
      </c>
      <c r="K198" s="193">
        <v>0</v>
      </c>
      <c r="L198" s="193">
        <v>0</v>
      </c>
      <c r="M198" s="193">
        <v>0</v>
      </c>
      <c r="N198" s="193">
        <v>0</v>
      </c>
      <c r="O198" s="193">
        <v>0</v>
      </c>
      <c r="P198" s="193">
        <f>3161+4741.5+0.5</f>
        <v>7903</v>
      </c>
      <c r="Q198" s="193">
        <v>0</v>
      </c>
      <c r="R198" s="193">
        <v>0</v>
      </c>
      <c r="S198" s="193">
        <v>0</v>
      </c>
      <c r="T198" s="193">
        <f>SUM(H198:S198)</f>
        <v>7903</v>
      </c>
      <c r="U198"/>
      <c r="V198"/>
      <c r="W198"/>
    </row>
    <row r="199" spans="1:24" ht="27" customHeight="1" x14ac:dyDescent="0.25">
      <c r="A199" s="70"/>
      <c r="B199" s="141">
        <v>60203</v>
      </c>
      <c r="C199" s="130" t="str">
        <f t="shared" si="98"/>
        <v>I-060203</v>
      </c>
      <c r="D199" s="130">
        <v>149</v>
      </c>
      <c r="E199" s="141" t="s">
        <v>69</v>
      </c>
      <c r="F199" s="347" t="s">
        <v>131</v>
      </c>
      <c r="G199" s="193">
        <v>0</v>
      </c>
      <c r="H199" s="193">
        <v>0</v>
      </c>
      <c r="I199" s="193">
        <v>820</v>
      </c>
      <c r="J199" s="193">
        <v>2420</v>
      </c>
      <c r="K199" s="193">
        <v>0</v>
      </c>
      <c r="L199" s="193">
        <v>0</v>
      </c>
      <c r="M199" s="193">
        <v>0</v>
      </c>
      <c r="N199" s="193">
        <v>0</v>
      </c>
      <c r="O199" s="193">
        <v>0</v>
      </c>
      <c r="P199" s="193">
        <v>0</v>
      </c>
      <c r="Q199" s="193">
        <v>0</v>
      </c>
      <c r="R199" s="193">
        <v>0</v>
      </c>
      <c r="S199" s="193">
        <v>0</v>
      </c>
      <c r="T199" s="193">
        <f>SUM(H199:S199)</f>
        <v>3240</v>
      </c>
      <c r="U199"/>
      <c r="V199"/>
      <c r="W199"/>
    </row>
    <row r="200" spans="1:24" ht="15" customHeight="1" x14ac:dyDescent="0.25">
      <c r="A200" s="70"/>
      <c r="B200" s="141">
        <v>60204</v>
      </c>
      <c r="C200" s="130" t="str">
        <f t="shared" si="98"/>
        <v>I-060204</v>
      </c>
      <c r="D200" s="130">
        <v>150</v>
      </c>
      <c r="E200" s="141" t="s">
        <v>69</v>
      </c>
      <c r="F200" s="347" t="s">
        <v>132</v>
      </c>
      <c r="G200" s="193">
        <v>0</v>
      </c>
      <c r="H200" s="193">
        <v>0</v>
      </c>
      <c r="I200" s="193">
        <v>80</v>
      </c>
      <c r="J200" s="193">
        <v>5456</v>
      </c>
      <c r="K200" s="193">
        <v>1970</v>
      </c>
      <c r="L200" s="193">
        <v>21693</v>
      </c>
      <c r="M200" s="193">
        <v>14251</v>
      </c>
      <c r="N200" s="193">
        <v>23605</v>
      </c>
      <c r="O200" s="193">
        <v>2280</v>
      </c>
      <c r="P200" s="193">
        <f>10-61</f>
        <v>-51</v>
      </c>
      <c r="Q200" s="193">
        <v>548</v>
      </c>
      <c r="R200" s="193">
        <v>310</v>
      </c>
      <c r="S200" s="193">
        <v>0</v>
      </c>
      <c r="T200" s="193">
        <f>SUM(H200:S200)</f>
        <v>70142</v>
      </c>
      <c r="U200"/>
      <c r="V200"/>
      <c r="W200"/>
    </row>
    <row r="201" spans="1:24" ht="15.95" customHeight="1" x14ac:dyDescent="0.25">
      <c r="A201" s="49">
        <v>1</v>
      </c>
      <c r="B201" s="131">
        <v>1</v>
      </c>
      <c r="C201" s="130" t="str">
        <f>"E"&amp;"-0"&amp;B201</f>
        <v>E-01</v>
      </c>
      <c r="D201" s="130">
        <v>151</v>
      </c>
      <c r="E201" s="131" t="s">
        <v>67</v>
      </c>
      <c r="F201" s="50" t="s">
        <v>133</v>
      </c>
      <c r="G201" s="188">
        <f>SUM(G202:G213)</f>
        <v>2500000</v>
      </c>
      <c r="H201" s="188">
        <f>SUM(H202:H213)</f>
        <v>226178</v>
      </c>
      <c r="I201" s="188">
        <f t="shared" ref="I201:S201" si="105">SUM(I202:I213)</f>
        <v>225048</v>
      </c>
      <c r="J201" s="188">
        <f t="shared" si="105"/>
        <v>224830</v>
      </c>
      <c r="K201" s="188">
        <f t="shared" si="105"/>
        <v>224830</v>
      </c>
      <c r="L201" s="188">
        <f t="shared" si="105"/>
        <v>224830</v>
      </c>
      <c r="M201" s="188">
        <f t="shared" si="105"/>
        <v>206968</v>
      </c>
      <c r="N201" s="188">
        <f t="shared" si="105"/>
        <v>204708</v>
      </c>
      <c r="O201" s="188">
        <f t="shared" si="105"/>
        <v>209160</v>
      </c>
      <c r="P201" s="188">
        <f t="shared" si="105"/>
        <v>187113</v>
      </c>
      <c r="Q201" s="188">
        <f t="shared" si="105"/>
        <v>223538</v>
      </c>
      <c r="R201" s="188">
        <f t="shared" si="105"/>
        <v>156430</v>
      </c>
      <c r="S201" s="188">
        <f t="shared" si="105"/>
        <v>0</v>
      </c>
      <c r="T201" s="188">
        <f>SUM(T202:T213)</f>
        <v>2313633</v>
      </c>
      <c r="U201" s="107" t="s">
        <v>1</v>
      </c>
      <c r="V201" s="8" t="s">
        <v>1</v>
      </c>
      <c r="W201"/>
    </row>
    <row r="202" spans="1:24" ht="25.5" customHeight="1" x14ac:dyDescent="0.25">
      <c r="A202" s="48">
        <v>1</v>
      </c>
      <c r="B202" s="141">
        <v>101</v>
      </c>
      <c r="C202" s="130" t="str">
        <f t="shared" ref="C202:C266" si="106">"E"&amp;"-0"&amp;B202</f>
        <v>E-0101</v>
      </c>
      <c r="D202" s="130">
        <v>152</v>
      </c>
      <c r="E202" s="141" t="s">
        <v>72</v>
      </c>
      <c r="F202" s="347" t="s">
        <v>134</v>
      </c>
      <c r="G202" s="193">
        <v>1492250</v>
      </c>
      <c r="H202" s="193">
        <v>132688</v>
      </c>
      <c r="I202" s="193">
        <v>132688</v>
      </c>
      <c r="J202" s="193">
        <f t="shared" ref="J202:O202" si="107">132469.58+0.42</f>
        <v>132470</v>
      </c>
      <c r="K202" s="193">
        <f t="shared" si="107"/>
        <v>132470</v>
      </c>
      <c r="L202" s="193">
        <f t="shared" si="107"/>
        <v>132470</v>
      </c>
      <c r="M202" s="193">
        <f t="shared" si="107"/>
        <v>132470</v>
      </c>
      <c r="N202" s="193">
        <f t="shared" si="107"/>
        <v>132470</v>
      </c>
      <c r="O202" s="193">
        <f t="shared" si="107"/>
        <v>132470</v>
      </c>
      <c r="P202" s="193">
        <v>96282</v>
      </c>
      <c r="Q202" s="193">
        <v>96282</v>
      </c>
      <c r="R202" s="193">
        <v>88282</v>
      </c>
      <c r="S202" s="193">
        <v>0</v>
      </c>
      <c r="T202" s="193">
        <f t="shared" ref="T202:T212" si="108">SUM(H202:S202)</f>
        <v>1341042</v>
      </c>
      <c r="U202" t="s">
        <v>1</v>
      </c>
      <c r="V202" s="107" t="s">
        <v>1</v>
      </c>
      <c r="W202" t="s">
        <v>1</v>
      </c>
      <c r="X202"/>
    </row>
    <row r="203" spans="1:24" ht="18.75" customHeight="1" x14ac:dyDescent="0.25">
      <c r="A203" s="52">
        <f>+A202+1</f>
        <v>2</v>
      </c>
      <c r="B203" s="141">
        <v>102</v>
      </c>
      <c r="C203" s="130" t="str">
        <f t="shared" si="106"/>
        <v>E-0102</v>
      </c>
      <c r="D203" s="130">
        <v>153</v>
      </c>
      <c r="E203" s="141" t="s">
        <v>72</v>
      </c>
      <c r="F203" s="347" t="s">
        <v>135</v>
      </c>
      <c r="G203" s="193">
        <v>120000</v>
      </c>
      <c r="H203" s="193">
        <v>10000</v>
      </c>
      <c r="I203" s="193">
        <v>10000</v>
      </c>
      <c r="J203" s="193">
        <v>10000</v>
      </c>
      <c r="K203" s="193">
        <v>10000</v>
      </c>
      <c r="L203" s="193">
        <v>10000</v>
      </c>
      <c r="M203" s="193">
        <v>10000</v>
      </c>
      <c r="N203" s="193">
        <v>10000</v>
      </c>
      <c r="O203" s="193">
        <v>10000</v>
      </c>
      <c r="P203" s="193">
        <v>8000</v>
      </c>
      <c r="Q203" s="193">
        <v>8000</v>
      </c>
      <c r="R203" s="193">
        <v>8000</v>
      </c>
      <c r="S203" s="193">
        <v>0</v>
      </c>
      <c r="T203" s="193">
        <f t="shared" si="108"/>
        <v>104000</v>
      </c>
      <c r="U203"/>
      <c r="V203" s="107" t="s">
        <v>1</v>
      </c>
      <c r="W203" s="107" t="s">
        <v>1</v>
      </c>
      <c r="X203"/>
    </row>
    <row r="204" spans="1:24" ht="18.75" customHeight="1" x14ac:dyDescent="0.25">
      <c r="A204" s="52">
        <f t="shared" ref="A204:A212" si="109">+A203+1</f>
        <v>3</v>
      </c>
      <c r="B204" s="141">
        <v>103</v>
      </c>
      <c r="C204" s="130" t="str">
        <f t="shared" si="106"/>
        <v>E-0103</v>
      </c>
      <c r="D204" s="130">
        <v>154</v>
      </c>
      <c r="E204" s="141" t="s">
        <v>72</v>
      </c>
      <c r="F204" s="347" t="s">
        <v>136</v>
      </c>
      <c r="G204" s="193">
        <v>713100</v>
      </c>
      <c r="H204" s="193">
        <v>67762</v>
      </c>
      <c r="I204" s="193">
        <v>67762</v>
      </c>
      <c r="J204" s="193">
        <v>67762</v>
      </c>
      <c r="K204" s="193">
        <v>67762</v>
      </c>
      <c r="L204" s="193">
        <v>67762</v>
      </c>
      <c r="M204" s="193">
        <v>49900</v>
      </c>
      <c r="N204" s="193">
        <v>49900</v>
      </c>
      <c r="O204" s="193">
        <v>49900</v>
      </c>
      <c r="P204" s="193">
        <v>49900</v>
      </c>
      <c r="Q204" s="193">
        <f>101781.98+0.02</f>
        <v>101782</v>
      </c>
      <c r="R204" s="193">
        <v>44818</v>
      </c>
      <c r="S204" s="193">
        <v>0</v>
      </c>
      <c r="T204" s="193">
        <f t="shared" si="108"/>
        <v>685010</v>
      </c>
      <c r="U204"/>
      <c r="V204" t="s">
        <v>1</v>
      </c>
      <c r="W204" t="s">
        <v>1</v>
      </c>
      <c r="X204"/>
    </row>
    <row r="205" spans="1:24" ht="17.25" customHeight="1" x14ac:dyDescent="0.25">
      <c r="A205" s="52">
        <f>+A204+1</f>
        <v>4</v>
      </c>
      <c r="B205" s="141">
        <v>104</v>
      </c>
      <c r="C205" s="130" t="str">
        <f t="shared" si="106"/>
        <v>E-0104</v>
      </c>
      <c r="D205" s="130">
        <v>155</v>
      </c>
      <c r="E205" s="141" t="s">
        <v>72</v>
      </c>
      <c r="F205" s="347" t="s">
        <v>137</v>
      </c>
      <c r="G205" s="193">
        <v>36000</v>
      </c>
      <c r="H205" s="193">
        <v>3000</v>
      </c>
      <c r="I205" s="193">
        <v>3000</v>
      </c>
      <c r="J205" s="193">
        <v>3000</v>
      </c>
      <c r="K205" s="193">
        <v>3000</v>
      </c>
      <c r="L205" s="193">
        <v>3000</v>
      </c>
      <c r="M205" s="193">
        <v>3000</v>
      </c>
      <c r="N205" s="193">
        <v>3000</v>
      </c>
      <c r="O205" s="193">
        <v>3000</v>
      </c>
      <c r="P205" s="193">
        <v>3000</v>
      </c>
      <c r="Q205" s="193">
        <v>3000</v>
      </c>
      <c r="R205" s="193">
        <v>3000</v>
      </c>
      <c r="S205" s="193">
        <v>0</v>
      </c>
      <c r="T205" s="193">
        <f t="shared" si="108"/>
        <v>33000</v>
      </c>
      <c r="U205"/>
      <c r="V205"/>
      <c r="W205" s="107" t="s">
        <v>1</v>
      </c>
    </row>
    <row r="206" spans="1:24" ht="15.95" customHeight="1" x14ac:dyDescent="0.25">
      <c r="A206" s="52">
        <f t="shared" si="109"/>
        <v>5</v>
      </c>
      <c r="B206" s="141">
        <v>105</v>
      </c>
      <c r="C206" s="130" t="str">
        <f t="shared" si="106"/>
        <v>E-0105</v>
      </c>
      <c r="D206" s="130">
        <v>156</v>
      </c>
      <c r="E206" s="141" t="s">
        <v>72</v>
      </c>
      <c r="F206" s="347" t="s">
        <v>138</v>
      </c>
      <c r="G206" s="193">
        <v>12000</v>
      </c>
      <c r="H206" s="193">
        <v>1000</v>
      </c>
      <c r="I206" s="193">
        <v>1000</v>
      </c>
      <c r="J206" s="193">
        <v>1000</v>
      </c>
      <c r="K206" s="193">
        <v>1000</v>
      </c>
      <c r="L206" s="193">
        <v>1000</v>
      </c>
      <c r="M206" s="193">
        <v>1000</v>
      </c>
      <c r="N206" s="193">
        <v>1000</v>
      </c>
      <c r="O206" s="193">
        <v>1000</v>
      </c>
      <c r="P206" s="193">
        <v>1000</v>
      </c>
      <c r="Q206" s="193">
        <v>1000</v>
      </c>
      <c r="R206" s="193">
        <v>1000</v>
      </c>
      <c r="S206" s="193">
        <v>0</v>
      </c>
      <c r="T206" s="193">
        <f t="shared" si="108"/>
        <v>11000</v>
      </c>
      <c r="U206"/>
      <c r="V206"/>
      <c r="W206"/>
    </row>
    <row r="207" spans="1:24" ht="15.95" customHeight="1" x14ac:dyDescent="0.25">
      <c r="A207" s="52">
        <f t="shared" si="109"/>
        <v>6</v>
      </c>
      <c r="B207" s="141">
        <v>106</v>
      </c>
      <c r="C207" s="130" t="str">
        <f t="shared" si="106"/>
        <v>E-0106</v>
      </c>
      <c r="D207" s="130">
        <v>157</v>
      </c>
      <c r="E207" s="141" t="s">
        <v>72</v>
      </c>
      <c r="F207" s="347" t="s">
        <v>139</v>
      </c>
      <c r="G207" s="193">
        <v>54000</v>
      </c>
      <c r="H207" s="193">
        <v>4500</v>
      </c>
      <c r="I207" s="193">
        <v>4500</v>
      </c>
      <c r="J207" s="193">
        <v>4500</v>
      </c>
      <c r="K207" s="193">
        <v>4500</v>
      </c>
      <c r="L207" s="193">
        <v>4500</v>
      </c>
      <c r="M207" s="193">
        <v>4500</v>
      </c>
      <c r="N207" s="193">
        <v>4500</v>
      </c>
      <c r="O207" s="193">
        <v>4500</v>
      </c>
      <c r="P207" s="193">
        <v>4500</v>
      </c>
      <c r="Q207" s="193">
        <v>4500</v>
      </c>
      <c r="R207" s="193">
        <v>4500</v>
      </c>
      <c r="S207" s="193">
        <v>0</v>
      </c>
      <c r="T207" s="193">
        <f t="shared" si="108"/>
        <v>49500</v>
      </c>
      <c r="U207"/>
      <c r="V207"/>
      <c r="W207"/>
    </row>
    <row r="208" spans="1:24" ht="18" customHeight="1" x14ac:dyDescent="0.25">
      <c r="A208" s="52">
        <f t="shared" si="109"/>
        <v>7</v>
      </c>
      <c r="B208" s="141">
        <v>107</v>
      </c>
      <c r="C208" s="130" t="str">
        <f t="shared" si="106"/>
        <v>E-0107</v>
      </c>
      <c r="D208" s="130">
        <v>158</v>
      </c>
      <c r="E208" s="141" t="s">
        <v>72</v>
      </c>
      <c r="F208" s="347" t="s">
        <v>140</v>
      </c>
      <c r="G208" s="193">
        <v>18150</v>
      </c>
      <c r="H208" s="193">
        <f t="shared" ref="H208:O208" si="110">1508.5+0.5</f>
        <v>1509</v>
      </c>
      <c r="I208" s="193">
        <f t="shared" si="110"/>
        <v>1509</v>
      </c>
      <c r="J208" s="193">
        <f t="shared" si="110"/>
        <v>1509</v>
      </c>
      <c r="K208" s="193">
        <f t="shared" si="110"/>
        <v>1509</v>
      </c>
      <c r="L208" s="193">
        <f t="shared" si="110"/>
        <v>1509</v>
      </c>
      <c r="M208" s="193">
        <f t="shared" si="110"/>
        <v>1509</v>
      </c>
      <c r="N208" s="193">
        <f t="shared" si="110"/>
        <v>1509</v>
      </c>
      <c r="O208" s="193">
        <f t="shared" si="110"/>
        <v>1509</v>
      </c>
      <c r="P208" s="193">
        <v>1509</v>
      </c>
      <c r="Q208" s="193">
        <v>1509</v>
      </c>
      <c r="R208" s="193">
        <v>1509</v>
      </c>
      <c r="S208" s="193">
        <v>0</v>
      </c>
      <c r="T208" s="193">
        <f t="shared" si="108"/>
        <v>16599</v>
      </c>
      <c r="U208"/>
      <c r="V208"/>
      <c r="W208"/>
    </row>
    <row r="209" spans="1:23" ht="15.95" customHeight="1" x14ac:dyDescent="0.25">
      <c r="A209" s="52">
        <f t="shared" si="109"/>
        <v>8</v>
      </c>
      <c r="B209" s="141">
        <v>108</v>
      </c>
      <c r="C209" s="130" t="str">
        <f t="shared" si="106"/>
        <v>E-0108</v>
      </c>
      <c r="D209" s="130">
        <v>159</v>
      </c>
      <c r="E209" s="141" t="s">
        <v>72</v>
      </c>
      <c r="F209" s="347" t="s">
        <v>141</v>
      </c>
      <c r="G209" s="193">
        <v>13000</v>
      </c>
      <c r="H209" s="193">
        <v>0</v>
      </c>
      <c r="I209" s="193">
        <v>0</v>
      </c>
      <c r="J209" s="193">
        <v>0</v>
      </c>
      <c r="K209" s="193">
        <v>0</v>
      </c>
      <c r="L209" s="193">
        <v>0</v>
      </c>
      <c r="M209" s="193">
        <v>0</v>
      </c>
      <c r="N209" s="193">
        <v>0</v>
      </c>
      <c r="O209" s="193">
        <v>0</v>
      </c>
      <c r="P209" s="193">
        <f>4750.04-0.04</f>
        <v>4750</v>
      </c>
      <c r="Q209" s="193">
        <v>0</v>
      </c>
      <c r="R209" s="193">
        <v>0</v>
      </c>
      <c r="S209" s="193">
        <v>0</v>
      </c>
      <c r="T209" s="193">
        <f t="shared" si="108"/>
        <v>4750</v>
      </c>
      <c r="U209"/>
      <c r="V209"/>
      <c r="W209"/>
    </row>
    <row r="210" spans="1:23" ht="18" customHeight="1" x14ac:dyDescent="0.25">
      <c r="A210" s="52">
        <f t="shared" si="109"/>
        <v>9</v>
      </c>
      <c r="B210" s="141">
        <v>109</v>
      </c>
      <c r="C210" s="130" t="str">
        <f t="shared" si="106"/>
        <v>E-0109</v>
      </c>
      <c r="D210" s="130">
        <v>160</v>
      </c>
      <c r="E210" s="141" t="s">
        <v>72</v>
      </c>
      <c r="F210" s="347" t="s">
        <v>142</v>
      </c>
      <c r="G210" s="193">
        <v>900</v>
      </c>
      <c r="H210" s="193">
        <v>68</v>
      </c>
      <c r="I210" s="193">
        <v>68</v>
      </c>
      <c r="J210" s="193">
        <v>68</v>
      </c>
      <c r="K210" s="193">
        <v>68</v>
      </c>
      <c r="L210" s="193">
        <v>68</v>
      </c>
      <c r="M210" s="193">
        <v>68</v>
      </c>
      <c r="N210" s="193">
        <v>68</v>
      </c>
      <c r="O210" s="193">
        <v>0</v>
      </c>
      <c r="P210" s="193">
        <f>290.68+0.32</f>
        <v>291</v>
      </c>
      <c r="Q210" s="193">
        <v>0</v>
      </c>
      <c r="R210" s="193">
        <v>0</v>
      </c>
      <c r="S210" s="193">
        <v>0</v>
      </c>
      <c r="T210" s="193">
        <f t="shared" si="108"/>
        <v>767</v>
      </c>
      <c r="U210" t="s">
        <v>1</v>
      </c>
      <c r="V210"/>
      <c r="W210"/>
    </row>
    <row r="211" spans="1:23" ht="18" customHeight="1" x14ac:dyDescent="0.25">
      <c r="A211" s="52">
        <f t="shared" si="109"/>
        <v>10</v>
      </c>
      <c r="B211" s="141">
        <v>110</v>
      </c>
      <c r="C211" s="130" t="str">
        <f t="shared" si="106"/>
        <v>E-0110</v>
      </c>
      <c r="D211" s="130">
        <v>161</v>
      </c>
      <c r="E211" s="141" t="s">
        <v>72</v>
      </c>
      <c r="F211" s="347" t="s">
        <v>143</v>
      </c>
      <c r="G211" s="193">
        <v>13500</v>
      </c>
      <c r="H211" s="193">
        <v>2260</v>
      </c>
      <c r="I211" s="193">
        <v>2260</v>
      </c>
      <c r="J211" s="193">
        <v>2260</v>
      </c>
      <c r="K211" s="193">
        <v>2260</v>
      </c>
      <c r="L211" s="193">
        <v>2260</v>
      </c>
      <c r="M211" s="193">
        <v>2260</v>
      </c>
      <c r="N211" s="193">
        <v>0</v>
      </c>
      <c r="O211" s="193">
        <f>2260*2</f>
        <v>4520</v>
      </c>
      <c r="P211" s="193">
        <v>2260</v>
      </c>
      <c r="Q211" s="193">
        <v>2260</v>
      </c>
      <c r="R211" s="193">
        <v>2260</v>
      </c>
      <c r="S211" s="193">
        <v>0</v>
      </c>
      <c r="T211" s="193">
        <f t="shared" si="108"/>
        <v>24860</v>
      </c>
      <c r="U211"/>
      <c r="V211"/>
      <c r="W211"/>
    </row>
    <row r="212" spans="1:23" ht="19.5" customHeight="1" x14ac:dyDescent="0.25">
      <c r="A212" s="52">
        <f t="shared" si="109"/>
        <v>11</v>
      </c>
      <c r="B212" s="141">
        <v>111</v>
      </c>
      <c r="C212" s="130" t="str">
        <f t="shared" si="106"/>
        <v>E-0111</v>
      </c>
      <c r="D212" s="130">
        <v>162</v>
      </c>
      <c r="E212" s="141" t="s">
        <v>72</v>
      </c>
      <c r="F212" s="347" t="s">
        <v>144</v>
      </c>
      <c r="G212" s="193">
        <v>27100</v>
      </c>
      <c r="H212" s="193">
        <v>2261</v>
      </c>
      <c r="I212" s="193">
        <v>2261</v>
      </c>
      <c r="J212" s="193">
        <v>2261</v>
      </c>
      <c r="K212" s="193">
        <v>2261</v>
      </c>
      <c r="L212" s="193">
        <v>2261</v>
      </c>
      <c r="M212" s="193">
        <v>2261</v>
      </c>
      <c r="N212" s="193">
        <v>2261</v>
      </c>
      <c r="O212" s="193">
        <v>2261</v>
      </c>
      <c r="P212" s="193">
        <v>2261</v>
      </c>
      <c r="Q212" s="193">
        <v>2261</v>
      </c>
      <c r="R212" s="193">
        <v>2261</v>
      </c>
      <c r="S212" s="193">
        <v>0</v>
      </c>
      <c r="T212" s="193">
        <f t="shared" si="108"/>
        <v>24871</v>
      </c>
      <c r="U212"/>
      <c r="V212"/>
      <c r="W212"/>
    </row>
    <row r="213" spans="1:23" ht="15.95" customHeight="1" x14ac:dyDescent="0.25">
      <c r="A213" s="48"/>
      <c r="B213" s="139">
        <v>112</v>
      </c>
      <c r="C213" s="130" t="str">
        <f t="shared" si="106"/>
        <v>E-0112</v>
      </c>
      <c r="D213" s="130">
        <v>163</v>
      </c>
      <c r="E213" s="139" t="s">
        <v>69</v>
      </c>
      <c r="F213" s="189" t="s">
        <v>145</v>
      </c>
      <c r="G213" s="190">
        <f>SUM(G214:G217)</f>
        <v>0</v>
      </c>
      <c r="H213" s="190">
        <f>SUM(H214:H214)</f>
        <v>1130</v>
      </c>
      <c r="I213" s="190">
        <f>SUM(I214:I214)</f>
        <v>0</v>
      </c>
      <c r="J213" s="190">
        <f>SUM(J214:J214)</f>
        <v>0</v>
      </c>
      <c r="K213" s="190">
        <f t="shared" ref="K213:N213" si="111">SUM(K214:K214)</f>
        <v>0</v>
      </c>
      <c r="L213" s="190">
        <f t="shared" si="111"/>
        <v>0</v>
      </c>
      <c r="M213" s="190">
        <f t="shared" si="111"/>
        <v>0</v>
      </c>
      <c r="N213" s="190">
        <f t="shared" si="111"/>
        <v>0</v>
      </c>
      <c r="O213" s="190">
        <f t="shared" ref="O213:T213" si="112">SUM(O214:O217)</f>
        <v>0</v>
      </c>
      <c r="P213" s="190">
        <f t="shared" si="112"/>
        <v>13360</v>
      </c>
      <c r="Q213" s="190">
        <f>SUM(Q214:Q217)</f>
        <v>2944</v>
      </c>
      <c r="R213" s="190">
        <f t="shared" si="112"/>
        <v>800</v>
      </c>
      <c r="S213" s="190">
        <f t="shared" si="112"/>
        <v>0</v>
      </c>
      <c r="T213" s="190">
        <f t="shared" si="112"/>
        <v>18234</v>
      </c>
      <c r="U213"/>
      <c r="V213"/>
      <c r="W213"/>
    </row>
    <row r="214" spans="1:23" ht="15.75" customHeight="1" x14ac:dyDescent="0.25">
      <c r="A214" s="48"/>
      <c r="B214" s="132">
        <v>11201</v>
      </c>
      <c r="C214" s="130" t="str">
        <f t="shared" si="106"/>
        <v>E-011201</v>
      </c>
      <c r="D214" s="130">
        <v>164</v>
      </c>
      <c r="E214" s="132" t="s">
        <v>72</v>
      </c>
      <c r="F214" s="345" t="s">
        <v>146</v>
      </c>
      <c r="G214" s="193">
        <v>0</v>
      </c>
      <c r="H214" s="193">
        <v>1130</v>
      </c>
      <c r="I214" s="193">
        <v>0</v>
      </c>
      <c r="J214" s="193">
        <v>0</v>
      </c>
      <c r="K214" s="193">
        <v>0</v>
      </c>
      <c r="L214" s="193">
        <v>0</v>
      </c>
      <c r="M214" s="193">
        <v>0</v>
      </c>
      <c r="N214" s="193">
        <v>0</v>
      </c>
      <c r="O214" s="193">
        <v>0</v>
      </c>
      <c r="P214" s="193">
        <v>0</v>
      </c>
      <c r="Q214" s="193">
        <v>0</v>
      </c>
      <c r="R214" s="193">
        <v>0</v>
      </c>
      <c r="S214" s="193">
        <v>0</v>
      </c>
      <c r="T214" s="193">
        <f>SUM(H214:S214)</f>
        <v>1130</v>
      </c>
      <c r="U214"/>
      <c r="V214"/>
      <c r="W214"/>
    </row>
    <row r="215" spans="1:23" ht="15.75" customHeight="1" x14ac:dyDescent="0.25">
      <c r="A215" s="48"/>
      <c r="B215" s="132">
        <v>11202</v>
      </c>
      <c r="C215" s="130" t="str">
        <f t="shared" si="106"/>
        <v>E-011202</v>
      </c>
      <c r="D215" s="130">
        <v>165</v>
      </c>
      <c r="E215" s="132" t="s">
        <v>72</v>
      </c>
      <c r="F215" s="345" t="s">
        <v>147</v>
      </c>
      <c r="G215" s="193">
        <v>0</v>
      </c>
      <c r="H215" s="193">
        <v>0</v>
      </c>
      <c r="I215" s="193">
        <v>0</v>
      </c>
      <c r="J215" s="193">
        <v>0</v>
      </c>
      <c r="K215" s="193">
        <v>0</v>
      </c>
      <c r="L215" s="193">
        <v>0</v>
      </c>
      <c r="M215" s="193">
        <v>0</v>
      </c>
      <c r="N215" s="193">
        <v>0</v>
      </c>
      <c r="O215" s="193">
        <v>0</v>
      </c>
      <c r="P215" s="193">
        <v>11300</v>
      </c>
      <c r="Q215" s="193">
        <v>0</v>
      </c>
      <c r="R215" s="193">
        <v>0</v>
      </c>
      <c r="S215" s="193">
        <v>0</v>
      </c>
      <c r="T215" s="193">
        <f>SUM(H215:S215)</f>
        <v>11300</v>
      </c>
      <c r="U215"/>
      <c r="V215"/>
      <c r="W215"/>
    </row>
    <row r="216" spans="1:23" ht="15.75" customHeight="1" x14ac:dyDescent="0.25">
      <c r="A216" s="48"/>
      <c r="B216" s="132">
        <v>11204</v>
      </c>
      <c r="C216" s="130" t="str">
        <f>"E"&amp;"-0"&amp;B216</f>
        <v>E-011204</v>
      </c>
      <c r="D216" s="130">
        <v>166</v>
      </c>
      <c r="E216" s="132" t="s">
        <v>72</v>
      </c>
      <c r="F216" s="345" t="s">
        <v>1399</v>
      </c>
      <c r="G216" s="193">
        <v>0</v>
      </c>
      <c r="H216" s="193">
        <v>0</v>
      </c>
      <c r="I216" s="193">
        <v>0</v>
      </c>
      <c r="J216" s="193">
        <v>0</v>
      </c>
      <c r="K216" s="193">
        <v>0</v>
      </c>
      <c r="L216" s="193">
        <v>0</v>
      </c>
      <c r="M216" s="193">
        <v>0</v>
      </c>
      <c r="N216" s="193">
        <v>0</v>
      </c>
      <c r="O216" s="193">
        <v>0</v>
      </c>
      <c r="P216" s="193">
        <v>0</v>
      </c>
      <c r="Q216" s="193">
        <v>2400</v>
      </c>
      <c r="R216" s="193">
        <v>800</v>
      </c>
      <c r="S216" s="193">
        <v>0</v>
      </c>
      <c r="T216" s="193">
        <f>SUM(H216:S216)</f>
        <v>3200</v>
      </c>
      <c r="U216" s="346"/>
      <c r="V216"/>
      <c r="W216"/>
    </row>
    <row r="217" spans="1:23" ht="15.75" customHeight="1" x14ac:dyDescent="0.25">
      <c r="A217" s="48"/>
      <c r="B217" s="132">
        <v>11203</v>
      </c>
      <c r="C217" s="130" t="str">
        <f t="shared" si="106"/>
        <v>E-011203</v>
      </c>
      <c r="D217" s="130">
        <v>167</v>
      </c>
      <c r="E217" s="132" t="s">
        <v>72</v>
      </c>
      <c r="F217" s="345" t="s">
        <v>148</v>
      </c>
      <c r="G217" s="193">
        <v>0</v>
      </c>
      <c r="H217" s="193">
        <v>0</v>
      </c>
      <c r="I217" s="193">
        <v>0</v>
      </c>
      <c r="J217" s="193">
        <v>0</v>
      </c>
      <c r="K217" s="193">
        <v>0</v>
      </c>
      <c r="L217" s="193">
        <v>0</v>
      </c>
      <c r="M217" s="193">
        <v>0</v>
      </c>
      <c r="N217" s="193">
        <v>0</v>
      </c>
      <c r="O217" s="193">
        <v>0</v>
      </c>
      <c r="P217" s="193">
        <f>2060.41-0.41</f>
        <v>2060</v>
      </c>
      <c r="Q217" s="193">
        <f>543.69+0.31</f>
        <v>544</v>
      </c>
      <c r="R217" s="193">
        <v>0</v>
      </c>
      <c r="S217" s="193">
        <v>0</v>
      </c>
      <c r="T217" s="193">
        <f>SUM(H217:S217)</f>
        <v>2604</v>
      </c>
      <c r="U217"/>
      <c r="V217"/>
      <c r="W217"/>
    </row>
    <row r="218" spans="1:23" ht="19.5" customHeight="1" x14ac:dyDescent="0.25">
      <c r="A218" s="49">
        <v>2</v>
      </c>
      <c r="B218" s="131">
        <v>2</v>
      </c>
      <c r="C218" s="130" t="str">
        <f t="shared" si="106"/>
        <v>E-02</v>
      </c>
      <c r="D218" s="130">
        <v>168</v>
      </c>
      <c r="E218" s="131" t="s">
        <v>67</v>
      </c>
      <c r="F218" s="50" t="s">
        <v>27</v>
      </c>
      <c r="G218" s="188">
        <f>SUM(G219:G222)</f>
        <v>2100000</v>
      </c>
      <c r="H218" s="188">
        <f t="shared" ref="H218:T218" si="113">SUM(H219:H222)</f>
        <v>209690</v>
      </c>
      <c r="I218" s="188">
        <f t="shared" si="113"/>
        <v>130310</v>
      </c>
      <c r="J218" s="188">
        <f t="shared" si="113"/>
        <v>169487</v>
      </c>
      <c r="K218" s="188">
        <f t="shared" si="113"/>
        <v>167163</v>
      </c>
      <c r="L218" s="188">
        <f t="shared" si="113"/>
        <v>169243</v>
      </c>
      <c r="M218" s="188">
        <f t="shared" si="113"/>
        <v>166225</v>
      </c>
      <c r="N218" s="188">
        <f t="shared" si="113"/>
        <v>171579</v>
      </c>
      <c r="O218" s="188">
        <f t="shared" si="113"/>
        <v>176846</v>
      </c>
      <c r="P218" s="188">
        <f t="shared" si="113"/>
        <v>171409</v>
      </c>
      <c r="Q218" s="188">
        <f t="shared" si="113"/>
        <v>158080</v>
      </c>
      <c r="R218" s="188">
        <f t="shared" si="113"/>
        <v>162635</v>
      </c>
      <c r="S218" s="188">
        <f t="shared" si="113"/>
        <v>0</v>
      </c>
      <c r="T218" s="188">
        <f t="shared" si="113"/>
        <v>1852667</v>
      </c>
      <c r="U218"/>
      <c r="V218"/>
      <c r="W218"/>
    </row>
    <row r="219" spans="1:23" ht="24.75" customHeight="1" x14ac:dyDescent="0.25">
      <c r="A219" s="52">
        <v>1</v>
      </c>
      <c r="B219" s="141">
        <v>201</v>
      </c>
      <c r="C219" s="130" t="str">
        <f t="shared" si="106"/>
        <v>E-0201</v>
      </c>
      <c r="D219" s="130">
        <v>169</v>
      </c>
      <c r="E219" s="141" t="s">
        <v>72</v>
      </c>
      <c r="F219" s="347" t="s">
        <v>149</v>
      </c>
      <c r="G219" s="193">
        <v>900000</v>
      </c>
      <c r="H219" s="193">
        <v>72595</v>
      </c>
      <c r="I219" s="193">
        <v>72595</v>
      </c>
      <c r="J219" s="193">
        <v>72595</v>
      </c>
      <c r="K219" s="193">
        <v>72595</v>
      </c>
      <c r="L219" s="193">
        <v>72595</v>
      </c>
      <c r="M219" s="193">
        <v>72595</v>
      </c>
      <c r="N219" s="193">
        <v>72595</v>
      </c>
      <c r="O219" s="193">
        <v>72595</v>
      </c>
      <c r="P219" s="193">
        <v>72595</v>
      </c>
      <c r="Q219" s="193">
        <v>72595</v>
      </c>
      <c r="R219" s="193">
        <v>72595</v>
      </c>
      <c r="S219" s="193">
        <v>0</v>
      </c>
      <c r="T219" s="193">
        <f>SUM(H219:S219)</f>
        <v>798545</v>
      </c>
      <c r="U219"/>
      <c r="V219"/>
      <c r="W219"/>
    </row>
    <row r="220" spans="1:23" ht="21.75" customHeight="1" x14ac:dyDescent="0.25">
      <c r="A220" s="48">
        <f>+A219+1</f>
        <v>2</v>
      </c>
      <c r="B220" s="141">
        <v>202</v>
      </c>
      <c r="C220" s="130" t="str">
        <f t="shared" si="106"/>
        <v>E-0202</v>
      </c>
      <c r="D220" s="130">
        <v>170</v>
      </c>
      <c r="E220" s="141" t="s">
        <v>72</v>
      </c>
      <c r="F220" s="347" t="s">
        <v>150</v>
      </c>
      <c r="G220" s="193">
        <v>600000</v>
      </c>
      <c r="H220" s="193">
        <f>33681.61+14803.72-0.33</f>
        <v>48485</v>
      </c>
      <c r="I220" s="193">
        <f>33681.61+14803.72-0.33</f>
        <v>48485</v>
      </c>
      <c r="J220" s="193">
        <f>33681.61+14803.72-0.33</f>
        <v>48485</v>
      </c>
      <c r="K220" s="193">
        <v>46593</v>
      </c>
      <c r="L220" s="193">
        <v>46593</v>
      </c>
      <c r="M220" s="193">
        <v>46593</v>
      </c>
      <c r="N220" s="193">
        <v>46593</v>
      </c>
      <c r="O220" s="193">
        <v>46593</v>
      </c>
      <c r="P220" s="193">
        <v>46593</v>
      </c>
      <c r="Q220" s="193">
        <v>46593</v>
      </c>
      <c r="R220" s="193">
        <v>46593</v>
      </c>
      <c r="S220" s="193">
        <v>0</v>
      </c>
      <c r="T220" s="193">
        <f>SUM(H220:S220)</f>
        <v>518199</v>
      </c>
      <c r="U220"/>
      <c r="V220"/>
      <c r="W220"/>
    </row>
    <row r="221" spans="1:23" ht="24" customHeight="1" x14ac:dyDescent="0.25">
      <c r="A221" s="48">
        <f t="shared" ref="A221" si="114">+A220+1</f>
        <v>3</v>
      </c>
      <c r="B221" s="141">
        <v>203</v>
      </c>
      <c r="C221" s="130" t="str">
        <f t="shared" si="106"/>
        <v>E-0203</v>
      </c>
      <c r="D221" s="130">
        <v>171</v>
      </c>
      <c r="E221" s="141" t="s">
        <v>72</v>
      </c>
      <c r="F221" s="347" t="s">
        <v>151</v>
      </c>
      <c r="G221" s="193">
        <v>480000</v>
      </c>
      <c r="H221" s="193">
        <v>77301</v>
      </c>
      <c r="I221" s="193">
        <v>0</v>
      </c>
      <c r="J221" s="193">
        <v>38957</v>
      </c>
      <c r="K221" s="193">
        <v>38957</v>
      </c>
      <c r="L221" s="193">
        <v>40203</v>
      </c>
      <c r="M221" s="193">
        <v>40183</v>
      </c>
      <c r="N221" s="193">
        <v>40183</v>
      </c>
      <c r="O221" s="193">
        <v>40183</v>
      </c>
      <c r="P221" s="193">
        <v>40183</v>
      </c>
      <c r="Q221" s="193">
        <v>40183</v>
      </c>
      <c r="R221" s="193">
        <v>39571</v>
      </c>
      <c r="S221" s="193">
        <v>0</v>
      </c>
      <c r="T221" s="193">
        <f>SUM(H221:S221)</f>
        <v>435904</v>
      </c>
      <c r="U221"/>
      <c r="V221"/>
      <c r="W221"/>
    </row>
    <row r="222" spans="1:23" ht="15.95" customHeight="1" x14ac:dyDescent="0.25">
      <c r="A222" s="48">
        <v>5</v>
      </c>
      <c r="B222" s="141">
        <v>204</v>
      </c>
      <c r="C222" s="130" t="str">
        <f t="shared" si="106"/>
        <v>E-0204</v>
      </c>
      <c r="D222" s="130">
        <v>172</v>
      </c>
      <c r="E222" s="141" t="s">
        <v>72</v>
      </c>
      <c r="F222" s="347" t="s">
        <v>152</v>
      </c>
      <c r="G222" s="193">
        <v>120000</v>
      </c>
      <c r="H222" s="193">
        <v>11309</v>
      </c>
      <c r="I222" s="193">
        <v>9230</v>
      </c>
      <c r="J222" s="193">
        <v>9450</v>
      </c>
      <c r="K222" s="193">
        <v>9018</v>
      </c>
      <c r="L222" s="193">
        <f>3998.6+5853.79-0.39</f>
        <v>9852</v>
      </c>
      <c r="M222" s="193">
        <f>6853.58+0.42</f>
        <v>6854</v>
      </c>
      <c r="N222" s="193">
        <f>12207.75+0.25</f>
        <v>12208</v>
      </c>
      <c r="O222" s="193">
        <v>17475</v>
      </c>
      <c r="P222" s="193">
        <v>12038</v>
      </c>
      <c r="Q222" s="193">
        <f>-14855+13564</f>
        <v>-1291</v>
      </c>
      <c r="R222" s="193">
        <f>8450.21-0.21-4574</f>
        <v>3876</v>
      </c>
      <c r="S222" s="193">
        <v>0</v>
      </c>
      <c r="T222" s="193">
        <f>SUM(H222:S222)</f>
        <v>100019</v>
      </c>
      <c r="U222"/>
      <c r="V222"/>
      <c r="W222"/>
    </row>
    <row r="223" spans="1:23" ht="15.95" customHeight="1" x14ac:dyDescent="0.25">
      <c r="A223" s="49">
        <v>3</v>
      </c>
      <c r="B223" s="131">
        <v>3</v>
      </c>
      <c r="C223" s="130" t="str">
        <f t="shared" si="106"/>
        <v>E-03</v>
      </c>
      <c r="D223" s="130">
        <v>173</v>
      </c>
      <c r="E223" s="131" t="s">
        <v>67</v>
      </c>
      <c r="F223" s="50" t="s">
        <v>28</v>
      </c>
      <c r="G223" s="188">
        <f>SUM(G224:G234)</f>
        <v>2220000</v>
      </c>
      <c r="H223" s="188">
        <f>SUM(H224:H234)</f>
        <v>173677</v>
      </c>
      <c r="I223" s="188">
        <f>SUM(I224:I234)</f>
        <v>172947</v>
      </c>
      <c r="J223" s="188">
        <f>SUM(J224:J234)</f>
        <v>172083</v>
      </c>
      <c r="K223" s="188">
        <f t="shared" ref="K223:T223" si="115">SUM(K224:K234)</f>
        <v>183826</v>
      </c>
      <c r="L223" s="188">
        <f t="shared" si="115"/>
        <v>173230</v>
      </c>
      <c r="M223" s="188">
        <f t="shared" si="115"/>
        <v>170391</v>
      </c>
      <c r="N223" s="188">
        <f t="shared" si="115"/>
        <v>174964</v>
      </c>
      <c r="O223" s="188">
        <f t="shared" si="115"/>
        <v>184404</v>
      </c>
      <c r="P223" s="188">
        <f t="shared" si="115"/>
        <v>207290</v>
      </c>
      <c r="Q223" s="188">
        <f t="shared" si="115"/>
        <v>207184</v>
      </c>
      <c r="R223" s="188">
        <f t="shared" si="115"/>
        <v>202806</v>
      </c>
      <c r="S223" s="188">
        <f t="shared" si="115"/>
        <v>0</v>
      </c>
      <c r="T223" s="188">
        <f t="shared" si="115"/>
        <v>2022802</v>
      </c>
      <c r="U223" s="8" t="s">
        <v>1</v>
      </c>
      <c r="V223"/>
      <c r="W223"/>
    </row>
    <row r="224" spans="1:23" ht="15.95" customHeight="1" x14ac:dyDescent="0.25">
      <c r="A224" s="48"/>
      <c r="B224" s="141">
        <v>301</v>
      </c>
      <c r="C224" s="130" t="str">
        <f t="shared" si="106"/>
        <v>E-0301</v>
      </c>
      <c r="D224" s="130">
        <v>174</v>
      </c>
      <c r="E224" s="141" t="s">
        <v>72</v>
      </c>
      <c r="F224" s="347" t="s">
        <v>153</v>
      </c>
      <c r="G224" s="193">
        <v>225550</v>
      </c>
      <c r="H224" s="193">
        <v>17450</v>
      </c>
      <c r="I224" s="193">
        <v>17450</v>
      </c>
      <c r="J224" s="193">
        <v>17450</v>
      </c>
      <c r="K224" s="193">
        <f>18671.5+0.5</f>
        <v>18672</v>
      </c>
      <c r="L224" s="193">
        <v>17450</v>
      </c>
      <c r="M224" s="193">
        <v>17450</v>
      </c>
      <c r="N224" s="193">
        <v>17450</v>
      </c>
      <c r="O224" s="193">
        <f>18671.5+0.5</f>
        <v>18672</v>
      </c>
      <c r="P224" s="193">
        <v>17450</v>
      </c>
      <c r="Q224" s="193">
        <v>17450</v>
      </c>
      <c r="R224" s="193">
        <v>17450</v>
      </c>
      <c r="S224" s="193">
        <v>0</v>
      </c>
      <c r="T224" s="193">
        <f t="shared" ref="T224:T234" si="116">SUM(H224:S224)</f>
        <v>194394</v>
      </c>
      <c r="U224" t="s">
        <v>1</v>
      </c>
      <c r="V224"/>
      <c r="W224"/>
    </row>
    <row r="225" spans="1:24" ht="15.95" customHeight="1" x14ac:dyDescent="0.25">
      <c r="A225" s="48"/>
      <c r="B225" s="141">
        <v>302</v>
      </c>
      <c r="C225" s="130" t="str">
        <f t="shared" si="106"/>
        <v>E-0302</v>
      </c>
      <c r="D225" s="130">
        <v>175</v>
      </c>
      <c r="E225" s="141" t="s">
        <v>72</v>
      </c>
      <c r="F225" s="347" t="s">
        <v>154</v>
      </c>
      <c r="G225" s="193">
        <v>712750</v>
      </c>
      <c r="H225" s="193">
        <f>54938.68+0.32</f>
        <v>54939</v>
      </c>
      <c r="I225" s="193">
        <f>54938.68+0.32</f>
        <v>54939</v>
      </c>
      <c r="J225" s="193">
        <f>54938.68+0.32</f>
        <v>54939</v>
      </c>
      <c r="K225" s="193">
        <f>58916.68+0.32</f>
        <v>58917</v>
      </c>
      <c r="L225" s="193">
        <v>55139</v>
      </c>
      <c r="M225" s="193">
        <v>54639</v>
      </c>
      <c r="N225" s="193">
        <v>55139</v>
      </c>
      <c r="O225" s="193">
        <f>59030.68+0.32</f>
        <v>59031</v>
      </c>
      <c r="P225" s="193">
        <v>76567</v>
      </c>
      <c r="Q225" s="193">
        <v>76767</v>
      </c>
      <c r="R225" s="193">
        <v>72427</v>
      </c>
      <c r="S225" s="193">
        <v>0</v>
      </c>
      <c r="T225" s="193">
        <f t="shared" si="116"/>
        <v>673443</v>
      </c>
      <c r="U225" t="s">
        <v>1</v>
      </c>
      <c r="V225"/>
      <c r="W225"/>
      <c r="X225" s="7" t="s">
        <v>1</v>
      </c>
    </row>
    <row r="226" spans="1:24" ht="15.95" customHeight="1" x14ac:dyDescent="0.25">
      <c r="A226" s="48"/>
      <c r="B226" s="141">
        <v>303</v>
      </c>
      <c r="C226" s="130" t="str">
        <f t="shared" si="106"/>
        <v>E-0303</v>
      </c>
      <c r="D226" s="130">
        <v>176</v>
      </c>
      <c r="E226" s="141" t="s">
        <v>72</v>
      </c>
      <c r="F226" s="347" t="s">
        <v>155</v>
      </c>
      <c r="G226" s="193">
        <v>319000</v>
      </c>
      <c r="H226" s="193">
        <f>24567.32-0.32</f>
        <v>24567</v>
      </c>
      <c r="I226" s="193">
        <f>24567.32-0.32</f>
        <v>24567</v>
      </c>
      <c r="J226" s="193">
        <f>24567.32-0.32</f>
        <v>24567</v>
      </c>
      <c r="K226" s="193">
        <f>26319.33-0.33</f>
        <v>26319</v>
      </c>
      <c r="L226" s="193">
        <v>24567</v>
      </c>
      <c r="M226" s="193">
        <v>24567</v>
      </c>
      <c r="N226" s="193">
        <v>24567</v>
      </c>
      <c r="O226" s="193">
        <f>26319.33-0.33</f>
        <v>26319</v>
      </c>
      <c r="P226" s="193">
        <v>38853</v>
      </c>
      <c r="Q226" s="193">
        <v>38853</v>
      </c>
      <c r="R226" s="193">
        <v>38853</v>
      </c>
      <c r="S226" s="193">
        <v>0</v>
      </c>
      <c r="T226" s="193">
        <f t="shared" si="116"/>
        <v>316599</v>
      </c>
      <c r="U226" t="s">
        <v>1</v>
      </c>
      <c r="V226"/>
      <c r="W226"/>
      <c r="X226" s="7" t="s">
        <v>1</v>
      </c>
    </row>
    <row r="227" spans="1:24" ht="15.95" customHeight="1" x14ac:dyDescent="0.25">
      <c r="A227" s="48"/>
      <c r="B227" s="141">
        <v>304</v>
      </c>
      <c r="C227" s="130" t="str">
        <f t="shared" si="106"/>
        <v>E-0304</v>
      </c>
      <c r="D227" s="130">
        <v>177</v>
      </c>
      <c r="E227" s="141" t="s">
        <v>72</v>
      </c>
      <c r="F227" s="347" t="s">
        <v>156</v>
      </c>
      <c r="G227" s="193">
        <v>88000</v>
      </c>
      <c r="H227" s="193">
        <v>6750</v>
      </c>
      <c r="I227" s="193">
        <v>6750</v>
      </c>
      <c r="J227" s="193">
        <v>6750</v>
      </c>
      <c r="K227" s="193">
        <f>7062.5-0.5</f>
        <v>7062</v>
      </c>
      <c r="L227" s="193">
        <v>5950</v>
      </c>
      <c r="M227" s="193">
        <v>5950</v>
      </c>
      <c r="N227" s="193">
        <v>5950</v>
      </c>
      <c r="O227" s="193">
        <f>6366.5+0.5</f>
        <v>6367</v>
      </c>
      <c r="P227" s="193">
        <v>5950</v>
      </c>
      <c r="Q227" s="193">
        <v>5950</v>
      </c>
      <c r="R227" s="193">
        <v>5950</v>
      </c>
      <c r="S227" s="193">
        <v>0</v>
      </c>
      <c r="T227" s="193">
        <f t="shared" si="116"/>
        <v>69379</v>
      </c>
      <c r="U227" t="s">
        <v>1</v>
      </c>
      <c r="V227"/>
      <c r="W227"/>
    </row>
    <row r="228" spans="1:24" ht="15.95" customHeight="1" x14ac:dyDescent="0.25">
      <c r="A228" s="48"/>
      <c r="B228" s="141">
        <v>305</v>
      </c>
      <c r="C228" s="130" t="str">
        <f t="shared" si="106"/>
        <v>E-0305</v>
      </c>
      <c r="D228" s="130">
        <v>178</v>
      </c>
      <c r="E228" s="141" t="s">
        <v>72</v>
      </c>
      <c r="F228" s="347" t="s">
        <v>157</v>
      </c>
      <c r="G228" s="193">
        <v>267000</v>
      </c>
      <c r="H228" s="193">
        <f>20044.64+0.36+1040+1280</f>
        <v>22365</v>
      </c>
      <c r="I228" s="193">
        <f>19410+192.23+1200+192.33+832+0.44</f>
        <v>21827</v>
      </c>
      <c r="J228" s="193">
        <f>19195+1876</f>
        <v>21071</v>
      </c>
      <c r="K228" s="193">
        <f>20462.85+0.15+64+528+528</f>
        <v>21583</v>
      </c>
      <c r="L228" s="193">
        <f>19308+1488</f>
        <v>20796</v>
      </c>
      <c r="M228" s="193">
        <v>19238</v>
      </c>
      <c r="N228" s="193">
        <f>19378+803.5+600+960+912+704+0.5</f>
        <v>23358</v>
      </c>
      <c r="O228" s="193">
        <f>20048.63+411.3+704+624+0.07</f>
        <v>21788</v>
      </c>
      <c r="P228" s="193">
        <f>18675+640+720</f>
        <v>20035</v>
      </c>
      <c r="Q228" s="193">
        <f>18675+1328</f>
        <v>20003</v>
      </c>
      <c r="R228" s="193">
        <f>18675+1408</f>
        <v>20083</v>
      </c>
      <c r="S228" s="193">
        <v>0</v>
      </c>
      <c r="T228" s="193">
        <f t="shared" si="116"/>
        <v>232147</v>
      </c>
      <c r="U228" t="s">
        <v>1</v>
      </c>
      <c r="V228"/>
      <c r="W228"/>
    </row>
    <row r="229" spans="1:24" ht="15.95" customHeight="1" x14ac:dyDescent="0.25">
      <c r="A229" s="48"/>
      <c r="B229" s="141">
        <v>306</v>
      </c>
      <c r="C229" s="130" t="str">
        <f t="shared" si="106"/>
        <v>E-0306</v>
      </c>
      <c r="D229" s="130">
        <v>179</v>
      </c>
      <c r="E229" s="141" t="s">
        <v>72</v>
      </c>
      <c r="F229" s="347" t="s">
        <v>158</v>
      </c>
      <c r="G229" s="193">
        <v>53000</v>
      </c>
      <c r="H229" s="193">
        <v>4100</v>
      </c>
      <c r="I229" s="193">
        <v>4100</v>
      </c>
      <c r="J229" s="193">
        <v>4100</v>
      </c>
      <c r="K229" s="193">
        <v>4387</v>
      </c>
      <c r="L229" s="193">
        <v>4100</v>
      </c>
      <c r="M229" s="193">
        <v>4100</v>
      </c>
      <c r="N229" s="193">
        <v>4100</v>
      </c>
      <c r="O229" s="193">
        <v>4387</v>
      </c>
      <c r="P229" s="193">
        <v>4100</v>
      </c>
      <c r="Q229" s="193">
        <v>4100</v>
      </c>
      <c r="R229" s="193">
        <v>4100</v>
      </c>
      <c r="S229" s="193">
        <v>0</v>
      </c>
      <c r="T229" s="193">
        <f t="shared" si="116"/>
        <v>45674</v>
      </c>
      <c r="U229" t="s">
        <v>159</v>
      </c>
      <c r="V229"/>
      <c r="W229"/>
    </row>
    <row r="230" spans="1:24" ht="15.95" customHeight="1" x14ac:dyDescent="0.25">
      <c r="A230" s="48"/>
      <c r="B230" s="141">
        <v>307</v>
      </c>
      <c r="C230" s="130" t="str">
        <f t="shared" si="106"/>
        <v>E-0307</v>
      </c>
      <c r="D230" s="130">
        <v>180</v>
      </c>
      <c r="E230" s="141" t="s">
        <v>72</v>
      </c>
      <c r="F230" s="347" t="s">
        <v>160</v>
      </c>
      <c r="G230" s="193">
        <v>122000</v>
      </c>
      <c r="H230" s="193">
        <v>8925</v>
      </c>
      <c r="I230" s="193">
        <v>8925</v>
      </c>
      <c r="J230" s="193">
        <f>9091.67+0.33</f>
        <v>9092</v>
      </c>
      <c r="K230" s="193">
        <f>10484.75+0.25</f>
        <v>10485</v>
      </c>
      <c r="L230" s="193">
        <v>10425</v>
      </c>
      <c r="M230" s="193">
        <v>10425</v>
      </c>
      <c r="N230" s="193">
        <v>10425</v>
      </c>
      <c r="O230" s="193">
        <f>10579.75+0.25</f>
        <v>10580</v>
      </c>
      <c r="P230" s="193">
        <v>10475</v>
      </c>
      <c r="Q230" s="193">
        <v>10450</v>
      </c>
      <c r="R230" s="193">
        <v>10158</v>
      </c>
      <c r="S230" s="193">
        <v>0</v>
      </c>
      <c r="T230" s="193">
        <f t="shared" si="116"/>
        <v>110365</v>
      </c>
      <c r="U230" t="s">
        <v>1</v>
      </c>
      <c r="V230"/>
      <c r="W230"/>
    </row>
    <row r="231" spans="1:24" ht="15.95" customHeight="1" x14ac:dyDescent="0.25">
      <c r="A231" s="48"/>
      <c r="B231" s="141">
        <v>308</v>
      </c>
      <c r="C231" s="130" t="str">
        <f t="shared" si="106"/>
        <v>E-0308</v>
      </c>
      <c r="D231" s="130">
        <v>181</v>
      </c>
      <c r="E231" s="141" t="s">
        <v>72</v>
      </c>
      <c r="F231" s="347" t="s">
        <v>161</v>
      </c>
      <c r="G231" s="193">
        <v>102000</v>
      </c>
      <c r="H231" s="193">
        <v>7850</v>
      </c>
      <c r="I231" s="193">
        <v>7850</v>
      </c>
      <c r="J231" s="193">
        <v>7730</v>
      </c>
      <c r="K231" s="193">
        <f>8399.5+0.5</f>
        <v>8400</v>
      </c>
      <c r="L231" s="193">
        <v>7850</v>
      </c>
      <c r="M231" s="193">
        <v>7850</v>
      </c>
      <c r="N231" s="193">
        <v>7850</v>
      </c>
      <c r="O231" s="193">
        <f>8399.5+0.5</f>
        <v>8400</v>
      </c>
      <c r="P231" s="193">
        <v>7850</v>
      </c>
      <c r="Q231" s="193">
        <v>7850</v>
      </c>
      <c r="R231" s="193">
        <v>7850</v>
      </c>
      <c r="S231" s="193">
        <v>0</v>
      </c>
      <c r="T231" s="193">
        <f t="shared" si="116"/>
        <v>87330</v>
      </c>
      <c r="U231"/>
      <c r="V231"/>
      <c r="W231"/>
    </row>
    <row r="232" spans="1:24" ht="15.95" customHeight="1" x14ac:dyDescent="0.25">
      <c r="A232" s="48"/>
      <c r="B232" s="141">
        <v>309</v>
      </c>
      <c r="C232" s="130" t="str">
        <f t="shared" si="106"/>
        <v>E-0309</v>
      </c>
      <c r="D232" s="130">
        <v>182</v>
      </c>
      <c r="E232" s="141" t="s">
        <v>72</v>
      </c>
      <c r="F232" s="347" t="s">
        <v>162</v>
      </c>
      <c r="G232" s="193">
        <v>36700</v>
      </c>
      <c r="H232" s="193">
        <f>2828.58+0.42</f>
        <v>2829</v>
      </c>
      <c r="I232" s="193">
        <f>2683.58+0.42</f>
        <v>2684</v>
      </c>
      <c r="J232" s="193">
        <f>2828.58+0.42</f>
        <v>2829</v>
      </c>
      <c r="K232" s="193">
        <f>3026.58+0.42</f>
        <v>3027</v>
      </c>
      <c r="L232" s="193">
        <v>2829</v>
      </c>
      <c r="M232" s="193">
        <v>2829</v>
      </c>
      <c r="N232" s="193">
        <v>2622</v>
      </c>
      <c r="O232" s="193">
        <f>3026.58+0.42</f>
        <v>3027</v>
      </c>
      <c r="P232" s="193">
        <f>2804+479</f>
        <v>3283</v>
      </c>
      <c r="Q232" s="193">
        <v>2678</v>
      </c>
      <c r="R232" s="193">
        <v>2829</v>
      </c>
      <c r="S232" s="193">
        <v>0</v>
      </c>
      <c r="T232" s="193">
        <f t="shared" si="116"/>
        <v>31466</v>
      </c>
      <c r="U232"/>
      <c r="V232"/>
      <c r="W232"/>
    </row>
    <row r="233" spans="1:24" ht="15.95" customHeight="1" x14ac:dyDescent="0.25">
      <c r="A233" s="48" t="s">
        <v>1</v>
      </c>
      <c r="B233" s="141">
        <v>310</v>
      </c>
      <c r="C233" s="130" t="str">
        <f t="shared" si="106"/>
        <v>E-0310</v>
      </c>
      <c r="D233" s="130">
        <v>183</v>
      </c>
      <c r="E233" s="141" t="s">
        <v>72</v>
      </c>
      <c r="F233" s="347" t="s">
        <v>163</v>
      </c>
      <c r="G233" s="193">
        <v>94000</v>
      </c>
      <c r="H233" s="193">
        <f>7227.58+0.42</f>
        <v>7228</v>
      </c>
      <c r="I233" s="193">
        <f>7455.4-0.4</f>
        <v>7455</v>
      </c>
      <c r="J233" s="193">
        <f>7430.08-0.08</f>
        <v>7430</v>
      </c>
      <c r="K233" s="193">
        <f>7907.23-0.23</f>
        <v>7907</v>
      </c>
      <c r="L233" s="193">
        <v>7514</v>
      </c>
      <c r="M233" s="193">
        <v>7228</v>
      </c>
      <c r="N233" s="193">
        <v>7228</v>
      </c>
      <c r="O233" s="193">
        <f>8314.72+0.28</f>
        <v>8315</v>
      </c>
      <c r="P233" s="193">
        <v>7198</v>
      </c>
      <c r="Q233" s="193">
        <v>7396</v>
      </c>
      <c r="R233" s="193">
        <v>7552</v>
      </c>
      <c r="S233" s="193">
        <v>0</v>
      </c>
      <c r="T233" s="193">
        <f t="shared" si="116"/>
        <v>82451</v>
      </c>
      <c r="U233"/>
      <c r="V233"/>
      <c r="W233"/>
    </row>
    <row r="234" spans="1:24" ht="15.95" customHeight="1" x14ac:dyDescent="0.25">
      <c r="A234" s="48"/>
      <c r="B234" s="141">
        <v>311</v>
      </c>
      <c r="C234" s="130" t="str">
        <f t="shared" si="106"/>
        <v>E-0311</v>
      </c>
      <c r="D234" s="130">
        <v>184</v>
      </c>
      <c r="E234" s="141" t="s">
        <v>72</v>
      </c>
      <c r="F234" s="347" t="s">
        <v>164</v>
      </c>
      <c r="G234" s="193">
        <v>200000</v>
      </c>
      <c r="H234" s="193">
        <f>16365.33-0.33+309</f>
        <v>16674</v>
      </c>
      <c r="I234" s="193">
        <v>16400</v>
      </c>
      <c r="J234" s="193">
        <v>16125</v>
      </c>
      <c r="K234" s="193">
        <f>17066.5+0.5</f>
        <v>17067</v>
      </c>
      <c r="L234" s="193">
        <v>16610</v>
      </c>
      <c r="M234" s="193">
        <v>16115</v>
      </c>
      <c r="N234" s="193">
        <v>16275</v>
      </c>
      <c r="O234" s="193">
        <v>17518</v>
      </c>
      <c r="P234" s="193">
        <v>15529</v>
      </c>
      <c r="Q234" s="193">
        <v>15687</v>
      </c>
      <c r="R234" s="193">
        <v>15554</v>
      </c>
      <c r="S234" s="193">
        <v>0</v>
      </c>
      <c r="T234" s="193">
        <f t="shared" si="116"/>
        <v>179554</v>
      </c>
      <c r="U234"/>
      <c r="V234"/>
      <c r="W234"/>
    </row>
    <row r="235" spans="1:24" ht="15.95" customHeight="1" x14ac:dyDescent="0.25">
      <c r="A235" s="49">
        <v>4</v>
      </c>
      <c r="B235" s="143">
        <v>4</v>
      </c>
      <c r="C235" s="130" t="str">
        <f t="shared" si="106"/>
        <v>E-04</v>
      </c>
      <c r="D235" s="130">
        <v>185</v>
      </c>
      <c r="E235" s="143" t="s">
        <v>67</v>
      </c>
      <c r="F235" s="195" t="s">
        <v>165</v>
      </c>
      <c r="G235" s="188">
        <f>+G236+G241</f>
        <v>1385000</v>
      </c>
      <c r="H235" s="188">
        <f t="shared" ref="H235:T235" si="117">+H236+H241</f>
        <v>112531</v>
      </c>
      <c r="I235" s="188">
        <f t="shared" si="117"/>
        <v>109280</v>
      </c>
      <c r="J235" s="188">
        <f t="shared" si="117"/>
        <v>109899</v>
      </c>
      <c r="K235" s="188">
        <f t="shared" si="117"/>
        <v>115649</v>
      </c>
      <c r="L235" s="188">
        <f t="shared" si="117"/>
        <v>109172</v>
      </c>
      <c r="M235" s="188">
        <f t="shared" si="117"/>
        <v>108651</v>
      </c>
      <c r="N235" s="188">
        <f t="shared" si="117"/>
        <v>109317</v>
      </c>
      <c r="O235" s="188">
        <f t="shared" si="117"/>
        <v>118402</v>
      </c>
      <c r="P235" s="188">
        <f t="shared" si="117"/>
        <v>109647</v>
      </c>
      <c r="Q235" s="188">
        <f t="shared" si="117"/>
        <v>109559</v>
      </c>
      <c r="R235" s="188">
        <f t="shared" si="117"/>
        <v>108911</v>
      </c>
      <c r="S235" s="188">
        <f t="shared" si="117"/>
        <v>0</v>
      </c>
      <c r="T235" s="188">
        <f t="shared" si="117"/>
        <v>1221018</v>
      </c>
      <c r="U235" s="8" t="s">
        <v>1</v>
      </c>
      <c r="V235" s="8" t="s">
        <v>1</v>
      </c>
      <c r="W235"/>
    </row>
    <row r="236" spans="1:24" ht="15.95" customHeight="1" x14ac:dyDescent="0.25">
      <c r="A236" s="48"/>
      <c r="B236" s="139">
        <v>401</v>
      </c>
      <c r="C236" s="130" t="str">
        <f t="shared" si="106"/>
        <v>E-0401</v>
      </c>
      <c r="D236" s="130">
        <v>186</v>
      </c>
      <c r="E236" s="139" t="s">
        <v>69</v>
      </c>
      <c r="F236" s="189" t="s">
        <v>166</v>
      </c>
      <c r="G236" s="190">
        <f>SUM(G237:G240)</f>
        <v>410800</v>
      </c>
      <c r="H236" s="190">
        <f t="shared" ref="H236:T236" si="118">SUM(H237:H240)</f>
        <v>34545</v>
      </c>
      <c r="I236" s="190">
        <f t="shared" si="118"/>
        <v>34693</v>
      </c>
      <c r="J236" s="190">
        <f t="shared" si="118"/>
        <v>34405</v>
      </c>
      <c r="K236" s="190">
        <f t="shared" si="118"/>
        <v>35472</v>
      </c>
      <c r="L236" s="190">
        <f t="shared" si="118"/>
        <v>35150</v>
      </c>
      <c r="M236" s="190">
        <f t="shared" si="118"/>
        <v>35150</v>
      </c>
      <c r="N236" s="190">
        <f t="shared" si="118"/>
        <v>35816</v>
      </c>
      <c r="O236" s="190">
        <f t="shared" si="118"/>
        <v>37383</v>
      </c>
      <c r="P236" s="190">
        <f t="shared" si="118"/>
        <v>35150</v>
      </c>
      <c r="Q236" s="190">
        <f t="shared" si="118"/>
        <v>35050</v>
      </c>
      <c r="R236" s="190">
        <f t="shared" si="118"/>
        <v>34803</v>
      </c>
      <c r="S236" s="190">
        <f t="shared" si="118"/>
        <v>0</v>
      </c>
      <c r="T236" s="190">
        <f t="shared" si="118"/>
        <v>387617</v>
      </c>
      <c r="U236"/>
      <c r="V236"/>
      <c r="W236" t="s">
        <v>1</v>
      </c>
    </row>
    <row r="237" spans="1:24" ht="15.95" customHeight="1" x14ac:dyDescent="0.25">
      <c r="A237" s="48"/>
      <c r="B237" s="141">
        <v>40101</v>
      </c>
      <c r="C237" s="130" t="str">
        <f t="shared" si="106"/>
        <v>E-040101</v>
      </c>
      <c r="D237" s="130">
        <v>187</v>
      </c>
      <c r="E237" s="141" t="s">
        <v>72</v>
      </c>
      <c r="F237" s="347" t="s">
        <v>167</v>
      </c>
      <c r="G237" s="193">
        <v>53950</v>
      </c>
      <c r="H237" s="193">
        <v>5117</v>
      </c>
      <c r="I237" s="193">
        <f>5341.25-0.25</f>
        <v>5341</v>
      </c>
      <c r="J237" s="193">
        <v>5450</v>
      </c>
      <c r="K237" s="193">
        <f>5831.5+0.5</f>
        <v>5832</v>
      </c>
      <c r="L237" s="193">
        <v>5450</v>
      </c>
      <c r="M237" s="193">
        <v>5450</v>
      </c>
      <c r="N237" s="193">
        <v>5450</v>
      </c>
      <c r="O237" s="193">
        <v>5832</v>
      </c>
      <c r="P237" s="193">
        <v>5450</v>
      </c>
      <c r="Q237" s="193">
        <v>5450</v>
      </c>
      <c r="R237" s="193">
        <v>5450</v>
      </c>
      <c r="S237" s="193">
        <v>0</v>
      </c>
      <c r="T237" s="193">
        <f>SUM(H237:S237)</f>
        <v>60272</v>
      </c>
      <c r="U237"/>
      <c r="V237"/>
      <c r="W237"/>
    </row>
    <row r="238" spans="1:24" ht="15.95" customHeight="1" x14ac:dyDescent="0.25">
      <c r="A238" s="48"/>
      <c r="B238" s="141">
        <v>40102</v>
      </c>
      <c r="C238" s="130" t="str">
        <f t="shared" si="106"/>
        <v>E-040102</v>
      </c>
      <c r="D238" s="130">
        <v>188</v>
      </c>
      <c r="E238" s="141" t="s">
        <v>72</v>
      </c>
      <c r="F238" s="347" t="s">
        <v>168</v>
      </c>
      <c r="G238" s="193">
        <v>115050</v>
      </c>
      <c r="H238" s="193">
        <v>10850</v>
      </c>
      <c r="I238" s="193">
        <f>10632.5+0.5</f>
        <v>10633</v>
      </c>
      <c r="J238" s="193">
        <v>10805</v>
      </c>
      <c r="K238" s="193">
        <f>9469.5+0.5</f>
        <v>9470</v>
      </c>
      <c r="L238" s="193">
        <v>10850</v>
      </c>
      <c r="M238" s="193">
        <v>10850</v>
      </c>
      <c r="N238" s="193">
        <v>10850</v>
      </c>
      <c r="O238" s="193">
        <v>11437</v>
      </c>
      <c r="P238" s="193">
        <v>10850</v>
      </c>
      <c r="Q238" s="193">
        <v>10850</v>
      </c>
      <c r="R238" s="193">
        <v>10850</v>
      </c>
      <c r="S238" s="193">
        <v>0</v>
      </c>
      <c r="T238" s="193">
        <f>SUM(H238:S238)</f>
        <v>118295</v>
      </c>
      <c r="U238"/>
      <c r="V238"/>
      <c r="W238"/>
    </row>
    <row r="239" spans="1:24" ht="15.95" customHeight="1" x14ac:dyDescent="0.25">
      <c r="A239" s="48"/>
      <c r="B239" s="141">
        <v>40103</v>
      </c>
      <c r="C239" s="130" t="str">
        <f t="shared" si="106"/>
        <v>E-040103</v>
      </c>
      <c r="D239" s="130">
        <v>189</v>
      </c>
      <c r="E239" s="141" t="s">
        <v>72</v>
      </c>
      <c r="F239" s="347" t="s">
        <v>169</v>
      </c>
      <c r="G239" s="193">
        <v>165100</v>
      </c>
      <c r="H239" s="193">
        <v>12700</v>
      </c>
      <c r="I239" s="193">
        <f>12700+140.9+0.1</f>
        <v>12841</v>
      </c>
      <c r="J239" s="193">
        <v>12250</v>
      </c>
      <c r="K239" s="193">
        <f>13856.5+0.5</f>
        <v>13857</v>
      </c>
      <c r="L239" s="193">
        <v>12950</v>
      </c>
      <c r="M239" s="193">
        <v>12950</v>
      </c>
      <c r="N239" s="193">
        <v>12950</v>
      </c>
      <c r="O239" s="193">
        <v>13857</v>
      </c>
      <c r="P239" s="193">
        <v>12950</v>
      </c>
      <c r="Q239" s="193">
        <v>12850</v>
      </c>
      <c r="R239" s="193">
        <v>12603</v>
      </c>
      <c r="S239" s="193">
        <v>0</v>
      </c>
      <c r="T239" s="193">
        <f>SUM(H239:S239)</f>
        <v>142758</v>
      </c>
      <c r="U239"/>
      <c r="V239"/>
      <c r="W239"/>
    </row>
    <row r="240" spans="1:24" ht="15.95" customHeight="1" x14ac:dyDescent="0.25">
      <c r="A240" s="48"/>
      <c r="B240" s="141">
        <v>40104</v>
      </c>
      <c r="C240" s="130" t="str">
        <f t="shared" si="106"/>
        <v>E-040104</v>
      </c>
      <c r="D240" s="130">
        <v>190</v>
      </c>
      <c r="E240" s="141" t="s">
        <v>72</v>
      </c>
      <c r="F240" s="347" t="s">
        <v>170</v>
      </c>
      <c r="G240" s="193">
        <v>76700</v>
      </c>
      <c r="H240" s="193">
        <v>5878</v>
      </c>
      <c r="I240" s="193">
        <f>5877.5+0.5</f>
        <v>5878</v>
      </c>
      <c r="J240" s="193">
        <v>5900</v>
      </c>
      <c r="K240" s="193">
        <v>6313</v>
      </c>
      <c r="L240" s="193">
        <v>5900</v>
      </c>
      <c r="M240" s="193">
        <v>5900</v>
      </c>
      <c r="N240" s="193">
        <f>5866+700</f>
        <v>6566</v>
      </c>
      <c r="O240" s="193">
        <v>6257</v>
      </c>
      <c r="P240" s="193">
        <v>5900</v>
      </c>
      <c r="Q240" s="193">
        <v>5900</v>
      </c>
      <c r="R240" s="193">
        <v>5900</v>
      </c>
      <c r="S240" s="193">
        <v>0</v>
      </c>
      <c r="T240" s="193">
        <f>SUM(H240:S240)</f>
        <v>66292</v>
      </c>
      <c r="U240"/>
      <c r="V240"/>
      <c r="W240"/>
    </row>
    <row r="241" spans="1:24" ht="15.95" customHeight="1" x14ac:dyDescent="0.25">
      <c r="A241" s="48"/>
      <c r="B241" s="139">
        <v>402</v>
      </c>
      <c r="C241" s="130" t="str">
        <f t="shared" si="106"/>
        <v>E-0402</v>
      </c>
      <c r="D241" s="130">
        <v>191</v>
      </c>
      <c r="E241" s="139" t="s">
        <v>69</v>
      </c>
      <c r="F241" s="189" t="s">
        <v>171</v>
      </c>
      <c r="G241" s="190">
        <f t="shared" ref="G241:T241" si="119">SUM(G242:G250)</f>
        <v>974200</v>
      </c>
      <c r="H241" s="190">
        <f t="shared" si="119"/>
        <v>77986</v>
      </c>
      <c r="I241" s="190">
        <f>SUM(I242:I250)</f>
        <v>74587</v>
      </c>
      <c r="J241" s="190">
        <f t="shared" si="119"/>
        <v>75494</v>
      </c>
      <c r="K241" s="190">
        <f t="shared" si="119"/>
        <v>80177</v>
      </c>
      <c r="L241" s="190">
        <f t="shared" si="119"/>
        <v>74022</v>
      </c>
      <c r="M241" s="190">
        <f t="shared" si="119"/>
        <v>73501</v>
      </c>
      <c r="N241" s="190">
        <f t="shared" si="119"/>
        <v>73501</v>
      </c>
      <c r="O241" s="190">
        <f t="shared" si="119"/>
        <v>81019</v>
      </c>
      <c r="P241" s="190">
        <f t="shared" si="119"/>
        <v>74497</v>
      </c>
      <c r="Q241" s="190">
        <f t="shared" si="119"/>
        <v>74509</v>
      </c>
      <c r="R241" s="190">
        <f t="shared" si="119"/>
        <v>74108</v>
      </c>
      <c r="S241" s="190">
        <f t="shared" si="119"/>
        <v>0</v>
      </c>
      <c r="T241" s="190">
        <f t="shared" si="119"/>
        <v>833401</v>
      </c>
      <c r="U241"/>
      <c r="V241"/>
      <c r="W241"/>
    </row>
    <row r="242" spans="1:24" ht="15.95" customHeight="1" x14ac:dyDescent="0.25">
      <c r="A242" s="48"/>
      <c r="B242" s="141">
        <v>40201</v>
      </c>
      <c r="C242" s="130" t="str">
        <f t="shared" si="106"/>
        <v>E-040201</v>
      </c>
      <c r="D242" s="130">
        <v>192</v>
      </c>
      <c r="E242" s="141" t="s">
        <v>72</v>
      </c>
      <c r="F242" s="347" t="s">
        <v>172</v>
      </c>
      <c r="G242" s="193">
        <v>200000</v>
      </c>
      <c r="H242" s="193">
        <v>15600</v>
      </c>
      <c r="I242" s="193">
        <v>15600</v>
      </c>
      <c r="J242" s="193">
        <v>15600</v>
      </c>
      <c r="K242" s="193">
        <v>16692</v>
      </c>
      <c r="L242" s="193">
        <v>15600</v>
      </c>
      <c r="M242" s="193">
        <v>15600</v>
      </c>
      <c r="N242" s="193">
        <v>15600</v>
      </c>
      <c r="O242" s="193">
        <v>16692</v>
      </c>
      <c r="P242" s="193">
        <v>15600</v>
      </c>
      <c r="Q242" s="193">
        <v>15600</v>
      </c>
      <c r="R242" s="193">
        <v>15600</v>
      </c>
      <c r="S242" s="193">
        <v>0</v>
      </c>
      <c r="T242" s="193">
        <f t="shared" ref="T242:T250" si="120">SUM(H242:S242)</f>
        <v>173784</v>
      </c>
      <c r="U242" t="s">
        <v>1</v>
      </c>
      <c r="V242"/>
      <c r="W242"/>
    </row>
    <row r="243" spans="1:24" ht="15.95" customHeight="1" x14ac:dyDescent="0.25">
      <c r="A243" s="48"/>
      <c r="B243" s="141">
        <v>40202</v>
      </c>
      <c r="C243" s="130" t="str">
        <f t="shared" si="106"/>
        <v>E-040202</v>
      </c>
      <c r="D243" s="130">
        <v>193</v>
      </c>
      <c r="E243" s="141" t="s">
        <v>72</v>
      </c>
      <c r="F243" s="347" t="s">
        <v>173</v>
      </c>
      <c r="G243" s="193">
        <v>118000</v>
      </c>
      <c r="H243" s="193">
        <f>8600+300</f>
        <v>8900</v>
      </c>
      <c r="I243" s="193">
        <f>8800+300</f>
        <v>9100</v>
      </c>
      <c r="J243" s="193">
        <v>8800</v>
      </c>
      <c r="K243" s="193">
        <f>9416+300</f>
        <v>9716</v>
      </c>
      <c r="L243" s="193">
        <f>8800+300</f>
        <v>9100</v>
      </c>
      <c r="M243" s="193">
        <f>8800+300</f>
        <v>9100</v>
      </c>
      <c r="N243" s="193">
        <f>8800+300</f>
        <v>9100</v>
      </c>
      <c r="O243" s="193">
        <f>9416+300</f>
        <v>9716</v>
      </c>
      <c r="P243" s="193">
        <f>8800+300</f>
        <v>9100</v>
      </c>
      <c r="Q243" s="193">
        <f>8800+300</f>
        <v>9100</v>
      </c>
      <c r="R243" s="193">
        <f>8740+300</f>
        <v>9040</v>
      </c>
      <c r="S243" s="193">
        <v>0</v>
      </c>
      <c r="T243" s="193">
        <f t="shared" si="120"/>
        <v>100772</v>
      </c>
      <c r="U243"/>
      <c r="V243"/>
      <c r="W243"/>
    </row>
    <row r="244" spans="1:24" ht="15.95" customHeight="1" x14ac:dyDescent="0.25">
      <c r="A244" s="48"/>
      <c r="B244" s="141">
        <v>40203</v>
      </c>
      <c r="C244" s="130" t="str">
        <f t="shared" si="106"/>
        <v>E-040203</v>
      </c>
      <c r="D244" s="130">
        <v>194</v>
      </c>
      <c r="E244" s="141" t="s">
        <v>72</v>
      </c>
      <c r="F244" s="347" t="s">
        <v>174</v>
      </c>
      <c r="G244" s="193">
        <v>87000</v>
      </c>
      <c r="H244" s="193">
        <v>6700</v>
      </c>
      <c r="I244" s="193">
        <v>6700</v>
      </c>
      <c r="J244" s="193">
        <v>6700</v>
      </c>
      <c r="K244" s="193">
        <v>7169</v>
      </c>
      <c r="L244" s="193">
        <v>6700</v>
      </c>
      <c r="M244" s="193">
        <v>6700</v>
      </c>
      <c r="N244" s="193">
        <v>6700</v>
      </c>
      <c r="O244" s="193">
        <v>7169</v>
      </c>
      <c r="P244" s="193">
        <v>6700</v>
      </c>
      <c r="Q244" s="193">
        <v>6700</v>
      </c>
      <c r="R244" s="193">
        <v>6700</v>
      </c>
      <c r="S244" s="193">
        <v>0</v>
      </c>
      <c r="T244" s="193">
        <f t="shared" si="120"/>
        <v>74638</v>
      </c>
      <c r="U244"/>
      <c r="V244"/>
      <c r="W244"/>
    </row>
    <row r="245" spans="1:24" ht="15.95" customHeight="1" x14ac:dyDescent="0.25">
      <c r="A245" s="48"/>
      <c r="B245" s="141">
        <v>40204</v>
      </c>
      <c r="C245" s="130" t="str">
        <f t="shared" si="106"/>
        <v>E-040204</v>
      </c>
      <c r="D245" s="130">
        <v>195</v>
      </c>
      <c r="E245" s="141" t="s">
        <v>72</v>
      </c>
      <c r="F245" s="347" t="s">
        <v>175</v>
      </c>
      <c r="G245" s="193">
        <v>156000</v>
      </c>
      <c r="H245" s="193">
        <f>10700+317</f>
        <v>11017</v>
      </c>
      <c r="I245" s="193">
        <v>10350</v>
      </c>
      <c r="J245" s="193">
        <v>10350</v>
      </c>
      <c r="K245" s="193">
        <f>11007.83+0.17</f>
        <v>11008</v>
      </c>
      <c r="L245" s="193">
        <v>10275</v>
      </c>
      <c r="M245" s="193">
        <v>10350</v>
      </c>
      <c r="N245" s="193">
        <v>10350</v>
      </c>
      <c r="O245" s="193">
        <v>11325</v>
      </c>
      <c r="P245" s="193">
        <v>10850</v>
      </c>
      <c r="Q245" s="193">
        <v>10850</v>
      </c>
      <c r="R245" s="193">
        <v>10700</v>
      </c>
      <c r="S245" s="193">
        <v>0</v>
      </c>
      <c r="T245" s="193">
        <f t="shared" si="120"/>
        <v>117425</v>
      </c>
      <c r="U245"/>
      <c r="V245"/>
      <c r="W245"/>
    </row>
    <row r="246" spans="1:24" ht="15.95" customHeight="1" x14ac:dyDescent="0.25">
      <c r="A246" s="48"/>
      <c r="B246" s="141">
        <v>40205</v>
      </c>
      <c r="C246" s="130" t="str">
        <f t="shared" si="106"/>
        <v>E-040205</v>
      </c>
      <c r="D246" s="130">
        <v>196</v>
      </c>
      <c r="E246" s="141" t="s">
        <v>72</v>
      </c>
      <c r="F246" s="347" t="s">
        <v>176</v>
      </c>
      <c r="G246" s="193">
        <v>108000</v>
      </c>
      <c r="H246" s="193">
        <v>8300</v>
      </c>
      <c r="I246" s="193">
        <v>8300</v>
      </c>
      <c r="J246" s="193">
        <v>8300</v>
      </c>
      <c r="K246" s="193">
        <v>8881</v>
      </c>
      <c r="L246" s="193">
        <v>8300</v>
      </c>
      <c r="M246" s="193">
        <v>8300</v>
      </c>
      <c r="N246" s="193">
        <v>8380</v>
      </c>
      <c r="O246" s="193">
        <v>9095</v>
      </c>
      <c r="P246" s="193">
        <v>8500</v>
      </c>
      <c r="Q246" s="193">
        <v>8500</v>
      </c>
      <c r="R246" s="193">
        <v>8485</v>
      </c>
      <c r="S246" s="193">
        <v>0</v>
      </c>
      <c r="T246" s="193">
        <f t="shared" si="120"/>
        <v>93341</v>
      </c>
      <c r="U246"/>
      <c r="V246"/>
      <c r="W246"/>
    </row>
    <row r="247" spans="1:24" ht="15.95" customHeight="1" x14ac:dyDescent="0.25">
      <c r="A247" s="48"/>
      <c r="B247" s="141">
        <v>40206</v>
      </c>
      <c r="C247" s="130" t="str">
        <f t="shared" si="106"/>
        <v>E-040206</v>
      </c>
      <c r="D247" s="130">
        <v>197</v>
      </c>
      <c r="E247" s="141" t="s">
        <v>72</v>
      </c>
      <c r="F247" s="347" t="s">
        <v>177</v>
      </c>
      <c r="G247" s="193">
        <v>57200</v>
      </c>
      <c r="H247" s="193">
        <v>5650</v>
      </c>
      <c r="I247" s="193">
        <v>5650</v>
      </c>
      <c r="J247" s="193">
        <v>5650</v>
      </c>
      <c r="K247" s="193">
        <f>6045.5+0.5</f>
        <v>6046</v>
      </c>
      <c r="L247" s="193">
        <v>4750</v>
      </c>
      <c r="M247" s="193">
        <v>4450</v>
      </c>
      <c r="N247" s="193">
        <v>3996</v>
      </c>
      <c r="O247" s="193">
        <v>4762</v>
      </c>
      <c r="P247" s="193">
        <v>4450</v>
      </c>
      <c r="Q247" s="193">
        <v>4450</v>
      </c>
      <c r="R247" s="193">
        <v>4450</v>
      </c>
      <c r="S247" s="193">
        <v>0</v>
      </c>
      <c r="T247" s="193">
        <f t="shared" si="120"/>
        <v>54304</v>
      </c>
      <c r="U247"/>
      <c r="V247"/>
      <c r="W247"/>
    </row>
    <row r="248" spans="1:24" ht="15.95" customHeight="1" x14ac:dyDescent="0.25">
      <c r="A248" s="48"/>
      <c r="B248" s="141">
        <v>40207</v>
      </c>
      <c r="C248" s="130" t="str">
        <f t="shared" si="106"/>
        <v>E-040207</v>
      </c>
      <c r="D248" s="130">
        <v>198</v>
      </c>
      <c r="E248" s="141" t="s">
        <v>72</v>
      </c>
      <c r="F248" s="347" t="s">
        <v>178</v>
      </c>
      <c r="G248" s="193">
        <v>85000</v>
      </c>
      <c r="H248" s="193">
        <v>8822</v>
      </c>
      <c r="I248" s="193">
        <v>6590</v>
      </c>
      <c r="J248" s="193">
        <f>7386.75+0.25</f>
        <v>7387</v>
      </c>
      <c r="K248" s="193">
        <f>7068.48-0.48</f>
        <v>7068</v>
      </c>
      <c r="L248" s="193">
        <v>6590</v>
      </c>
      <c r="M248" s="193">
        <f>6606.32-0.32</f>
        <v>6606</v>
      </c>
      <c r="N248" s="193">
        <v>6735</v>
      </c>
      <c r="O248" s="193">
        <v>8663</v>
      </c>
      <c r="P248" s="193">
        <v>6590</v>
      </c>
      <c r="Q248" s="193">
        <v>6602</v>
      </c>
      <c r="R248" s="193">
        <v>6530</v>
      </c>
      <c r="S248" s="193">
        <v>0</v>
      </c>
      <c r="T248" s="193">
        <f t="shared" si="120"/>
        <v>78183</v>
      </c>
      <c r="U248"/>
      <c r="V248"/>
      <c r="W248"/>
    </row>
    <row r="249" spans="1:24" ht="15.95" customHeight="1" x14ac:dyDescent="0.25">
      <c r="A249" s="48"/>
      <c r="B249" s="141">
        <v>40208</v>
      </c>
      <c r="C249" s="130" t="str">
        <f t="shared" si="106"/>
        <v>E-040208</v>
      </c>
      <c r="D249" s="130">
        <v>199</v>
      </c>
      <c r="E249" s="141" t="s">
        <v>72</v>
      </c>
      <c r="F249" s="347" t="s">
        <v>179</v>
      </c>
      <c r="G249" s="193">
        <v>87000</v>
      </c>
      <c r="H249" s="193">
        <f>6970+127</f>
        <v>7097</v>
      </c>
      <c r="I249" s="193">
        <f>6397.14-0.14</f>
        <v>6397</v>
      </c>
      <c r="J249" s="193">
        <f>6807.14-0.14</f>
        <v>6807</v>
      </c>
      <c r="K249" s="193">
        <f>7283.64+0.36</f>
        <v>7284</v>
      </c>
      <c r="L249" s="193">
        <v>6807</v>
      </c>
      <c r="M249" s="193">
        <f>6494.64+0.36</f>
        <v>6495</v>
      </c>
      <c r="N249" s="193">
        <v>6740</v>
      </c>
      <c r="O249" s="193">
        <v>7284</v>
      </c>
      <c r="P249" s="193">
        <v>6807</v>
      </c>
      <c r="Q249" s="193">
        <v>6807</v>
      </c>
      <c r="R249" s="193">
        <v>6703</v>
      </c>
      <c r="S249" s="193">
        <v>0</v>
      </c>
      <c r="T249" s="193">
        <f t="shared" si="120"/>
        <v>75228</v>
      </c>
      <c r="U249"/>
      <c r="V249"/>
      <c r="W249"/>
    </row>
    <row r="250" spans="1:24" ht="15.95" customHeight="1" x14ac:dyDescent="0.25">
      <c r="A250" s="48"/>
      <c r="B250" s="141">
        <v>40209</v>
      </c>
      <c r="C250" s="130" t="str">
        <f t="shared" si="106"/>
        <v>E-040209</v>
      </c>
      <c r="D250" s="130">
        <v>200</v>
      </c>
      <c r="E250" s="141" t="s">
        <v>72</v>
      </c>
      <c r="F250" s="347" t="s">
        <v>180</v>
      </c>
      <c r="G250" s="193">
        <v>76000</v>
      </c>
      <c r="H250" s="193">
        <v>5900</v>
      </c>
      <c r="I250" s="193">
        <v>5900</v>
      </c>
      <c r="J250" s="193">
        <v>5900</v>
      </c>
      <c r="K250" s="193">
        <v>6313</v>
      </c>
      <c r="L250" s="193">
        <v>5900</v>
      </c>
      <c r="M250" s="193">
        <v>5900</v>
      </c>
      <c r="N250" s="193">
        <v>5900</v>
      </c>
      <c r="O250" s="193">
        <v>6313</v>
      </c>
      <c r="P250" s="193">
        <v>5900</v>
      </c>
      <c r="Q250" s="193">
        <v>5900</v>
      </c>
      <c r="R250" s="193">
        <v>5900</v>
      </c>
      <c r="S250" s="193">
        <v>0</v>
      </c>
      <c r="T250" s="193">
        <f t="shared" si="120"/>
        <v>65726</v>
      </c>
      <c r="U250"/>
      <c r="V250"/>
      <c r="W250" t="s">
        <v>1</v>
      </c>
      <c r="X250" s="7" t="s">
        <v>1</v>
      </c>
    </row>
    <row r="251" spans="1:24" ht="15.95" customHeight="1" x14ac:dyDescent="0.25">
      <c r="A251" s="49">
        <v>5</v>
      </c>
      <c r="B251" s="131">
        <v>5</v>
      </c>
      <c r="C251" s="130" t="str">
        <f t="shared" si="106"/>
        <v>E-05</v>
      </c>
      <c r="D251" s="130">
        <v>201</v>
      </c>
      <c r="E251" s="131" t="s">
        <v>67</v>
      </c>
      <c r="F251" s="50" t="s">
        <v>31</v>
      </c>
      <c r="G251" s="188">
        <f>SUM(G252:G255)</f>
        <v>1300000</v>
      </c>
      <c r="H251" s="188">
        <f>SUM(H252:H255)</f>
        <v>94779</v>
      </c>
      <c r="I251" s="188">
        <f t="shared" ref="I251:T251" si="121">SUM(I252:I255)</f>
        <v>94339</v>
      </c>
      <c r="J251" s="188">
        <f t="shared" si="121"/>
        <v>95110</v>
      </c>
      <c r="K251" s="188">
        <f t="shared" si="121"/>
        <v>103894</v>
      </c>
      <c r="L251" s="188">
        <f t="shared" si="121"/>
        <v>95061</v>
      </c>
      <c r="M251" s="188">
        <f t="shared" si="121"/>
        <v>94561</v>
      </c>
      <c r="N251" s="188">
        <f t="shared" si="121"/>
        <v>94537</v>
      </c>
      <c r="O251" s="188">
        <f t="shared" si="121"/>
        <v>106122</v>
      </c>
      <c r="P251" s="188">
        <f t="shared" si="121"/>
        <v>95464</v>
      </c>
      <c r="Q251" s="188">
        <f t="shared" si="121"/>
        <v>100019</v>
      </c>
      <c r="R251" s="188">
        <f t="shared" si="121"/>
        <v>92414</v>
      </c>
      <c r="S251" s="188">
        <f t="shared" si="121"/>
        <v>0</v>
      </c>
      <c r="T251" s="188">
        <f t="shared" si="121"/>
        <v>1066300</v>
      </c>
      <c r="U251"/>
      <c r="V251" s="8" t="s">
        <v>1</v>
      </c>
      <c r="W251" t="s">
        <v>1</v>
      </c>
      <c r="X251" s="7" t="s">
        <v>1</v>
      </c>
    </row>
    <row r="252" spans="1:24" ht="15.95" customHeight="1" x14ac:dyDescent="0.25">
      <c r="A252" s="48"/>
      <c r="B252" s="141">
        <v>501</v>
      </c>
      <c r="C252" s="130" t="str">
        <f t="shared" si="106"/>
        <v>E-0501</v>
      </c>
      <c r="D252" s="130">
        <v>202</v>
      </c>
      <c r="E252" s="141" t="s">
        <v>72</v>
      </c>
      <c r="F252" s="347" t="s">
        <v>167</v>
      </c>
      <c r="G252" s="193">
        <v>216200</v>
      </c>
      <c r="H252" s="193">
        <v>15183</v>
      </c>
      <c r="I252" s="193">
        <f>14900.5+0.5</f>
        <v>14901</v>
      </c>
      <c r="J252" s="193">
        <f>14923.75+0.25</f>
        <v>14924</v>
      </c>
      <c r="K252" s="193">
        <f>16560.18-0.18</f>
        <v>16560</v>
      </c>
      <c r="L252" s="193">
        <v>15653</v>
      </c>
      <c r="M252" s="193">
        <f>15279+325.92+0.08</f>
        <v>15605</v>
      </c>
      <c r="N252" s="193">
        <f>14623+326</f>
        <v>14949</v>
      </c>
      <c r="O252" s="193">
        <f>15999+3925.92+0.08</f>
        <v>19925</v>
      </c>
      <c r="P252" s="193">
        <v>14953</v>
      </c>
      <c r="Q252" s="193">
        <f>14953+3075.69+0.31</f>
        <v>18029</v>
      </c>
      <c r="R252" s="193">
        <v>14812</v>
      </c>
      <c r="S252" s="193">
        <v>0</v>
      </c>
      <c r="T252" s="193">
        <f>SUM(H252:S252)</f>
        <v>175494</v>
      </c>
      <c r="U252"/>
      <c r="V252"/>
      <c r="W252"/>
      <c r="X252" s="7" t="s">
        <v>1</v>
      </c>
    </row>
    <row r="253" spans="1:24" ht="15.95" customHeight="1" x14ac:dyDescent="0.25">
      <c r="A253" s="48"/>
      <c r="B253" s="141">
        <v>502</v>
      </c>
      <c r="C253" s="130" t="str">
        <f t="shared" si="106"/>
        <v>E-0502</v>
      </c>
      <c r="D253" s="130">
        <v>203</v>
      </c>
      <c r="E253" s="141" t="s">
        <v>72</v>
      </c>
      <c r="F253" s="347" t="s">
        <v>168</v>
      </c>
      <c r="G253" s="193">
        <v>482800</v>
      </c>
      <c r="H253" s="193">
        <f>34125+105</f>
        <v>34230</v>
      </c>
      <c r="I253" s="193">
        <f>34100.25-0.25</f>
        <v>34100</v>
      </c>
      <c r="J253" s="193">
        <f>34372.5+0.5</f>
        <v>34373</v>
      </c>
      <c r="K253" s="193">
        <f>38918.58+0.42</f>
        <v>38919</v>
      </c>
      <c r="L253" s="193">
        <v>34373</v>
      </c>
      <c r="M253" s="193">
        <v>34153</v>
      </c>
      <c r="N253" s="193">
        <v>34100</v>
      </c>
      <c r="O253" s="193">
        <v>36779</v>
      </c>
      <c r="P253" s="193">
        <v>34373</v>
      </c>
      <c r="Q253" s="193">
        <f>34375+1335.6+0.4</f>
        <v>35711</v>
      </c>
      <c r="R253" s="193">
        <v>34303</v>
      </c>
      <c r="S253" s="193">
        <v>0</v>
      </c>
      <c r="T253" s="193">
        <f>SUM(H253:S253)</f>
        <v>385414</v>
      </c>
      <c r="U253"/>
      <c r="V253"/>
      <c r="W253"/>
    </row>
    <row r="254" spans="1:24" ht="15.95" customHeight="1" x14ac:dyDescent="0.25">
      <c r="A254" s="48"/>
      <c r="B254" s="141">
        <v>503</v>
      </c>
      <c r="C254" s="130" t="str">
        <f t="shared" si="106"/>
        <v>E-0503</v>
      </c>
      <c r="D254" s="130">
        <v>204</v>
      </c>
      <c r="E254" s="141" t="s">
        <v>72</v>
      </c>
      <c r="F254" s="347" t="s">
        <v>169</v>
      </c>
      <c r="G254" s="193">
        <v>421000</v>
      </c>
      <c r="H254" s="193">
        <v>31126</v>
      </c>
      <c r="I254" s="193">
        <v>31133</v>
      </c>
      <c r="J254" s="193">
        <v>31948</v>
      </c>
      <c r="K254" s="193">
        <f>33753.15-0.15</f>
        <v>33753</v>
      </c>
      <c r="L254" s="193">
        <v>31545</v>
      </c>
      <c r="M254" s="193">
        <v>31545</v>
      </c>
      <c r="N254" s="193">
        <v>31221</v>
      </c>
      <c r="O254" s="193">
        <v>33753</v>
      </c>
      <c r="P254" s="193">
        <v>31545</v>
      </c>
      <c r="Q254" s="193">
        <f>31475+898</f>
        <v>32373</v>
      </c>
      <c r="R254" s="193">
        <v>31371</v>
      </c>
      <c r="S254" s="193">
        <v>0</v>
      </c>
      <c r="T254" s="193">
        <f>SUM(H254:S254)</f>
        <v>351313</v>
      </c>
      <c r="U254"/>
      <c r="V254"/>
      <c r="W254"/>
    </row>
    <row r="255" spans="1:24" ht="15.95" customHeight="1" x14ac:dyDescent="0.25">
      <c r="A255" s="48"/>
      <c r="B255" s="141">
        <v>504</v>
      </c>
      <c r="C255" s="130" t="str">
        <f t="shared" si="106"/>
        <v>E-0504</v>
      </c>
      <c r="D255" s="130">
        <v>205</v>
      </c>
      <c r="E255" s="141" t="s">
        <v>72</v>
      </c>
      <c r="F255" s="347" t="s">
        <v>170</v>
      </c>
      <c r="G255" s="193">
        <v>180000</v>
      </c>
      <c r="H255" s="193">
        <v>14240</v>
      </c>
      <c r="I255" s="193">
        <v>14205</v>
      </c>
      <c r="J255" s="193">
        <v>13865</v>
      </c>
      <c r="K255" s="193">
        <f>14661.8+0.2</f>
        <v>14662</v>
      </c>
      <c r="L255" s="193">
        <v>13490</v>
      </c>
      <c r="M255" s="193">
        <f>12723+535.48-0.48</f>
        <v>13258</v>
      </c>
      <c r="N255" s="193">
        <f>13732+535</f>
        <v>14267</v>
      </c>
      <c r="O255" s="193">
        <f>15130+535.48-0.48</f>
        <v>15665</v>
      </c>
      <c r="P255" s="193">
        <f>13883+710.48-0.48</f>
        <v>14593</v>
      </c>
      <c r="Q255" s="193">
        <f>12650+1036.27+220.22-0.49</f>
        <v>13906</v>
      </c>
      <c r="R255" s="193">
        <v>11928</v>
      </c>
      <c r="S255" s="193">
        <v>0</v>
      </c>
      <c r="T255" s="193">
        <f>SUM(H255:S255)</f>
        <v>154079</v>
      </c>
      <c r="U255"/>
      <c r="V255"/>
      <c r="W255"/>
      <c r="X255"/>
    </row>
    <row r="256" spans="1:24" ht="15.95" customHeight="1" x14ac:dyDescent="0.25">
      <c r="A256" s="49">
        <v>6</v>
      </c>
      <c r="B256" s="131">
        <v>6</v>
      </c>
      <c r="C256" s="130" t="str">
        <f t="shared" si="106"/>
        <v>E-06</v>
      </c>
      <c r="D256" s="130">
        <v>206</v>
      </c>
      <c r="E256" s="131" t="s">
        <v>67</v>
      </c>
      <c r="F256" s="50" t="s">
        <v>32</v>
      </c>
      <c r="G256" s="188">
        <f>SUM(G257:G260)</f>
        <v>1550000</v>
      </c>
      <c r="H256" s="188">
        <f>SUM(H257:H260)</f>
        <v>0</v>
      </c>
      <c r="I256" s="188">
        <f t="shared" ref="I256:S256" si="122">SUM(I257:I260)</f>
        <v>75528</v>
      </c>
      <c r="J256" s="188">
        <f t="shared" si="122"/>
        <v>160117</v>
      </c>
      <c r="K256" s="188">
        <f t="shared" si="122"/>
        <v>182067</v>
      </c>
      <c r="L256" s="188">
        <f t="shared" si="122"/>
        <v>132554</v>
      </c>
      <c r="M256" s="188">
        <f t="shared" si="122"/>
        <v>168383</v>
      </c>
      <c r="N256" s="188">
        <f t="shared" si="122"/>
        <v>126557</v>
      </c>
      <c r="O256" s="188">
        <f t="shared" si="122"/>
        <v>34770</v>
      </c>
      <c r="P256" s="188">
        <f t="shared" si="122"/>
        <v>166723</v>
      </c>
      <c r="Q256" s="188">
        <f t="shared" si="122"/>
        <v>150713</v>
      </c>
      <c r="R256" s="188">
        <f t="shared" si="122"/>
        <v>161356</v>
      </c>
      <c r="S256" s="188">
        <f t="shared" si="122"/>
        <v>0</v>
      </c>
      <c r="T256" s="188">
        <f>SUM(T257:T260)</f>
        <v>1358768</v>
      </c>
      <c r="U256"/>
      <c r="V256" s="8" t="s">
        <v>1</v>
      </c>
      <c r="W256"/>
      <c r="X256"/>
    </row>
    <row r="257" spans="1:24" ht="15.95" customHeight="1" x14ac:dyDescent="0.25">
      <c r="A257" s="48"/>
      <c r="B257" s="141">
        <v>601</v>
      </c>
      <c r="C257" s="130" t="str">
        <f t="shared" si="106"/>
        <v>E-0601</v>
      </c>
      <c r="D257" s="130">
        <v>207</v>
      </c>
      <c r="E257" s="141" t="s">
        <v>72</v>
      </c>
      <c r="F257" s="347" t="s">
        <v>167</v>
      </c>
      <c r="G257" s="193">
        <v>400000</v>
      </c>
      <c r="H257" s="193">
        <v>0</v>
      </c>
      <c r="I257" s="193">
        <f>16863.46+1262.52+0.02</f>
        <v>18126</v>
      </c>
      <c r="J257" s="193">
        <f>35271.42+3035.9-0.32</f>
        <v>38307</v>
      </c>
      <c r="K257" s="193">
        <f>3440.53+40013.34+0.13</f>
        <v>43453.999999999993</v>
      </c>
      <c r="L257" s="193">
        <f>32845.59+0.41</f>
        <v>32846</v>
      </c>
      <c r="M257" s="193">
        <f>36963.3+3254.14-0.44</f>
        <v>40217</v>
      </c>
      <c r="N257" s="193">
        <f>28434.1+2458.77+0.13</f>
        <v>30893</v>
      </c>
      <c r="O257" s="193">
        <f>7503.99+0.01+1016</f>
        <v>8520</v>
      </c>
      <c r="P257" s="193">
        <f>34664.38+3251.26+0.36</f>
        <v>37916</v>
      </c>
      <c r="Q257" s="193">
        <f>33695.23-0.23</f>
        <v>33695</v>
      </c>
      <c r="R257" s="193">
        <f>37720.86+0.14</f>
        <v>37721</v>
      </c>
      <c r="S257" s="193">
        <v>0</v>
      </c>
      <c r="T257" s="193">
        <f>SUM(H257:S257)</f>
        <v>321695</v>
      </c>
      <c r="U257"/>
      <c r="V257"/>
      <c r="W257"/>
      <c r="X257"/>
    </row>
    <row r="258" spans="1:24" ht="15.95" customHeight="1" x14ac:dyDescent="0.25">
      <c r="A258" s="48"/>
      <c r="B258" s="141">
        <v>602</v>
      </c>
      <c r="C258" s="130" t="str">
        <f t="shared" si="106"/>
        <v>E-0602</v>
      </c>
      <c r="D258" s="130">
        <v>208</v>
      </c>
      <c r="E258" s="141" t="s">
        <v>72</v>
      </c>
      <c r="F258" s="347" t="s">
        <v>168</v>
      </c>
      <c r="G258" s="193">
        <v>550000</v>
      </c>
      <c r="H258" s="193">
        <v>0</v>
      </c>
      <c r="I258" s="193">
        <f>27492.78+416.4-0.18</f>
        <v>27909</v>
      </c>
      <c r="J258" s="193">
        <f>57737.54+921.6-0.14</f>
        <v>58659</v>
      </c>
      <c r="K258" s="193">
        <f>948.6+65592.96+0.44</f>
        <v>66542.000000000015</v>
      </c>
      <c r="L258" s="193">
        <f>48677.36-0.36</f>
        <v>48677</v>
      </c>
      <c r="M258" s="193">
        <f>61157.72+948.6-0.32</f>
        <v>62106</v>
      </c>
      <c r="N258" s="193">
        <f>41790.11+448.14-0.25</f>
        <v>42238</v>
      </c>
      <c r="O258" s="193">
        <f>6751.47-0.47</f>
        <v>6751</v>
      </c>
      <c r="P258" s="193">
        <f>61829.13+1441.8+0.07</f>
        <v>63271</v>
      </c>
      <c r="Q258" s="193">
        <v>58383</v>
      </c>
      <c r="R258" s="193">
        <f>61324.42-0.42</f>
        <v>61324</v>
      </c>
      <c r="S258" s="193">
        <v>0</v>
      </c>
      <c r="T258" s="193">
        <f>SUM(H258:S258)</f>
        <v>495860</v>
      </c>
      <c r="U258"/>
      <c r="V258"/>
      <c r="W258"/>
      <c r="X258"/>
    </row>
    <row r="259" spans="1:24" ht="15.95" customHeight="1" x14ac:dyDescent="0.25">
      <c r="A259" s="48"/>
      <c r="B259" s="141">
        <v>603</v>
      </c>
      <c r="C259" s="130" t="str">
        <f t="shared" si="106"/>
        <v>E-0603</v>
      </c>
      <c r="D259" s="130">
        <v>209</v>
      </c>
      <c r="E259" s="141" t="s">
        <v>72</v>
      </c>
      <c r="F259" s="347" t="s">
        <v>169</v>
      </c>
      <c r="G259" s="193">
        <v>470000</v>
      </c>
      <c r="H259" s="193">
        <v>0</v>
      </c>
      <c r="I259" s="193">
        <f>22182.28+367.2-0.48</f>
        <v>22549</v>
      </c>
      <c r="J259" s="193">
        <f>280+47953.62+734.4-0.02</f>
        <v>48968.000000000007</v>
      </c>
      <c r="K259" s="193">
        <f>1159+54817.22-0.22</f>
        <v>55976</v>
      </c>
      <c r="L259" s="193">
        <f>39412.18-0.18</f>
        <v>39412</v>
      </c>
      <c r="M259" s="193">
        <f>49834.7+1128.2+0.1</f>
        <v>50962.999999999993</v>
      </c>
      <c r="N259" s="193">
        <f>36939.78+810.76+0.46</f>
        <v>37751</v>
      </c>
      <c r="O259" s="193">
        <f>12747.32-0.32</f>
        <v>12747</v>
      </c>
      <c r="P259" s="193">
        <f>50849.5+1033.2+0.3</f>
        <v>51883</v>
      </c>
      <c r="Q259" s="193">
        <f>46463.3-0.3</f>
        <v>46463</v>
      </c>
      <c r="R259" s="193">
        <f>48996.68+0.32</f>
        <v>48997</v>
      </c>
      <c r="S259" s="193">
        <v>0</v>
      </c>
      <c r="T259" s="193">
        <f>SUM(H259:S259)</f>
        <v>415709</v>
      </c>
      <c r="U259"/>
      <c r="V259"/>
      <c r="W259"/>
      <c r="X259"/>
    </row>
    <row r="260" spans="1:24" ht="15.95" customHeight="1" x14ac:dyDescent="0.25">
      <c r="A260" s="48"/>
      <c r="B260" s="141">
        <v>604</v>
      </c>
      <c r="C260" s="130" t="str">
        <f t="shared" si="106"/>
        <v>E-0604</v>
      </c>
      <c r="D260" s="130">
        <v>210</v>
      </c>
      <c r="E260" s="141" t="s">
        <v>72</v>
      </c>
      <c r="F260" s="347" t="s">
        <v>181</v>
      </c>
      <c r="G260" s="193">
        <v>130000</v>
      </c>
      <c r="H260" s="193">
        <v>0</v>
      </c>
      <c r="I260" s="193">
        <f>6730.22+214.2-0.42</f>
        <v>6944</v>
      </c>
      <c r="J260" s="193">
        <f>13822.63+360+0.37</f>
        <v>14183</v>
      </c>
      <c r="K260" s="193">
        <f>226.8+15868.62-0.42</f>
        <v>16095</v>
      </c>
      <c r="L260" s="193">
        <f>11619.12-0.12</f>
        <v>11619</v>
      </c>
      <c r="M260" s="193">
        <f>14870.06+226.8+0.14</f>
        <v>15096.999999999998</v>
      </c>
      <c r="N260" s="193">
        <f>15569.43+105.15+0.42</f>
        <v>15675</v>
      </c>
      <c r="O260" s="193">
        <f>6752.03-0.03</f>
        <v>6752</v>
      </c>
      <c r="P260" s="193">
        <f>13279.74+373.34-0.08</f>
        <v>13653</v>
      </c>
      <c r="Q260" s="193">
        <f>12171.88+0.12</f>
        <v>12172</v>
      </c>
      <c r="R260" s="193">
        <f>13313.56+0.44</f>
        <v>13314</v>
      </c>
      <c r="S260" s="193">
        <v>0</v>
      </c>
      <c r="T260" s="193">
        <f>SUM(H260:S260)</f>
        <v>125504</v>
      </c>
      <c r="U260"/>
      <c r="V260"/>
      <c r="W260"/>
      <c r="X260"/>
    </row>
    <row r="261" spans="1:24" ht="15.95" customHeight="1" x14ac:dyDescent="0.25">
      <c r="A261" s="49">
        <v>7</v>
      </c>
      <c r="B261" s="143">
        <v>7</v>
      </c>
      <c r="C261" s="130" t="str">
        <f t="shared" si="106"/>
        <v>E-07</v>
      </c>
      <c r="D261" s="130">
        <v>211</v>
      </c>
      <c r="E261" s="143" t="s">
        <v>67</v>
      </c>
      <c r="F261" s="195" t="s">
        <v>33</v>
      </c>
      <c r="G261" s="188">
        <f t="shared" ref="G261:T261" si="123">+G262+G290</f>
        <v>1956000</v>
      </c>
      <c r="H261" s="188">
        <f t="shared" si="123"/>
        <v>174769</v>
      </c>
      <c r="I261" s="188">
        <f t="shared" si="123"/>
        <v>214329</v>
      </c>
      <c r="J261" s="188">
        <f t="shared" si="123"/>
        <v>243391</v>
      </c>
      <c r="K261" s="188">
        <f t="shared" si="123"/>
        <v>17552</v>
      </c>
      <c r="L261" s="188">
        <f t="shared" si="123"/>
        <v>82957</v>
      </c>
      <c r="M261" s="188">
        <f t="shared" si="123"/>
        <v>16765</v>
      </c>
      <c r="N261" s="188">
        <f t="shared" si="123"/>
        <v>334501</v>
      </c>
      <c r="O261" s="188">
        <f t="shared" si="123"/>
        <v>154139</v>
      </c>
      <c r="P261" s="188">
        <f t="shared" si="123"/>
        <v>154166</v>
      </c>
      <c r="Q261" s="188">
        <f t="shared" si="123"/>
        <v>153103</v>
      </c>
      <c r="R261" s="188">
        <f t="shared" si="123"/>
        <v>17180</v>
      </c>
      <c r="S261" s="188">
        <f t="shared" si="123"/>
        <v>0</v>
      </c>
      <c r="T261" s="188">
        <f t="shared" si="123"/>
        <v>1562852</v>
      </c>
      <c r="U261" s="8" t="s">
        <v>1</v>
      </c>
      <c r="V261">
        <f>+PRESUPUESTO22[[#This Row],[EJECUTADO ]]-SUM(PRESUPUESTO22[[#This Row],[   ENERO ]:[DIC]])</f>
        <v>0</v>
      </c>
      <c r="W261"/>
      <c r="X261"/>
    </row>
    <row r="262" spans="1:24" ht="15.95" customHeight="1" x14ac:dyDescent="0.25">
      <c r="A262" s="48">
        <v>7.1</v>
      </c>
      <c r="B262" s="139">
        <v>701</v>
      </c>
      <c r="C262" s="130" t="str">
        <f t="shared" si="106"/>
        <v>E-0701</v>
      </c>
      <c r="D262" s="130">
        <v>212</v>
      </c>
      <c r="E262" s="139" t="s">
        <v>69</v>
      </c>
      <c r="F262" s="189" t="s">
        <v>182</v>
      </c>
      <c r="G262" s="348">
        <v>495000</v>
      </c>
      <c r="H262" s="348">
        <f>+H263</f>
        <v>37195</v>
      </c>
      <c r="I262" s="348">
        <f t="shared" ref="I262:T262" si="124">+I263</f>
        <v>76755</v>
      </c>
      <c r="J262" s="348">
        <f t="shared" si="124"/>
        <v>105817</v>
      </c>
      <c r="K262" s="348">
        <f t="shared" si="124"/>
        <v>17552</v>
      </c>
      <c r="L262" s="348">
        <f t="shared" si="124"/>
        <v>82957</v>
      </c>
      <c r="M262" s="348">
        <f t="shared" si="124"/>
        <v>16765</v>
      </c>
      <c r="N262" s="348">
        <f t="shared" si="124"/>
        <v>59353</v>
      </c>
      <c r="O262" s="348">
        <f t="shared" si="124"/>
        <v>16565</v>
      </c>
      <c r="P262" s="348">
        <f t="shared" si="124"/>
        <v>16592</v>
      </c>
      <c r="Q262" s="348">
        <f t="shared" si="124"/>
        <v>16577</v>
      </c>
      <c r="R262" s="348">
        <f t="shared" si="124"/>
        <v>17180</v>
      </c>
      <c r="S262" s="348">
        <f t="shared" si="124"/>
        <v>0</v>
      </c>
      <c r="T262" s="348">
        <f t="shared" si="124"/>
        <v>463308</v>
      </c>
      <c r="U262"/>
      <c r="V262">
        <f>+PRESUPUESTO22[[#This Row],[EJECUTADO ]]-SUM(PRESUPUESTO22[[#This Row],[   ENERO ]:[DIC]])</f>
        <v>0</v>
      </c>
      <c r="W262"/>
      <c r="X262"/>
    </row>
    <row r="263" spans="1:24" ht="15.95" customHeight="1" x14ac:dyDescent="0.25">
      <c r="A263" s="48">
        <v>1</v>
      </c>
      <c r="B263" s="145">
        <v>70101</v>
      </c>
      <c r="C263" s="130" t="str">
        <f t="shared" si="106"/>
        <v>E-070101</v>
      </c>
      <c r="D263" s="130">
        <v>213</v>
      </c>
      <c r="E263" s="145" t="s">
        <v>69</v>
      </c>
      <c r="F263" s="200" t="s">
        <v>183</v>
      </c>
      <c r="G263" s="349">
        <f t="shared" ref="G263:T263" si="125">+G264+G270+G272+G276+G279</f>
        <v>495000</v>
      </c>
      <c r="H263" s="349">
        <f t="shared" si="125"/>
        <v>37195</v>
      </c>
      <c r="I263" s="349">
        <f t="shared" si="125"/>
        <v>76755</v>
      </c>
      <c r="J263" s="349">
        <f t="shared" si="125"/>
        <v>105817</v>
      </c>
      <c r="K263" s="349">
        <f t="shared" si="125"/>
        <v>17552</v>
      </c>
      <c r="L263" s="349">
        <f t="shared" si="125"/>
        <v>82957</v>
      </c>
      <c r="M263" s="349">
        <f t="shared" si="125"/>
        <v>16765</v>
      </c>
      <c r="N263" s="349">
        <f t="shared" si="125"/>
        <v>59353</v>
      </c>
      <c r="O263" s="349">
        <f t="shared" si="125"/>
        <v>16565</v>
      </c>
      <c r="P263" s="349">
        <f t="shared" si="125"/>
        <v>16592</v>
      </c>
      <c r="Q263" s="349">
        <f t="shared" si="125"/>
        <v>16577</v>
      </c>
      <c r="R263" s="349">
        <f t="shared" si="125"/>
        <v>17180</v>
      </c>
      <c r="S263" s="349">
        <f t="shared" si="125"/>
        <v>0</v>
      </c>
      <c r="T263" s="349">
        <f t="shared" si="125"/>
        <v>463308</v>
      </c>
      <c r="U263"/>
      <c r="V263">
        <f>+PRESUPUESTO22[[#This Row],[EJECUTADO ]]-SUM(PRESUPUESTO22[[#This Row],[   ENERO ]:[DIC]])</f>
        <v>0</v>
      </c>
      <c r="W263"/>
    </row>
    <row r="264" spans="1:24" ht="15.95" customHeight="1" x14ac:dyDescent="0.25">
      <c r="A264" s="48">
        <v>1</v>
      </c>
      <c r="B264" s="140">
        <v>7010101</v>
      </c>
      <c r="C264" s="130" t="str">
        <f t="shared" si="106"/>
        <v>E-07010101</v>
      </c>
      <c r="D264" s="130">
        <v>214</v>
      </c>
      <c r="E264" s="140" t="s">
        <v>69</v>
      </c>
      <c r="F264" s="199" t="s">
        <v>184</v>
      </c>
      <c r="G264" s="201">
        <f t="shared" ref="G264:T264" si="126">SUM(G265:G269)</f>
        <v>276300</v>
      </c>
      <c r="H264" s="201">
        <f t="shared" si="126"/>
        <v>15632</v>
      </c>
      <c r="I264" s="201">
        <f t="shared" si="126"/>
        <v>22293</v>
      </c>
      <c r="J264" s="201">
        <f t="shared" si="126"/>
        <v>95046</v>
      </c>
      <c r="K264" s="201">
        <f t="shared" si="126"/>
        <v>15971</v>
      </c>
      <c r="L264" s="201">
        <f t="shared" si="126"/>
        <v>15974</v>
      </c>
      <c r="M264" s="201">
        <f t="shared" si="126"/>
        <v>16004</v>
      </c>
      <c r="N264" s="201">
        <f t="shared" si="126"/>
        <v>15989</v>
      </c>
      <c r="O264" s="201">
        <f t="shared" si="126"/>
        <v>16000</v>
      </c>
      <c r="P264" s="201">
        <f t="shared" si="126"/>
        <v>16027</v>
      </c>
      <c r="Q264" s="201">
        <f t="shared" si="126"/>
        <v>16012</v>
      </c>
      <c r="R264" s="201">
        <f t="shared" si="126"/>
        <v>15999</v>
      </c>
      <c r="S264" s="201">
        <f t="shared" si="126"/>
        <v>0</v>
      </c>
      <c r="T264" s="201">
        <f t="shared" si="126"/>
        <v>260947</v>
      </c>
      <c r="U264"/>
      <c r="V264">
        <f>+PRESUPUESTO22[[#This Row],[EJECUTADO ]]-SUM(PRESUPUESTO22[[#This Row],[   ENERO ]:[DIC]])</f>
        <v>0</v>
      </c>
      <c r="W264"/>
    </row>
    <row r="265" spans="1:24" ht="21.75" customHeight="1" x14ac:dyDescent="0.25">
      <c r="A265" s="51"/>
      <c r="B265" s="141">
        <v>701010101</v>
      </c>
      <c r="C265" s="130" t="str">
        <f t="shared" si="106"/>
        <v>E-0701010101</v>
      </c>
      <c r="D265" s="130">
        <v>215</v>
      </c>
      <c r="E265" s="141" t="s">
        <v>72</v>
      </c>
      <c r="F265" s="347" t="s">
        <v>185</v>
      </c>
      <c r="G265" s="193">
        <v>5000</v>
      </c>
      <c r="H265" s="193">
        <f>32.12+72.48+0.4</f>
        <v>105</v>
      </c>
      <c r="I265" s="193">
        <f>65.96+340.14+72.48+375.1+0.32</f>
        <v>854.00000000000011</v>
      </c>
      <c r="J265" s="193">
        <f>5.99+72.48+340.14+0.39</f>
        <v>419</v>
      </c>
      <c r="K265" s="193">
        <f>30.98+340.14+72.48+0.4</f>
        <v>444</v>
      </c>
      <c r="L265" s="193">
        <f>78.49+340.14+27.97+0.4</f>
        <v>447</v>
      </c>
      <c r="M265" s="193">
        <f>58.56+78.49+340.14-0.19</f>
        <v>477</v>
      </c>
      <c r="N265" s="193">
        <f>78.49+43.64+340.14-0.27</f>
        <v>462</v>
      </c>
      <c r="O265" s="193">
        <f>78.49+54.73+340.14-0.36</f>
        <v>473</v>
      </c>
      <c r="P265" s="193">
        <f>81.56+340.14+78.49-0.19</f>
        <v>500</v>
      </c>
      <c r="Q265" s="193">
        <f>66.66+340.14+78.49-0.29</f>
        <v>484.99999999999994</v>
      </c>
      <c r="R265" s="193">
        <f>52.9+78.49+340.14+0.47</f>
        <v>472</v>
      </c>
      <c r="S265" s="193">
        <v>0</v>
      </c>
      <c r="T265" s="193">
        <f>SUM(H265:S265)</f>
        <v>5138</v>
      </c>
      <c r="U265"/>
      <c r="V265">
        <f>+PRESUPUESTO22[[#This Row],[EJECUTADO ]]-SUM(PRESUPUESTO22[[#This Row],[   ENERO ]:[DIC]])</f>
        <v>0</v>
      </c>
      <c r="W265"/>
    </row>
    <row r="266" spans="1:24" ht="24" customHeight="1" x14ac:dyDescent="0.25">
      <c r="A266" s="51"/>
      <c r="B266" s="141">
        <v>701010102</v>
      </c>
      <c r="C266" s="130" t="str">
        <f t="shared" si="106"/>
        <v>E-0701010102</v>
      </c>
      <c r="D266" s="130">
        <v>216</v>
      </c>
      <c r="E266" s="141" t="s">
        <v>72</v>
      </c>
      <c r="F266" s="347" t="s">
        <v>186</v>
      </c>
      <c r="G266" s="193">
        <v>143600</v>
      </c>
      <c r="H266" s="193">
        <v>11967</v>
      </c>
      <c r="I266" s="193">
        <v>11967</v>
      </c>
      <c r="J266" s="193">
        <v>11967</v>
      </c>
      <c r="K266" s="193">
        <v>11967</v>
      </c>
      <c r="L266" s="193">
        <v>11967</v>
      </c>
      <c r="M266" s="193">
        <v>11967</v>
      </c>
      <c r="N266" s="193">
        <v>11967</v>
      </c>
      <c r="O266" s="193">
        <v>11967</v>
      </c>
      <c r="P266" s="193">
        <v>11967</v>
      </c>
      <c r="Q266" s="193">
        <v>11967</v>
      </c>
      <c r="R266" s="193">
        <v>11967</v>
      </c>
      <c r="S266" s="193">
        <v>0</v>
      </c>
      <c r="T266" s="193">
        <f>SUM(H266:S266)</f>
        <v>131637</v>
      </c>
      <c r="U266"/>
      <c r="V266">
        <f>+PRESUPUESTO22[[#This Row],[EJECUTADO ]]-SUM(PRESUPUESTO22[[#This Row],[   ENERO ]:[DIC]])</f>
        <v>0</v>
      </c>
      <c r="W266"/>
    </row>
    <row r="267" spans="1:24" ht="28.5" customHeight="1" x14ac:dyDescent="0.25">
      <c r="A267" s="51"/>
      <c r="B267" s="141">
        <v>701010103</v>
      </c>
      <c r="C267" s="130" t="str">
        <f t="shared" ref="C267:C333" si="127">"E"&amp;"-0"&amp;B267</f>
        <v>E-0701010103</v>
      </c>
      <c r="D267" s="130">
        <v>217</v>
      </c>
      <c r="E267" s="141" t="s">
        <v>72</v>
      </c>
      <c r="F267" s="347" t="s">
        <v>187</v>
      </c>
      <c r="G267" s="193">
        <v>42700</v>
      </c>
      <c r="H267" s="193">
        <f t="shared" ref="H267:R267" si="128">3559.5+0.5</f>
        <v>3560</v>
      </c>
      <c r="I267" s="193">
        <f t="shared" si="128"/>
        <v>3560</v>
      </c>
      <c r="J267" s="193">
        <f t="shared" si="128"/>
        <v>3560</v>
      </c>
      <c r="K267" s="193">
        <f t="shared" si="128"/>
        <v>3560</v>
      </c>
      <c r="L267" s="193">
        <f t="shared" si="128"/>
        <v>3560</v>
      </c>
      <c r="M267" s="193">
        <f t="shared" si="128"/>
        <v>3560</v>
      </c>
      <c r="N267" s="193">
        <f t="shared" si="128"/>
        <v>3560</v>
      </c>
      <c r="O267" s="193">
        <f t="shared" si="128"/>
        <v>3560</v>
      </c>
      <c r="P267" s="193">
        <f t="shared" si="128"/>
        <v>3560</v>
      </c>
      <c r="Q267" s="193">
        <f t="shared" si="128"/>
        <v>3560</v>
      </c>
      <c r="R267" s="193">
        <f t="shared" si="128"/>
        <v>3560</v>
      </c>
      <c r="S267" s="193">
        <v>0</v>
      </c>
      <c r="T267" s="193">
        <f>SUM(H267:S267)</f>
        <v>39160</v>
      </c>
      <c r="U267"/>
      <c r="V267">
        <f>+PRESUPUESTO22[[#This Row],[EJECUTADO ]]-SUM(PRESUPUESTO22[[#This Row],[   ENERO ]:[DIC]])</f>
        <v>0</v>
      </c>
      <c r="W267"/>
    </row>
    <row r="268" spans="1:24" ht="27" customHeight="1" x14ac:dyDescent="0.25">
      <c r="A268" s="51"/>
      <c r="B268" s="141">
        <v>701010104</v>
      </c>
      <c r="C268" s="130" t="str">
        <f t="shared" si="127"/>
        <v>E-0701010104</v>
      </c>
      <c r="D268" s="130">
        <v>218</v>
      </c>
      <c r="E268" s="141" t="s">
        <v>72</v>
      </c>
      <c r="F268" s="347" t="s">
        <v>188</v>
      </c>
      <c r="G268" s="193">
        <v>5900</v>
      </c>
      <c r="H268" s="193">
        <v>0</v>
      </c>
      <c r="I268" s="193">
        <v>5912</v>
      </c>
      <c r="J268" s="193">
        <v>0</v>
      </c>
      <c r="K268" s="193">
        <v>0</v>
      </c>
      <c r="L268" s="193">
        <v>0</v>
      </c>
      <c r="M268" s="193">
        <v>0</v>
      </c>
      <c r="N268" s="193">
        <v>0</v>
      </c>
      <c r="O268" s="193">
        <v>0</v>
      </c>
      <c r="P268" s="193">
        <v>0</v>
      </c>
      <c r="Q268" s="193">
        <v>0</v>
      </c>
      <c r="R268" s="193">
        <v>0</v>
      </c>
      <c r="S268" s="193">
        <v>0</v>
      </c>
      <c r="T268" s="193">
        <f>SUM(H268:S268)</f>
        <v>5912</v>
      </c>
      <c r="U268"/>
      <c r="V268">
        <f>+PRESUPUESTO22[[#This Row],[EJECUTADO ]]-SUM(PRESUPUESTO22[[#This Row],[   ENERO ]:[DIC]])</f>
        <v>0</v>
      </c>
      <c r="W268"/>
    </row>
    <row r="269" spans="1:24" ht="18" customHeight="1" x14ac:dyDescent="0.25">
      <c r="A269" s="51"/>
      <c r="B269" s="141">
        <v>701010105</v>
      </c>
      <c r="C269" s="130" t="str">
        <f t="shared" si="127"/>
        <v>E-0701010105</v>
      </c>
      <c r="D269" s="130">
        <v>219</v>
      </c>
      <c r="E269" s="141" t="s">
        <v>72</v>
      </c>
      <c r="F269" s="347" t="s">
        <v>189</v>
      </c>
      <c r="G269" s="193">
        <v>79100</v>
      </c>
      <c r="H269" s="193">
        <v>0</v>
      </c>
      <c r="I269" s="193">
        <v>0</v>
      </c>
      <c r="J269" s="193">
        <v>79100</v>
      </c>
      <c r="K269" s="193">
        <v>0</v>
      </c>
      <c r="L269" s="193">
        <v>0</v>
      </c>
      <c r="M269" s="193">
        <v>0</v>
      </c>
      <c r="N269" s="193">
        <v>0</v>
      </c>
      <c r="O269" s="193">
        <v>0</v>
      </c>
      <c r="P269" s="193">
        <v>0</v>
      </c>
      <c r="Q269" s="193">
        <v>0</v>
      </c>
      <c r="R269" s="193">
        <v>0</v>
      </c>
      <c r="S269" s="193">
        <v>0</v>
      </c>
      <c r="T269" s="193">
        <f>SUM(H269:S269)</f>
        <v>79100</v>
      </c>
      <c r="U269"/>
      <c r="V269">
        <f>+PRESUPUESTO22[[#This Row],[EJECUTADO ]]-SUM(PRESUPUESTO22[[#This Row],[   ENERO ]:[DIC]])</f>
        <v>0</v>
      </c>
      <c r="W269"/>
    </row>
    <row r="270" spans="1:24" ht="15.95" customHeight="1" x14ac:dyDescent="0.25">
      <c r="A270" s="48">
        <v>2</v>
      </c>
      <c r="B270" s="140">
        <v>7010102</v>
      </c>
      <c r="C270" s="130" t="str">
        <f t="shared" si="127"/>
        <v>E-07010102</v>
      </c>
      <c r="D270" s="130">
        <v>220</v>
      </c>
      <c r="E270" s="140" t="s">
        <v>69</v>
      </c>
      <c r="F270" s="199" t="s">
        <v>190</v>
      </c>
      <c r="G270" s="350">
        <f>SUM(G271)</f>
        <v>6800</v>
      </c>
      <c r="H270" s="350">
        <f>SUM(H271)</f>
        <v>565</v>
      </c>
      <c r="I270" s="350">
        <f t="shared" ref="I270:S270" si="129">SUM(I271)</f>
        <v>565</v>
      </c>
      <c r="J270" s="350">
        <f t="shared" si="129"/>
        <v>565</v>
      </c>
      <c r="K270" s="350">
        <f t="shared" si="129"/>
        <v>565</v>
      </c>
      <c r="L270" s="350">
        <f t="shared" si="129"/>
        <v>565</v>
      </c>
      <c r="M270" s="350">
        <f t="shared" si="129"/>
        <v>565</v>
      </c>
      <c r="N270" s="350">
        <f t="shared" si="129"/>
        <v>565</v>
      </c>
      <c r="O270" s="350">
        <f t="shared" si="129"/>
        <v>565</v>
      </c>
      <c r="P270" s="350">
        <f t="shared" si="129"/>
        <v>565</v>
      </c>
      <c r="Q270" s="350">
        <f t="shared" si="129"/>
        <v>565</v>
      </c>
      <c r="R270" s="350">
        <f t="shared" si="129"/>
        <v>565</v>
      </c>
      <c r="S270" s="350">
        <f t="shared" si="129"/>
        <v>0</v>
      </c>
      <c r="T270" s="350">
        <f>SUM(T271)</f>
        <v>6215</v>
      </c>
      <c r="U270"/>
      <c r="V270">
        <f>+PRESUPUESTO22[[#This Row],[EJECUTADO ]]-SUM(PRESUPUESTO22[[#This Row],[   ENERO ]:[DIC]])</f>
        <v>0</v>
      </c>
      <c r="W270"/>
    </row>
    <row r="271" spans="1:24" ht="24" customHeight="1" x14ac:dyDescent="0.25">
      <c r="A271" s="51"/>
      <c r="B271" s="141">
        <v>701010201</v>
      </c>
      <c r="C271" s="130" t="str">
        <f t="shared" si="127"/>
        <v>E-0701010201</v>
      </c>
      <c r="D271" s="130">
        <v>221</v>
      </c>
      <c r="E271" s="141" t="s">
        <v>72</v>
      </c>
      <c r="F271" s="347" t="s">
        <v>191</v>
      </c>
      <c r="G271" s="193">
        <v>6800</v>
      </c>
      <c r="H271" s="193">
        <v>565</v>
      </c>
      <c r="I271" s="193">
        <v>565</v>
      </c>
      <c r="J271" s="193">
        <v>565</v>
      </c>
      <c r="K271" s="193">
        <v>565</v>
      </c>
      <c r="L271" s="193">
        <v>565</v>
      </c>
      <c r="M271" s="193">
        <v>565</v>
      </c>
      <c r="N271" s="193">
        <v>565</v>
      </c>
      <c r="O271" s="193">
        <v>565</v>
      </c>
      <c r="P271" s="193">
        <v>565</v>
      </c>
      <c r="Q271" s="193">
        <v>565</v>
      </c>
      <c r="R271" s="193">
        <v>565</v>
      </c>
      <c r="S271" s="193">
        <v>0</v>
      </c>
      <c r="T271" s="193">
        <f>SUM(H271:S271)</f>
        <v>6215</v>
      </c>
      <c r="U271"/>
      <c r="V271">
        <f>+PRESUPUESTO22[[#This Row],[EJECUTADO ]]-SUM(PRESUPUESTO22[[#This Row],[   ENERO ]:[DIC]])</f>
        <v>0</v>
      </c>
      <c r="W271"/>
    </row>
    <row r="272" spans="1:24" ht="15.95" customHeight="1" x14ac:dyDescent="0.25">
      <c r="A272" s="48">
        <v>3</v>
      </c>
      <c r="B272" s="140">
        <v>7010103</v>
      </c>
      <c r="C272" s="130" t="str">
        <f t="shared" si="127"/>
        <v>E-07010103</v>
      </c>
      <c r="D272" s="130">
        <v>222</v>
      </c>
      <c r="E272" s="140" t="s">
        <v>69</v>
      </c>
      <c r="F272" s="199" t="s">
        <v>192</v>
      </c>
      <c r="G272" s="350">
        <f t="shared" ref="G272:S272" si="130">SUM(G273:G275)</f>
        <v>17000</v>
      </c>
      <c r="H272" s="350">
        <f t="shared" si="130"/>
        <v>0</v>
      </c>
      <c r="I272" s="350">
        <f t="shared" si="130"/>
        <v>1362</v>
      </c>
      <c r="J272" s="350">
        <f t="shared" si="130"/>
        <v>10206</v>
      </c>
      <c r="K272" s="350">
        <f t="shared" si="130"/>
        <v>1016</v>
      </c>
      <c r="L272" s="350">
        <f t="shared" si="130"/>
        <v>0</v>
      </c>
      <c r="M272" s="350">
        <f t="shared" si="130"/>
        <v>196</v>
      </c>
      <c r="N272" s="350">
        <f t="shared" si="130"/>
        <v>1356</v>
      </c>
      <c r="O272" s="350">
        <f t="shared" si="130"/>
        <v>0</v>
      </c>
      <c r="P272" s="350">
        <f t="shared" si="130"/>
        <v>0</v>
      </c>
      <c r="Q272" s="350">
        <f t="shared" si="130"/>
        <v>0</v>
      </c>
      <c r="R272" s="350">
        <f t="shared" si="130"/>
        <v>616</v>
      </c>
      <c r="S272" s="350">
        <f t="shared" si="130"/>
        <v>0</v>
      </c>
      <c r="T272" s="350">
        <f>SUM(T273:T275)</f>
        <v>14752</v>
      </c>
      <c r="U272"/>
      <c r="V272">
        <f>+PRESUPUESTO22[[#This Row],[EJECUTADO ]]-SUM(PRESUPUESTO22[[#This Row],[   ENERO ]:[DIC]])</f>
        <v>0</v>
      </c>
      <c r="W272"/>
    </row>
    <row r="273" spans="1:23" ht="15.95" customHeight="1" x14ac:dyDescent="0.25">
      <c r="A273" s="51"/>
      <c r="B273" s="141">
        <v>701010301</v>
      </c>
      <c r="C273" s="130" t="str">
        <f t="shared" si="127"/>
        <v>E-0701010301</v>
      </c>
      <c r="D273" s="130">
        <v>223</v>
      </c>
      <c r="E273" s="141" t="s">
        <v>72</v>
      </c>
      <c r="F273" s="347" t="s">
        <v>193</v>
      </c>
      <c r="G273" s="351">
        <v>2000</v>
      </c>
      <c r="H273" s="193">
        <v>0</v>
      </c>
      <c r="I273" s="193">
        <v>0</v>
      </c>
      <c r="J273" s="193">
        <v>0</v>
      </c>
      <c r="K273" s="193">
        <v>0</v>
      </c>
      <c r="L273" s="193">
        <v>0</v>
      </c>
      <c r="M273" s="193">
        <v>0</v>
      </c>
      <c r="N273" s="193">
        <v>1356</v>
      </c>
      <c r="O273" s="193">
        <v>0</v>
      </c>
      <c r="P273" s="193">
        <v>0</v>
      </c>
      <c r="Q273" s="193">
        <v>0</v>
      </c>
      <c r="R273" s="193">
        <v>0</v>
      </c>
      <c r="S273" s="193">
        <v>0</v>
      </c>
      <c r="T273" s="193">
        <f>SUM(H273:S273)</f>
        <v>1356</v>
      </c>
      <c r="U273"/>
      <c r="V273">
        <f>+PRESUPUESTO22[[#This Row],[EJECUTADO ]]-SUM(PRESUPUESTO22[[#This Row],[   ENERO ]:[DIC]])</f>
        <v>0</v>
      </c>
      <c r="W273"/>
    </row>
    <row r="274" spans="1:23" ht="15.95" customHeight="1" x14ac:dyDescent="0.25">
      <c r="A274" s="51"/>
      <c r="B274" s="141">
        <v>701010302</v>
      </c>
      <c r="C274" s="130" t="str">
        <f t="shared" si="127"/>
        <v>E-0701010302</v>
      </c>
      <c r="D274" s="130">
        <v>224</v>
      </c>
      <c r="E274" s="141" t="s">
        <v>72</v>
      </c>
      <c r="F274" s="347" t="s">
        <v>194</v>
      </c>
      <c r="G274" s="351">
        <v>10000</v>
      </c>
      <c r="H274" s="193">
        <v>0</v>
      </c>
      <c r="I274" s="193">
        <v>0</v>
      </c>
      <c r="J274" s="193">
        <f>8060.29-0.29</f>
        <v>8060</v>
      </c>
      <c r="K274" s="193">
        <v>678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93">
        <v>0</v>
      </c>
      <c r="R274" s="193">
        <v>0</v>
      </c>
      <c r="S274" s="193">
        <v>0</v>
      </c>
      <c r="T274" s="193">
        <f>SUM(H274:S274)</f>
        <v>8738</v>
      </c>
      <c r="U274"/>
      <c r="V274">
        <f>+PRESUPUESTO22[[#This Row],[EJECUTADO ]]-SUM(PRESUPUESTO22[[#This Row],[   ENERO ]:[DIC]])</f>
        <v>0</v>
      </c>
      <c r="W274"/>
    </row>
    <row r="275" spans="1:23" ht="15.95" customHeight="1" x14ac:dyDescent="0.25">
      <c r="A275" s="51"/>
      <c r="B275" s="141">
        <v>701010303</v>
      </c>
      <c r="C275" s="130" t="str">
        <f t="shared" si="127"/>
        <v>E-0701010303</v>
      </c>
      <c r="D275" s="130">
        <v>225</v>
      </c>
      <c r="E275" s="141" t="s">
        <v>72</v>
      </c>
      <c r="F275" s="347" t="s">
        <v>195</v>
      </c>
      <c r="G275" s="351">
        <v>5000</v>
      </c>
      <c r="H275" s="193">
        <v>0</v>
      </c>
      <c r="I275" s="193">
        <v>1362</v>
      </c>
      <c r="J275" s="193">
        <f>195.5+60+1495.33+395.2-0.03</f>
        <v>2145.9999999999995</v>
      </c>
      <c r="K275" s="193">
        <f>53+285</f>
        <v>338</v>
      </c>
      <c r="L275" s="193">
        <v>0</v>
      </c>
      <c r="M275" s="193">
        <f>19.5+50.5+126</f>
        <v>196</v>
      </c>
      <c r="N275" s="193">
        <v>0</v>
      </c>
      <c r="O275" s="193">
        <v>0</v>
      </c>
      <c r="P275" s="193">
        <v>0</v>
      </c>
      <c r="Q275" s="193">
        <v>0</v>
      </c>
      <c r="R275" s="193">
        <f>615.5+0.5</f>
        <v>616</v>
      </c>
      <c r="S275" s="193">
        <v>0</v>
      </c>
      <c r="T275" s="193">
        <f>SUM(H275:S275)</f>
        <v>4658</v>
      </c>
      <c r="U275"/>
      <c r="V275">
        <f>+PRESUPUESTO22[[#This Row],[EJECUTADO ]]-SUM(PRESUPUESTO22[[#This Row],[   ENERO ]:[DIC]])</f>
        <v>0</v>
      </c>
      <c r="W275"/>
    </row>
    <row r="276" spans="1:23" ht="15.95" customHeight="1" x14ac:dyDescent="0.25">
      <c r="A276" s="48">
        <v>4</v>
      </c>
      <c r="B276" s="140">
        <v>7010104</v>
      </c>
      <c r="C276" s="130" t="str">
        <f t="shared" si="127"/>
        <v>E-07010104</v>
      </c>
      <c r="D276" s="130">
        <v>226</v>
      </c>
      <c r="E276" s="140" t="s">
        <v>69</v>
      </c>
      <c r="F276" s="199" t="s">
        <v>196</v>
      </c>
      <c r="G276" s="350">
        <f>SUM(G277:G278)</f>
        <v>5150</v>
      </c>
      <c r="H276" s="350">
        <f>SUM(H277:H278)</f>
        <v>0</v>
      </c>
      <c r="I276" s="350">
        <f t="shared" ref="I276:T276" si="131">SUM(I277:I278)</f>
        <v>0</v>
      </c>
      <c r="J276" s="350">
        <f t="shared" si="131"/>
        <v>0</v>
      </c>
      <c r="K276" s="350">
        <f t="shared" si="131"/>
        <v>0</v>
      </c>
      <c r="L276" s="350">
        <f t="shared" si="131"/>
        <v>1300</v>
      </c>
      <c r="M276" s="350">
        <f t="shared" si="131"/>
        <v>0</v>
      </c>
      <c r="N276" s="350">
        <f t="shared" si="131"/>
        <v>226</v>
      </c>
      <c r="O276" s="350">
        <f t="shared" si="131"/>
        <v>0</v>
      </c>
      <c r="P276" s="350">
        <f t="shared" si="131"/>
        <v>0</v>
      </c>
      <c r="Q276" s="350">
        <f t="shared" si="131"/>
        <v>0</v>
      </c>
      <c r="R276" s="350">
        <f t="shared" si="131"/>
        <v>0</v>
      </c>
      <c r="S276" s="350">
        <f t="shared" si="131"/>
        <v>0</v>
      </c>
      <c r="T276" s="350">
        <f t="shared" si="131"/>
        <v>1526</v>
      </c>
      <c r="U276"/>
      <c r="V276">
        <f>+PRESUPUESTO22[[#This Row],[EJECUTADO ]]-SUM(PRESUPUESTO22[[#This Row],[   ENERO ]:[DIC]])</f>
        <v>0</v>
      </c>
      <c r="W276"/>
    </row>
    <row r="277" spans="1:23" ht="27" customHeight="1" x14ac:dyDescent="0.25">
      <c r="A277" s="51"/>
      <c r="B277" s="141">
        <v>701010401</v>
      </c>
      <c r="C277" s="130" t="str">
        <f t="shared" si="127"/>
        <v>E-0701010401</v>
      </c>
      <c r="D277" s="130">
        <v>227</v>
      </c>
      <c r="E277" s="141" t="s">
        <v>72</v>
      </c>
      <c r="F277" s="347" t="s">
        <v>197</v>
      </c>
      <c r="G277" s="351">
        <v>3650</v>
      </c>
      <c r="H277" s="193">
        <v>0</v>
      </c>
      <c r="I277" s="193">
        <v>0</v>
      </c>
      <c r="J277" s="193">
        <v>0</v>
      </c>
      <c r="K277" s="193">
        <v>0</v>
      </c>
      <c r="L277" s="193">
        <v>0</v>
      </c>
      <c r="M277" s="193">
        <v>0</v>
      </c>
      <c r="N277" s="193">
        <v>226</v>
      </c>
      <c r="O277" s="193">
        <v>0</v>
      </c>
      <c r="P277" s="193">
        <v>0</v>
      </c>
      <c r="Q277" s="193">
        <v>0</v>
      </c>
      <c r="R277" s="193">
        <v>0</v>
      </c>
      <c r="S277" s="193">
        <v>0</v>
      </c>
      <c r="T277" s="193">
        <f>SUM(H277:S277)</f>
        <v>226</v>
      </c>
      <c r="U277"/>
      <c r="V277">
        <f>+PRESUPUESTO22[[#This Row],[EJECUTADO ]]-SUM(PRESUPUESTO22[[#This Row],[   ENERO ]:[DIC]])</f>
        <v>0</v>
      </c>
      <c r="W277"/>
    </row>
    <row r="278" spans="1:23" ht="15.75" customHeight="1" x14ac:dyDescent="0.25">
      <c r="A278" s="51"/>
      <c r="B278" s="141">
        <v>701010402</v>
      </c>
      <c r="C278" s="130" t="str">
        <f t="shared" si="127"/>
        <v>E-0701010402</v>
      </c>
      <c r="D278" s="130">
        <v>228</v>
      </c>
      <c r="E278" s="141" t="s">
        <v>72</v>
      </c>
      <c r="F278" s="347" t="s">
        <v>198</v>
      </c>
      <c r="G278" s="351">
        <v>1500</v>
      </c>
      <c r="H278" s="193">
        <v>0</v>
      </c>
      <c r="I278" s="193">
        <v>0</v>
      </c>
      <c r="J278" s="193">
        <v>0</v>
      </c>
      <c r="K278" s="193">
        <v>0</v>
      </c>
      <c r="L278" s="193">
        <f>1299.5+0.5</f>
        <v>1300</v>
      </c>
      <c r="M278" s="193">
        <v>0</v>
      </c>
      <c r="N278" s="193">
        <v>0</v>
      </c>
      <c r="O278" s="193">
        <v>0</v>
      </c>
      <c r="P278" s="193">
        <v>0</v>
      </c>
      <c r="Q278" s="193">
        <v>0</v>
      </c>
      <c r="R278" s="193">
        <v>0</v>
      </c>
      <c r="S278" s="193">
        <v>0</v>
      </c>
      <c r="T278" s="193">
        <f>SUM(H278:S278)</f>
        <v>1300</v>
      </c>
      <c r="U278"/>
      <c r="V278">
        <f>+PRESUPUESTO22[[#This Row],[EJECUTADO ]]-SUM(PRESUPUESTO22[[#This Row],[   ENERO ]:[DIC]])</f>
        <v>0</v>
      </c>
      <c r="W278"/>
    </row>
    <row r="279" spans="1:23" ht="15.95" customHeight="1" x14ac:dyDescent="0.25">
      <c r="A279" s="51">
        <v>5</v>
      </c>
      <c r="B279" s="140">
        <v>7010105</v>
      </c>
      <c r="C279" s="130" t="str">
        <f t="shared" si="127"/>
        <v>E-07010105</v>
      </c>
      <c r="D279" s="130">
        <v>229</v>
      </c>
      <c r="E279" s="140" t="s">
        <v>69</v>
      </c>
      <c r="F279" s="199" t="s">
        <v>199</v>
      </c>
      <c r="G279" s="201">
        <f>+G280+G287</f>
        <v>189750</v>
      </c>
      <c r="H279" s="201">
        <f>+H280+H287</f>
        <v>20998</v>
      </c>
      <c r="I279" s="201">
        <f>+I280+I287</f>
        <v>52535</v>
      </c>
      <c r="J279" s="201">
        <f>+J280+J287</f>
        <v>0</v>
      </c>
      <c r="K279" s="201">
        <f>+K280+K287</f>
        <v>0</v>
      </c>
      <c r="L279" s="201">
        <f t="shared" ref="L279:S279" si="132">+L280+L287</f>
        <v>65118</v>
      </c>
      <c r="M279" s="201">
        <f t="shared" si="132"/>
        <v>0</v>
      </c>
      <c r="N279" s="201">
        <f t="shared" si="132"/>
        <v>41217</v>
      </c>
      <c r="O279" s="201">
        <f t="shared" si="132"/>
        <v>0</v>
      </c>
      <c r="P279" s="201">
        <f t="shared" si="132"/>
        <v>0</v>
      </c>
      <c r="Q279" s="201">
        <f t="shared" si="132"/>
        <v>0</v>
      </c>
      <c r="R279" s="201">
        <f t="shared" si="132"/>
        <v>0</v>
      </c>
      <c r="S279" s="201">
        <f t="shared" si="132"/>
        <v>0</v>
      </c>
      <c r="T279" s="201">
        <f>+T280+T287</f>
        <v>179868</v>
      </c>
      <c r="U279"/>
      <c r="V279">
        <f>+PRESUPUESTO22[[#This Row],[EJECUTADO ]]-SUM(PRESUPUESTO22[[#This Row],[   ENERO ]:[DIC]])</f>
        <v>0</v>
      </c>
      <c r="W279"/>
    </row>
    <row r="280" spans="1:23" ht="15.95" customHeight="1" x14ac:dyDescent="0.25">
      <c r="A280" s="48" t="s">
        <v>1</v>
      </c>
      <c r="B280" s="152">
        <v>701010501</v>
      </c>
      <c r="C280" s="130" t="str">
        <f t="shared" si="127"/>
        <v>E-0701010501</v>
      </c>
      <c r="D280" s="130">
        <v>230</v>
      </c>
      <c r="E280" s="146" t="s">
        <v>69</v>
      </c>
      <c r="F280" s="202" t="s">
        <v>200</v>
      </c>
      <c r="G280" s="203">
        <f>SUM(G281:G286)</f>
        <v>173925</v>
      </c>
      <c r="H280" s="203">
        <f>SUM(H281:H285)</f>
        <v>20998</v>
      </c>
      <c r="I280" s="203">
        <f t="shared" ref="I280:L280" si="133">SUM(I281:I285)</f>
        <v>39677</v>
      </c>
      <c r="J280" s="203">
        <f t="shared" si="133"/>
        <v>0</v>
      </c>
      <c r="K280" s="203">
        <f t="shared" si="133"/>
        <v>0</v>
      </c>
      <c r="L280" s="203">
        <f t="shared" si="133"/>
        <v>65118</v>
      </c>
      <c r="M280" s="203">
        <f t="shared" ref="M280:S280" si="134">SUM(M281:M286)</f>
        <v>0</v>
      </c>
      <c r="N280" s="203">
        <f t="shared" si="134"/>
        <v>41217</v>
      </c>
      <c r="O280" s="203">
        <f t="shared" si="134"/>
        <v>0</v>
      </c>
      <c r="P280" s="203">
        <f t="shared" si="134"/>
        <v>0</v>
      </c>
      <c r="Q280" s="203">
        <f t="shared" si="134"/>
        <v>0</v>
      </c>
      <c r="R280" s="203">
        <f t="shared" si="134"/>
        <v>0</v>
      </c>
      <c r="S280" s="203">
        <f t="shared" si="134"/>
        <v>0</v>
      </c>
      <c r="T280" s="203">
        <f>SUM(T281:T286)</f>
        <v>167010</v>
      </c>
      <c r="U280"/>
      <c r="V280">
        <f>+PRESUPUESTO22[[#This Row],[EJECUTADO ]]-SUM(PRESUPUESTO22[[#This Row],[   ENERO ]:[DIC]])</f>
        <v>0</v>
      </c>
      <c r="W280"/>
    </row>
    <row r="281" spans="1:23" ht="52.5" customHeight="1" x14ac:dyDescent="0.25">
      <c r="A281" s="51"/>
      <c r="B281" s="141">
        <v>70101050101</v>
      </c>
      <c r="C281" s="130" t="str">
        <f t="shared" si="127"/>
        <v>E-070101050101</v>
      </c>
      <c r="D281" s="130">
        <v>231</v>
      </c>
      <c r="E281" s="141" t="s">
        <v>72</v>
      </c>
      <c r="F281" s="347" t="s">
        <v>201</v>
      </c>
      <c r="G281" s="351">
        <v>78660</v>
      </c>
      <c r="H281" s="193">
        <f>5678.25-0.25</f>
        <v>5678</v>
      </c>
      <c r="I281" s="193">
        <v>0</v>
      </c>
      <c r="J281" s="193">
        <v>0</v>
      </c>
      <c r="K281" s="193">
        <v>0</v>
      </c>
      <c r="L281" s="193">
        <f>65118.11-0.11</f>
        <v>65118</v>
      </c>
      <c r="M281" s="193">
        <v>0</v>
      </c>
      <c r="N281" s="193">
        <v>0</v>
      </c>
      <c r="O281" s="193">
        <v>0</v>
      </c>
      <c r="P281" s="193">
        <v>0</v>
      </c>
      <c r="Q281" s="193">
        <v>0</v>
      </c>
      <c r="R281" s="193">
        <v>0</v>
      </c>
      <c r="S281" s="193">
        <v>0</v>
      </c>
      <c r="T281" s="193">
        <f t="shared" ref="T281:T286" si="135">SUM(H281:S281)</f>
        <v>70796</v>
      </c>
      <c r="U281"/>
      <c r="V281">
        <f>+PRESUPUESTO22[[#This Row],[EJECUTADO ]]-SUM(PRESUPUESTO22[[#This Row],[   ENERO ]:[DIC]])</f>
        <v>0</v>
      </c>
      <c r="W281"/>
    </row>
    <row r="282" spans="1:23" ht="35.25" customHeight="1" x14ac:dyDescent="0.25">
      <c r="A282" s="51"/>
      <c r="B282" s="141">
        <v>70101050102</v>
      </c>
      <c r="C282" s="130" t="str">
        <f t="shared" si="127"/>
        <v>E-070101050102</v>
      </c>
      <c r="D282" s="130">
        <v>232</v>
      </c>
      <c r="E282" s="141" t="s">
        <v>72</v>
      </c>
      <c r="F282" s="347" t="s">
        <v>202</v>
      </c>
      <c r="G282" s="351">
        <v>4470</v>
      </c>
      <c r="H282" s="193">
        <v>0</v>
      </c>
      <c r="I282" s="193">
        <v>0</v>
      </c>
      <c r="J282" s="193">
        <v>0</v>
      </c>
      <c r="K282" s="193">
        <v>0</v>
      </c>
      <c r="L282" s="193">
        <v>0</v>
      </c>
      <c r="M282" s="193">
        <v>0</v>
      </c>
      <c r="N282" s="193">
        <f>4460.67+0.33</f>
        <v>4461</v>
      </c>
      <c r="O282" s="193">
        <v>0</v>
      </c>
      <c r="P282" s="193">
        <v>0</v>
      </c>
      <c r="Q282" s="193">
        <v>0</v>
      </c>
      <c r="R282" s="193">
        <v>0</v>
      </c>
      <c r="S282" s="193">
        <v>0</v>
      </c>
      <c r="T282" s="193">
        <f t="shared" si="135"/>
        <v>4461</v>
      </c>
      <c r="U282"/>
      <c r="V282">
        <f>+PRESUPUESTO22[[#This Row],[EJECUTADO ]]-SUM(PRESUPUESTO22[[#This Row],[   ENERO ]:[DIC]])</f>
        <v>0</v>
      </c>
      <c r="W282"/>
    </row>
    <row r="283" spans="1:23" ht="40.5" customHeight="1" x14ac:dyDescent="0.25">
      <c r="A283" s="51"/>
      <c r="B283" s="141">
        <v>70101050103</v>
      </c>
      <c r="C283" s="130" t="str">
        <f t="shared" si="127"/>
        <v>E-070101050103</v>
      </c>
      <c r="D283" s="130">
        <v>233</v>
      </c>
      <c r="E283" s="141" t="s">
        <v>72</v>
      </c>
      <c r="F283" s="347" t="s">
        <v>203</v>
      </c>
      <c r="G283" s="351">
        <v>15320</v>
      </c>
      <c r="H283" s="193">
        <f>15320.16-0.16</f>
        <v>15320</v>
      </c>
      <c r="I283" s="193">
        <v>0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93">
        <v>0</v>
      </c>
      <c r="Q283" s="193">
        <v>0</v>
      </c>
      <c r="R283" s="193">
        <v>0</v>
      </c>
      <c r="S283" s="193">
        <v>0</v>
      </c>
      <c r="T283" s="193">
        <f t="shared" si="135"/>
        <v>15320</v>
      </c>
      <c r="U283"/>
      <c r="V283">
        <f>+PRESUPUESTO22[[#This Row],[EJECUTADO ]]-SUM(PRESUPUESTO22[[#This Row],[   ENERO ]:[DIC]])</f>
        <v>0</v>
      </c>
      <c r="W283"/>
    </row>
    <row r="284" spans="1:23" ht="21.75" customHeight="1" x14ac:dyDescent="0.25">
      <c r="A284" s="51"/>
      <c r="B284" s="141">
        <v>70101050104</v>
      </c>
      <c r="C284" s="130" t="str">
        <f t="shared" si="127"/>
        <v>E-070101050104</v>
      </c>
      <c r="D284" s="130">
        <v>234</v>
      </c>
      <c r="E284" s="141" t="s">
        <v>72</v>
      </c>
      <c r="F284" s="347" t="s">
        <v>204</v>
      </c>
      <c r="G284" s="351">
        <v>35475</v>
      </c>
      <c r="H284" s="193">
        <v>0</v>
      </c>
      <c r="I284" s="193">
        <f>35472.46-0.46</f>
        <v>35472</v>
      </c>
      <c r="J284" s="193">
        <v>0</v>
      </c>
      <c r="K284" s="193">
        <v>0</v>
      </c>
      <c r="L284" s="193">
        <v>0</v>
      </c>
      <c r="M284" s="193">
        <v>0</v>
      </c>
      <c r="N284" s="193">
        <v>0</v>
      </c>
      <c r="O284" s="193">
        <v>0</v>
      </c>
      <c r="P284" s="193">
        <v>0</v>
      </c>
      <c r="Q284" s="193">
        <v>0</v>
      </c>
      <c r="R284" s="193">
        <v>0</v>
      </c>
      <c r="S284" s="193">
        <v>0</v>
      </c>
      <c r="T284" s="193">
        <f t="shared" si="135"/>
        <v>35472</v>
      </c>
      <c r="U284"/>
      <c r="V284">
        <f>+PRESUPUESTO22[[#This Row],[EJECUTADO ]]-SUM(PRESUPUESTO22[[#This Row],[   ENERO ]:[DIC]])</f>
        <v>0</v>
      </c>
      <c r="W284" t="s">
        <v>1</v>
      </c>
    </row>
    <row r="285" spans="1:23" ht="90.75" customHeight="1" x14ac:dyDescent="0.25">
      <c r="A285" s="51"/>
      <c r="B285" s="141">
        <v>70101050105</v>
      </c>
      <c r="C285" s="130" t="str">
        <f t="shared" si="127"/>
        <v>E-070101050105</v>
      </c>
      <c r="D285" s="130">
        <v>235</v>
      </c>
      <c r="E285" s="141" t="s">
        <v>72</v>
      </c>
      <c r="F285" s="347" t="s">
        <v>205</v>
      </c>
      <c r="G285" s="351">
        <v>40000</v>
      </c>
      <c r="H285" s="193">
        <v>0</v>
      </c>
      <c r="I285" s="193">
        <f>4204.73+0.27</f>
        <v>4205</v>
      </c>
      <c r="J285" s="193">
        <v>0</v>
      </c>
      <c r="K285" s="193">
        <v>0</v>
      </c>
      <c r="L285" s="193">
        <v>0</v>
      </c>
      <c r="M285" s="193">
        <v>0</v>
      </c>
      <c r="N285" s="193">
        <f>36347.58+0.42</f>
        <v>36348</v>
      </c>
      <c r="O285" s="193">
        <v>0</v>
      </c>
      <c r="P285" s="193">
        <v>0</v>
      </c>
      <c r="Q285" s="193">
        <v>0</v>
      </c>
      <c r="R285" s="193">
        <v>0</v>
      </c>
      <c r="S285" s="193">
        <v>0</v>
      </c>
      <c r="T285" s="193">
        <f t="shared" si="135"/>
        <v>40553</v>
      </c>
      <c r="U285"/>
      <c r="V285">
        <f>+PRESUPUESTO22[[#This Row],[EJECUTADO ]]-SUM(PRESUPUESTO22[[#This Row],[   ENERO ]:[DIC]])</f>
        <v>0</v>
      </c>
      <c r="W285"/>
    </row>
    <row r="286" spans="1:23" ht="17.25" customHeight="1" x14ac:dyDescent="0.25">
      <c r="A286" s="51"/>
      <c r="B286" s="141">
        <v>70101050106</v>
      </c>
      <c r="C286" s="130" t="str">
        <f t="shared" si="127"/>
        <v>E-070101050106</v>
      </c>
      <c r="D286" s="130">
        <v>236</v>
      </c>
      <c r="E286" s="141" t="s">
        <v>72</v>
      </c>
      <c r="F286" s="347" t="s">
        <v>206</v>
      </c>
      <c r="G286" s="351">
        <v>0</v>
      </c>
      <c r="H286" s="193">
        <v>0</v>
      </c>
      <c r="I286" s="193">
        <v>0</v>
      </c>
      <c r="J286" s="193">
        <v>0</v>
      </c>
      <c r="K286" s="193">
        <v>0</v>
      </c>
      <c r="L286" s="193">
        <v>0</v>
      </c>
      <c r="M286" s="193">
        <v>0</v>
      </c>
      <c r="N286" s="193">
        <v>408</v>
      </c>
      <c r="O286" s="193">
        <v>0</v>
      </c>
      <c r="P286" s="193">
        <v>0</v>
      </c>
      <c r="Q286" s="193">
        <v>0</v>
      </c>
      <c r="R286" s="193">
        <v>0</v>
      </c>
      <c r="S286" s="193">
        <v>0</v>
      </c>
      <c r="T286" s="193">
        <f t="shared" si="135"/>
        <v>408</v>
      </c>
      <c r="U286"/>
      <c r="V286">
        <f>+PRESUPUESTO22[[#This Row],[EJECUTADO ]]-SUM(PRESUPUESTO22[[#This Row],[   ENERO ]:[DIC]])</f>
        <v>0</v>
      </c>
      <c r="W286"/>
    </row>
    <row r="287" spans="1:23" ht="15.95" customHeight="1" x14ac:dyDescent="0.25">
      <c r="A287" s="51"/>
      <c r="B287" s="152">
        <v>701010502</v>
      </c>
      <c r="C287" s="130" t="str">
        <f t="shared" si="127"/>
        <v>E-0701010502</v>
      </c>
      <c r="D287" s="130">
        <v>237</v>
      </c>
      <c r="E287" s="146" t="s">
        <v>69</v>
      </c>
      <c r="F287" s="202" t="s">
        <v>199</v>
      </c>
      <c r="G287" s="203">
        <f>SUM(G288:G289)</f>
        <v>15825</v>
      </c>
      <c r="H287" s="203">
        <f t="shared" ref="H287:T287" si="136">SUM(H288:H289)</f>
        <v>0</v>
      </c>
      <c r="I287" s="203">
        <f t="shared" si="136"/>
        <v>12858</v>
      </c>
      <c r="J287" s="203">
        <f t="shared" si="136"/>
        <v>0</v>
      </c>
      <c r="K287" s="203">
        <f t="shared" si="136"/>
        <v>0</v>
      </c>
      <c r="L287" s="203">
        <f t="shared" si="136"/>
        <v>0</v>
      </c>
      <c r="M287" s="203">
        <f t="shared" si="136"/>
        <v>0</v>
      </c>
      <c r="N287" s="203">
        <f t="shared" si="136"/>
        <v>0</v>
      </c>
      <c r="O287" s="203">
        <f t="shared" si="136"/>
        <v>0</v>
      </c>
      <c r="P287" s="203">
        <f t="shared" si="136"/>
        <v>0</v>
      </c>
      <c r="Q287" s="203">
        <f t="shared" si="136"/>
        <v>0</v>
      </c>
      <c r="R287" s="203">
        <f t="shared" si="136"/>
        <v>0</v>
      </c>
      <c r="S287" s="203">
        <f t="shared" si="136"/>
        <v>0</v>
      </c>
      <c r="T287" s="203">
        <f t="shared" si="136"/>
        <v>12858</v>
      </c>
      <c r="U287"/>
      <c r="V287">
        <f>+PRESUPUESTO22[[#This Row],[EJECUTADO ]]-SUM(PRESUPUESTO22[[#This Row],[   ENERO ]:[DIC]])</f>
        <v>0</v>
      </c>
      <c r="W287"/>
    </row>
    <row r="288" spans="1:23" ht="15.95" customHeight="1" x14ac:dyDescent="0.25">
      <c r="A288" s="51"/>
      <c r="B288" s="141">
        <v>70101050201</v>
      </c>
      <c r="C288" s="130" t="str">
        <f t="shared" si="127"/>
        <v>E-070101050201</v>
      </c>
      <c r="D288" s="130">
        <v>238</v>
      </c>
      <c r="E288" s="141" t="s">
        <v>72</v>
      </c>
      <c r="F288" s="347" t="s">
        <v>207</v>
      </c>
      <c r="G288" s="351">
        <v>8925</v>
      </c>
      <c r="H288" s="193">
        <v>0</v>
      </c>
      <c r="I288" s="193">
        <f>11140.76+0.24</f>
        <v>11141</v>
      </c>
      <c r="J288" s="193">
        <v>0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93">
        <v>0</v>
      </c>
      <c r="R288" s="193">
        <v>0</v>
      </c>
      <c r="S288" s="193">
        <v>0</v>
      </c>
      <c r="T288" s="193">
        <f>SUM(H288:S288)</f>
        <v>11141</v>
      </c>
      <c r="U288"/>
      <c r="V288">
        <f>+PRESUPUESTO22[[#This Row],[EJECUTADO ]]-SUM(PRESUPUESTO22[[#This Row],[   ENERO ]:[DIC]])</f>
        <v>0</v>
      </c>
      <c r="W288"/>
    </row>
    <row r="289" spans="1:24" ht="15.95" customHeight="1" x14ac:dyDescent="0.25">
      <c r="A289" s="51"/>
      <c r="B289" s="141">
        <v>70101050202</v>
      </c>
      <c r="C289" s="130" t="str">
        <f t="shared" si="127"/>
        <v>E-070101050202</v>
      </c>
      <c r="D289" s="130">
        <v>239</v>
      </c>
      <c r="E289" s="141" t="s">
        <v>72</v>
      </c>
      <c r="F289" s="347" t="s">
        <v>208</v>
      </c>
      <c r="G289" s="351">
        <v>6900</v>
      </c>
      <c r="H289" s="193">
        <v>0</v>
      </c>
      <c r="I289" s="193">
        <f>1716.83+0.17</f>
        <v>1717</v>
      </c>
      <c r="J289" s="193">
        <v>0</v>
      </c>
      <c r="K289" s="193">
        <v>0</v>
      </c>
      <c r="L289" s="193">
        <v>0</v>
      </c>
      <c r="M289" s="193">
        <v>0</v>
      </c>
      <c r="N289" s="193">
        <v>0</v>
      </c>
      <c r="O289" s="193">
        <v>0</v>
      </c>
      <c r="P289" s="193">
        <v>0</v>
      </c>
      <c r="Q289" s="193">
        <v>0</v>
      </c>
      <c r="R289" s="193">
        <v>0</v>
      </c>
      <c r="S289" s="193">
        <v>0</v>
      </c>
      <c r="T289" s="193">
        <f>SUM(H289:S289)</f>
        <v>1717</v>
      </c>
      <c r="U289"/>
      <c r="V289">
        <f>+PRESUPUESTO22[[#This Row],[EJECUTADO ]]-SUM(PRESUPUESTO22[[#This Row],[   ENERO ]:[DIC]])</f>
        <v>0</v>
      </c>
      <c r="W289"/>
    </row>
    <row r="290" spans="1:24" ht="15.95" customHeight="1" x14ac:dyDescent="0.25">
      <c r="A290" s="48">
        <v>7.2</v>
      </c>
      <c r="B290" s="139">
        <v>702</v>
      </c>
      <c r="C290" s="130" t="str">
        <f t="shared" si="127"/>
        <v>E-0702</v>
      </c>
      <c r="D290" s="130">
        <v>240</v>
      </c>
      <c r="E290" s="139" t="s">
        <v>72</v>
      </c>
      <c r="F290" s="189" t="s">
        <v>209</v>
      </c>
      <c r="G290" s="190">
        <f>+G291</f>
        <v>1461000</v>
      </c>
      <c r="H290" s="190">
        <f t="shared" ref="H290:T290" si="137">+H291+H378+H386+H441+H343</f>
        <v>137574</v>
      </c>
      <c r="I290" s="190">
        <f t="shared" si="137"/>
        <v>137574</v>
      </c>
      <c r="J290" s="190">
        <f t="shared" si="137"/>
        <v>137574</v>
      </c>
      <c r="K290" s="190">
        <f t="shared" si="137"/>
        <v>0</v>
      </c>
      <c r="L290" s="190">
        <f t="shared" si="137"/>
        <v>0</v>
      </c>
      <c r="M290" s="190">
        <f t="shared" si="137"/>
        <v>0</v>
      </c>
      <c r="N290" s="190">
        <f t="shared" si="137"/>
        <v>275148</v>
      </c>
      <c r="O290" s="190">
        <f t="shared" si="137"/>
        <v>137574</v>
      </c>
      <c r="P290" s="190">
        <f t="shared" si="137"/>
        <v>137574</v>
      </c>
      <c r="Q290" s="190">
        <f t="shared" si="137"/>
        <v>136526</v>
      </c>
      <c r="R290" s="190">
        <f t="shared" si="137"/>
        <v>0</v>
      </c>
      <c r="S290" s="190">
        <f t="shared" si="137"/>
        <v>0</v>
      </c>
      <c r="T290" s="190">
        <f t="shared" si="137"/>
        <v>1099544</v>
      </c>
      <c r="U290" s="43" t="s">
        <v>1</v>
      </c>
      <c r="V290">
        <f>+PRESUPUESTO22[[#This Row],[EJECUTADO ]]-SUM(PRESUPUESTO22[[#This Row],[   ENERO ]:[DIC]])</f>
        <v>0</v>
      </c>
      <c r="W290" s="43" t="s">
        <v>1</v>
      </c>
    </row>
    <row r="291" spans="1:24" ht="15.95" customHeight="1" x14ac:dyDescent="0.25">
      <c r="A291" s="114">
        <v>1</v>
      </c>
      <c r="B291" s="140">
        <v>70201</v>
      </c>
      <c r="C291" s="130" t="str">
        <f t="shared" si="127"/>
        <v>E-070201</v>
      </c>
      <c r="D291" s="130">
        <v>241</v>
      </c>
      <c r="E291" s="140" t="s">
        <v>69</v>
      </c>
      <c r="F291" s="199" t="s">
        <v>210</v>
      </c>
      <c r="G291" s="192">
        <v>1461000</v>
      </c>
      <c r="H291" s="192">
        <f t="shared" ref="H291:T291" si="138">+H292+H295+H316+H324+H326+H329+H332+H336+H339+H341</f>
        <v>90209</v>
      </c>
      <c r="I291" s="192">
        <f t="shared" si="138"/>
        <v>90209</v>
      </c>
      <c r="J291" s="192">
        <f t="shared" si="138"/>
        <v>90209</v>
      </c>
      <c r="K291" s="192">
        <f t="shared" si="138"/>
        <v>0</v>
      </c>
      <c r="L291" s="192">
        <f t="shared" si="138"/>
        <v>0</v>
      </c>
      <c r="M291" s="192">
        <f t="shared" si="138"/>
        <v>0</v>
      </c>
      <c r="N291" s="192">
        <f t="shared" si="138"/>
        <v>180418</v>
      </c>
      <c r="O291" s="192">
        <f t="shared" si="138"/>
        <v>90209</v>
      </c>
      <c r="P291" s="192">
        <f t="shared" si="138"/>
        <v>90209</v>
      </c>
      <c r="Q291" s="192">
        <f t="shared" si="138"/>
        <v>89161</v>
      </c>
      <c r="R291" s="192">
        <f t="shared" si="138"/>
        <v>0</v>
      </c>
      <c r="S291" s="192">
        <f t="shared" si="138"/>
        <v>0</v>
      </c>
      <c r="T291" s="192">
        <f t="shared" si="138"/>
        <v>720624</v>
      </c>
      <c r="U291"/>
      <c r="V291">
        <f>+PRESUPUESTO22[[#This Row],[EJECUTADO ]]-SUM(PRESUPUESTO22[[#This Row],[   ENERO ]:[DIC]])</f>
        <v>0</v>
      </c>
      <c r="W291"/>
      <c r="X291"/>
    </row>
    <row r="292" spans="1:24" ht="15.95" customHeight="1" x14ac:dyDescent="0.25">
      <c r="A292" s="112">
        <f>SUM(A293:A294)</f>
        <v>4</v>
      </c>
      <c r="B292" s="152">
        <v>7020101</v>
      </c>
      <c r="C292" s="130" t="str">
        <f t="shared" si="127"/>
        <v>E-07020101</v>
      </c>
      <c r="D292" s="130">
        <v>242</v>
      </c>
      <c r="E292" s="146" t="s">
        <v>69</v>
      </c>
      <c r="F292" s="202" t="s">
        <v>211</v>
      </c>
      <c r="G292" s="203">
        <f t="shared" ref="G292:T292" si="139">SUM(G293:G294)</f>
        <v>0</v>
      </c>
      <c r="H292" s="203">
        <f t="shared" si="139"/>
        <v>221</v>
      </c>
      <c r="I292" s="203">
        <f t="shared" si="139"/>
        <v>221</v>
      </c>
      <c r="J292" s="203">
        <f t="shared" si="139"/>
        <v>221</v>
      </c>
      <c r="K292" s="203">
        <f t="shared" si="139"/>
        <v>0</v>
      </c>
      <c r="L292" s="203">
        <f t="shared" si="139"/>
        <v>0</v>
      </c>
      <c r="M292" s="203">
        <f t="shared" si="139"/>
        <v>0</v>
      </c>
      <c r="N292" s="203">
        <f t="shared" si="139"/>
        <v>442</v>
      </c>
      <c r="O292" s="203">
        <f t="shared" si="139"/>
        <v>221</v>
      </c>
      <c r="P292" s="203">
        <f t="shared" si="139"/>
        <v>221</v>
      </c>
      <c r="Q292" s="203">
        <f t="shared" si="139"/>
        <v>221</v>
      </c>
      <c r="R292" s="203">
        <f t="shared" si="139"/>
        <v>0</v>
      </c>
      <c r="S292" s="203">
        <f t="shared" si="139"/>
        <v>0</v>
      </c>
      <c r="T292" s="203">
        <f t="shared" si="139"/>
        <v>1768</v>
      </c>
      <c r="U292"/>
      <c r="V292">
        <f>+PRESUPUESTO22[[#This Row],[EJECUTADO ]]-SUM(PRESUPUESTO22[[#This Row],[   ENERO ]:[DIC]])</f>
        <v>0</v>
      </c>
      <c r="W292"/>
      <c r="X292"/>
    </row>
    <row r="293" spans="1:24" ht="25.5" customHeight="1" x14ac:dyDescent="0.25">
      <c r="A293" s="52">
        <v>3</v>
      </c>
      <c r="B293" s="141">
        <v>702010101</v>
      </c>
      <c r="C293" s="130" t="str">
        <f t="shared" si="127"/>
        <v>E-0702010101</v>
      </c>
      <c r="D293" s="130">
        <v>243</v>
      </c>
      <c r="E293" s="141" t="s">
        <v>69</v>
      </c>
      <c r="F293" s="347" t="s">
        <v>212</v>
      </c>
      <c r="G293" s="193">
        <v>0</v>
      </c>
      <c r="H293" s="193">
        <v>135</v>
      </c>
      <c r="I293" s="193">
        <v>135</v>
      </c>
      <c r="J293" s="193">
        <v>135</v>
      </c>
      <c r="K293" s="193">
        <v>0</v>
      </c>
      <c r="L293" s="193">
        <v>0</v>
      </c>
      <c r="M293" s="193">
        <v>0</v>
      </c>
      <c r="N293" s="193">
        <f>135*2</f>
        <v>270</v>
      </c>
      <c r="O293" s="193">
        <v>135</v>
      </c>
      <c r="P293" s="193">
        <v>135</v>
      </c>
      <c r="Q293" s="193">
        <v>135</v>
      </c>
      <c r="R293" s="193">
        <v>0</v>
      </c>
      <c r="S293" s="193">
        <v>0</v>
      </c>
      <c r="T293" s="193">
        <f>SUM(H293:S293)</f>
        <v>1080</v>
      </c>
      <c r="U293" s="107" t="s">
        <v>1</v>
      </c>
      <c r="V293">
        <f>+PRESUPUESTO22[[#This Row],[EJECUTADO ]]-SUM(PRESUPUESTO22[[#This Row],[   ENERO ]:[DIC]])</f>
        <v>0</v>
      </c>
      <c r="W293"/>
      <c r="X293"/>
    </row>
    <row r="294" spans="1:24" ht="27.75" customHeight="1" x14ac:dyDescent="0.25">
      <c r="A294" s="52">
        <v>1</v>
      </c>
      <c r="B294" s="141">
        <v>702010102</v>
      </c>
      <c r="C294" s="130" t="str">
        <f t="shared" si="127"/>
        <v>E-0702010102</v>
      </c>
      <c r="D294" s="130">
        <v>244</v>
      </c>
      <c r="E294" s="141" t="s">
        <v>69</v>
      </c>
      <c r="F294" s="347" t="s">
        <v>213</v>
      </c>
      <c r="G294" s="193">
        <v>0</v>
      </c>
      <c r="H294" s="193">
        <v>86</v>
      </c>
      <c r="I294" s="193">
        <v>86</v>
      </c>
      <c r="J294" s="193">
        <v>86</v>
      </c>
      <c r="K294" s="193">
        <v>0</v>
      </c>
      <c r="L294" s="193">
        <v>0</v>
      </c>
      <c r="M294" s="193">
        <v>0</v>
      </c>
      <c r="N294" s="193">
        <f>86*2</f>
        <v>172</v>
      </c>
      <c r="O294" s="193">
        <v>86</v>
      </c>
      <c r="P294" s="193">
        <v>86</v>
      </c>
      <c r="Q294" s="193">
        <v>86</v>
      </c>
      <c r="R294" s="193">
        <v>0</v>
      </c>
      <c r="S294" s="193">
        <v>0</v>
      </c>
      <c r="T294" s="193">
        <f>SUM(H294:S294)</f>
        <v>688</v>
      </c>
      <c r="U294" t="s">
        <v>1</v>
      </c>
      <c r="V294">
        <f>+PRESUPUESTO22[[#This Row],[EJECUTADO ]]-SUM(PRESUPUESTO22[[#This Row],[   ENERO ]:[DIC]])</f>
        <v>0</v>
      </c>
      <c r="W294"/>
      <c r="X294"/>
    </row>
    <row r="295" spans="1:24" ht="15.95" customHeight="1" x14ac:dyDescent="0.25">
      <c r="A295" s="112">
        <f>SUM(A296:A314)</f>
        <v>754</v>
      </c>
      <c r="B295" s="152">
        <v>7020102</v>
      </c>
      <c r="C295" s="130" t="str">
        <f t="shared" si="127"/>
        <v>E-07020102</v>
      </c>
      <c r="D295" s="130">
        <v>245</v>
      </c>
      <c r="E295" s="146" t="s">
        <v>69</v>
      </c>
      <c r="F295" s="202" t="s">
        <v>214</v>
      </c>
      <c r="G295" s="203">
        <f t="shared" ref="G295:T295" si="140">SUM(G296:G315)</f>
        <v>0</v>
      </c>
      <c r="H295" s="203">
        <f t="shared" si="140"/>
        <v>71138</v>
      </c>
      <c r="I295" s="203">
        <f t="shared" si="140"/>
        <v>71138</v>
      </c>
      <c r="J295" s="203">
        <f t="shared" si="140"/>
        <v>71138</v>
      </c>
      <c r="K295" s="203">
        <f t="shared" si="140"/>
        <v>0</v>
      </c>
      <c r="L295" s="203">
        <f t="shared" si="140"/>
        <v>0</v>
      </c>
      <c r="M295" s="203">
        <f t="shared" si="140"/>
        <v>0</v>
      </c>
      <c r="N295" s="203">
        <f t="shared" si="140"/>
        <v>142276</v>
      </c>
      <c r="O295" s="203">
        <f t="shared" si="140"/>
        <v>71138</v>
      </c>
      <c r="P295" s="203">
        <f t="shared" si="140"/>
        <v>71138</v>
      </c>
      <c r="Q295" s="203">
        <f t="shared" si="140"/>
        <v>70090</v>
      </c>
      <c r="R295" s="120">
        <f t="shared" si="140"/>
        <v>0</v>
      </c>
      <c r="S295" s="120">
        <f t="shared" si="140"/>
        <v>0</v>
      </c>
      <c r="T295" s="120">
        <f t="shared" si="140"/>
        <v>568056</v>
      </c>
      <c r="U295" t="s">
        <v>1</v>
      </c>
      <c r="V295">
        <f>+PRESUPUESTO22[[#This Row],[EJECUTADO ]]-SUM(PRESUPUESTO22[[#This Row],[   ENERO ]:[DIC]])</f>
        <v>0</v>
      </c>
      <c r="W295"/>
      <c r="X295"/>
    </row>
    <row r="296" spans="1:24" ht="28.5" customHeight="1" x14ac:dyDescent="0.25">
      <c r="A296" s="52">
        <v>80</v>
      </c>
      <c r="B296" s="141">
        <v>702010201</v>
      </c>
      <c r="C296" s="130" t="str">
        <f t="shared" si="127"/>
        <v>E-0702010201</v>
      </c>
      <c r="D296" s="130">
        <v>246</v>
      </c>
      <c r="E296" s="141" t="s">
        <v>69</v>
      </c>
      <c r="F296" s="347" t="s">
        <v>215</v>
      </c>
      <c r="G296" s="193">
        <v>0</v>
      </c>
      <c r="H296" s="193">
        <v>6000</v>
      </c>
      <c r="I296" s="193">
        <v>6000</v>
      </c>
      <c r="J296" s="193">
        <v>6000</v>
      </c>
      <c r="K296" s="193">
        <v>0</v>
      </c>
      <c r="L296" s="193">
        <v>0</v>
      </c>
      <c r="M296" s="193">
        <v>0</v>
      </c>
      <c r="N296" s="193">
        <f>6000*2</f>
        <v>12000</v>
      </c>
      <c r="O296" s="193">
        <v>6000</v>
      </c>
      <c r="P296" s="193">
        <v>6000</v>
      </c>
      <c r="Q296" s="193">
        <v>6000</v>
      </c>
      <c r="R296" s="193">
        <v>0</v>
      </c>
      <c r="S296" s="193">
        <v>0</v>
      </c>
      <c r="T296" s="193">
        <f t="shared" ref="T296:T315" si="141">SUM(H296:S296)</f>
        <v>48000</v>
      </c>
      <c r="U296"/>
      <c r="V296">
        <f>+PRESUPUESTO22[[#This Row],[EJECUTADO ]]-SUM(PRESUPUESTO22[[#This Row],[   ENERO ]:[DIC]])</f>
        <v>0</v>
      </c>
      <c r="W296"/>
      <c r="X296"/>
    </row>
    <row r="297" spans="1:24" ht="26.25" customHeight="1" x14ac:dyDescent="0.25">
      <c r="A297" s="52">
        <v>90</v>
      </c>
      <c r="B297" s="141">
        <v>702010202</v>
      </c>
      <c r="C297" s="130" t="str">
        <f t="shared" si="127"/>
        <v>E-0702010202</v>
      </c>
      <c r="D297" s="130">
        <v>247</v>
      </c>
      <c r="E297" s="141" t="s">
        <v>69</v>
      </c>
      <c r="F297" s="347" t="s">
        <v>216</v>
      </c>
      <c r="G297" s="193">
        <v>0</v>
      </c>
      <c r="H297" s="193">
        <v>7290</v>
      </c>
      <c r="I297" s="193">
        <v>7290</v>
      </c>
      <c r="J297" s="193">
        <v>7290</v>
      </c>
      <c r="K297" s="193">
        <v>0</v>
      </c>
      <c r="L297" s="193">
        <v>0</v>
      </c>
      <c r="M297" s="193">
        <v>0</v>
      </c>
      <c r="N297" s="193">
        <f>7290*2</f>
        <v>14580</v>
      </c>
      <c r="O297" s="193">
        <v>7290</v>
      </c>
      <c r="P297" s="193">
        <v>7290</v>
      </c>
      <c r="Q297" s="193">
        <v>7290</v>
      </c>
      <c r="R297" s="193">
        <v>0</v>
      </c>
      <c r="S297" s="193">
        <v>0</v>
      </c>
      <c r="T297" s="193">
        <f t="shared" si="141"/>
        <v>58320</v>
      </c>
      <c r="U297"/>
      <c r="V297">
        <f>+PRESUPUESTO22[[#This Row],[EJECUTADO ]]-SUM(PRESUPUESTO22[[#This Row],[   ENERO ]:[DIC]])</f>
        <v>0</v>
      </c>
      <c r="W297"/>
      <c r="X297"/>
    </row>
    <row r="298" spans="1:24" ht="15" x14ac:dyDescent="0.25">
      <c r="A298" s="52">
        <v>126</v>
      </c>
      <c r="B298" s="141">
        <v>702010203</v>
      </c>
      <c r="C298" s="130" t="str">
        <f t="shared" si="127"/>
        <v>E-0702010203</v>
      </c>
      <c r="D298" s="130">
        <v>248</v>
      </c>
      <c r="E298" s="141" t="s">
        <v>69</v>
      </c>
      <c r="F298" s="347" t="s">
        <v>217</v>
      </c>
      <c r="G298" s="193">
        <v>0</v>
      </c>
      <c r="H298" s="193">
        <v>10710</v>
      </c>
      <c r="I298" s="193">
        <v>10710</v>
      </c>
      <c r="J298" s="193">
        <v>10710</v>
      </c>
      <c r="K298" s="193">
        <v>0</v>
      </c>
      <c r="L298" s="193">
        <v>0</v>
      </c>
      <c r="M298" s="193">
        <v>0</v>
      </c>
      <c r="N298" s="193">
        <f>10710*2</f>
        <v>21420</v>
      </c>
      <c r="O298" s="193">
        <v>10710</v>
      </c>
      <c r="P298" s="193">
        <v>10710</v>
      </c>
      <c r="Q298" s="193">
        <v>10710</v>
      </c>
      <c r="R298" s="193">
        <v>0</v>
      </c>
      <c r="S298" s="193">
        <v>0</v>
      </c>
      <c r="T298" s="193">
        <f t="shared" si="141"/>
        <v>85680</v>
      </c>
      <c r="U298"/>
      <c r="V298">
        <f>+PRESUPUESTO22[[#This Row],[EJECUTADO ]]-SUM(PRESUPUESTO22[[#This Row],[   ENERO ]:[DIC]])</f>
        <v>0</v>
      </c>
      <c r="W298"/>
      <c r="X298"/>
    </row>
    <row r="299" spans="1:24" ht="25.5" customHeight="1" x14ac:dyDescent="0.25">
      <c r="A299" s="52">
        <v>25</v>
      </c>
      <c r="B299" s="141">
        <v>702010204</v>
      </c>
      <c r="C299" s="130" t="str">
        <f t="shared" si="127"/>
        <v>E-0702010204</v>
      </c>
      <c r="D299" s="130">
        <v>249</v>
      </c>
      <c r="E299" s="141" t="s">
        <v>69</v>
      </c>
      <c r="F299" s="347" t="s">
        <v>218</v>
      </c>
      <c r="G299" s="193">
        <v>0</v>
      </c>
      <c r="H299" s="193">
        <v>1125</v>
      </c>
      <c r="I299" s="193">
        <v>1125</v>
      </c>
      <c r="J299" s="193">
        <v>1125</v>
      </c>
      <c r="K299" s="193">
        <v>0</v>
      </c>
      <c r="L299" s="193">
        <v>0</v>
      </c>
      <c r="M299" s="193">
        <v>0</v>
      </c>
      <c r="N299" s="193">
        <f>1125*2</f>
        <v>2250</v>
      </c>
      <c r="O299" s="193">
        <v>1125</v>
      </c>
      <c r="P299" s="193">
        <v>1125</v>
      </c>
      <c r="Q299" s="193">
        <v>1125</v>
      </c>
      <c r="R299" s="193">
        <v>0</v>
      </c>
      <c r="S299" s="193">
        <v>0</v>
      </c>
      <c r="T299" s="193">
        <f t="shared" si="141"/>
        <v>9000</v>
      </c>
      <c r="U299"/>
      <c r="V299">
        <f>+PRESUPUESTO22[[#This Row],[EJECUTADO ]]-SUM(PRESUPUESTO22[[#This Row],[   ENERO ]:[DIC]])</f>
        <v>0</v>
      </c>
      <c r="W299"/>
      <c r="X299"/>
    </row>
    <row r="300" spans="1:24" ht="15" x14ac:dyDescent="0.25">
      <c r="A300" s="52">
        <v>60</v>
      </c>
      <c r="B300" s="141">
        <v>702010205</v>
      </c>
      <c r="C300" s="130" t="str">
        <f t="shared" si="127"/>
        <v>E-0702010205</v>
      </c>
      <c r="D300" s="130">
        <v>250</v>
      </c>
      <c r="E300" s="141" t="s">
        <v>69</v>
      </c>
      <c r="F300" s="347" t="s">
        <v>219</v>
      </c>
      <c r="G300" s="193">
        <v>0</v>
      </c>
      <c r="H300" s="193">
        <v>4740</v>
      </c>
      <c r="I300" s="193">
        <v>4740</v>
      </c>
      <c r="J300" s="193">
        <v>4740</v>
      </c>
      <c r="K300" s="193">
        <v>0</v>
      </c>
      <c r="L300" s="193">
        <v>0</v>
      </c>
      <c r="M300" s="193">
        <v>0</v>
      </c>
      <c r="N300" s="193">
        <f>4740*2</f>
        <v>9480</v>
      </c>
      <c r="O300" s="193">
        <v>4740</v>
      </c>
      <c r="P300" s="193">
        <v>4740</v>
      </c>
      <c r="Q300" s="193">
        <v>4740</v>
      </c>
      <c r="R300" s="193">
        <v>0</v>
      </c>
      <c r="S300" s="193">
        <v>0</v>
      </c>
      <c r="T300" s="193">
        <f t="shared" si="141"/>
        <v>37920</v>
      </c>
      <c r="U300"/>
      <c r="V300">
        <f>+PRESUPUESTO22[[#This Row],[EJECUTADO ]]-SUM(PRESUPUESTO22[[#This Row],[   ENERO ]:[DIC]])</f>
        <v>0</v>
      </c>
      <c r="W300"/>
      <c r="X300"/>
    </row>
    <row r="301" spans="1:24" ht="15" x14ac:dyDescent="0.25">
      <c r="A301" s="52">
        <v>60</v>
      </c>
      <c r="B301" s="141">
        <v>702010206</v>
      </c>
      <c r="C301" s="130" t="str">
        <f t="shared" si="127"/>
        <v>E-0702010206</v>
      </c>
      <c r="D301" s="130">
        <v>251</v>
      </c>
      <c r="E301" s="141" t="s">
        <v>69</v>
      </c>
      <c r="F301" s="347" t="s">
        <v>220</v>
      </c>
      <c r="G301" s="193">
        <v>0</v>
      </c>
      <c r="H301" s="193">
        <v>5100</v>
      </c>
      <c r="I301" s="193">
        <v>5100</v>
      </c>
      <c r="J301" s="193">
        <v>5100</v>
      </c>
      <c r="K301" s="193">
        <v>0</v>
      </c>
      <c r="L301" s="193">
        <v>0</v>
      </c>
      <c r="M301" s="193">
        <v>0</v>
      </c>
      <c r="N301" s="193">
        <f>5100*2</f>
        <v>10200</v>
      </c>
      <c r="O301" s="193">
        <v>5100</v>
      </c>
      <c r="P301" s="193">
        <v>5100</v>
      </c>
      <c r="Q301" s="193">
        <v>5100</v>
      </c>
      <c r="R301" s="193">
        <v>0</v>
      </c>
      <c r="S301" s="193">
        <v>0</v>
      </c>
      <c r="T301" s="193">
        <f t="shared" si="141"/>
        <v>40800</v>
      </c>
      <c r="U301"/>
      <c r="V301">
        <f>+PRESUPUESTO22[[#This Row],[EJECUTADO ]]-SUM(PRESUPUESTO22[[#This Row],[   ENERO ]:[DIC]])</f>
        <v>0</v>
      </c>
      <c r="W301"/>
      <c r="X301"/>
    </row>
    <row r="302" spans="1:24" ht="15" x14ac:dyDescent="0.25">
      <c r="A302" s="52">
        <v>84</v>
      </c>
      <c r="B302" s="141">
        <v>702010207</v>
      </c>
      <c r="C302" s="130" t="str">
        <f t="shared" si="127"/>
        <v>E-0702010207</v>
      </c>
      <c r="D302" s="130">
        <v>252</v>
      </c>
      <c r="E302" s="141" t="s">
        <v>69</v>
      </c>
      <c r="F302" s="347" t="s">
        <v>221</v>
      </c>
      <c r="G302" s="193">
        <v>0</v>
      </c>
      <c r="H302" s="193">
        <v>8316</v>
      </c>
      <c r="I302" s="193">
        <v>8316</v>
      </c>
      <c r="J302" s="193">
        <v>8316</v>
      </c>
      <c r="K302" s="193">
        <v>0</v>
      </c>
      <c r="L302" s="193">
        <v>0</v>
      </c>
      <c r="M302" s="193">
        <v>0</v>
      </c>
      <c r="N302" s="193">
        <f>8316*2</f>
        <v>16632</v>
      </c>
      <c r="O302" s="193">
        <v>8316</v>
      </c>
      <c r="P302" s="193">
        <v>8316</v>
      </c>
      <c r="Q302" s="193">
        <v>8316</v>
      </c>
      <c r="R302" s="193">
        <v>0</v>
      </c>
      <c r="S302" s="193">
        <v>0</v>
      </c>
      <c r="T302" s="193">
        <f t="shared" si="141"/>
        <v>66528</v>
      </c>
      <c r="U302"/>
      <c r="V302">
        <f>+PRESUPUESTO22[[#This Row],[EJECUTADO ]]-SUM(PRESUPUESTO22[[#This Row],[   ENERO ]:[DIC]])</f>
        <v>0</v>
      </c>
      <c r="W302"/>
      <c r="X302"/>
    </row>
    <row r="303" spans="1:24" ht="15" x14ac:dyDescent="0.25">
      <c r="A303" s="52">
        <v>52</v>
      </c>
      <c r="B303" s="141">
        <v>702010208</v>
      </c>
      <c r="C303" s="130" t="str">
        <f t="shared" si="127"/>
        <v>E-0702010208</v>
      </c>
      <c r="D303" s="130">
        <v>253</v>
      </c>
      <c r="E303" s="141" t="s">
        <v>69</v>
      </c>
      <c r="F303" s="347" t="s">
        <v>222</v>
      </c>
      <c r="G303" s="193">
        <v>0</v>
      </c>
      <c r="H303" s="193">
        <v>6500</v>
      </c>
      <c r="I303" s="193">
        <v>6500</v>
      </c>
      <c r="J303" s="193">
        <v>6500</v>
      </c>
      <c r="K303" s="193">
        <v>0</v>
      </c>
      <c r="L303" s="193">
        <v>0</v>
      </c>
      <c r="M303" s="193">
        <v>0</v>
      </c>
      <c r="N303" s="193">
        <f>6500*2</f>
        <v>13000</v>
      </c>
      <c r="O303" s="193">
        <v>6500</v>
      </c>
      <c r="P303" s="193">
        <v>6500</v>
      </c>
      <c r="Q303" s="193">
        <v>6500</v>
      </c>
      <c r="R303" s="193">
        <v>0</v>
      </c>
      <c r="S303" s="193">
        <v>0</v>
      </c>
      <c r="T303" s="193">
        <f t="shared" si="141"/>
        <v>52000</v>
      </c>
      <c r="U303"/>
      <c r="V303">
        <f>+PRESUPUESTO22[[#This Row],[EJECUTADO ]]-SUM(PRESUPUESTO22[[#This Row],[   ENERO ]:[DIC]])</f>
        <v>0</v>
      </c>
      <c r="W303"/>
      <c r="X303"/>
    </row>
    <row r="304" spans="1:24" ht="15" x14ac:dyDescent="0.25">
      <c r="A304" s="52">
        <v>50</v>
      </c>
      <c r="B304" s="141">
        <v>702010209</v>
      </c>
      <c r="C304" s="130" t="str">
        <f t="shared" si="127"/>
        <v>E-0702010209</v>
      </c>
      <c r="D304" s="130">
        <v>254</v>
      </c>
      <c r="E304" s="141" t="s">
        <v>69</v>
      </c>
      <c r="F304" s="347" t="s">
        <v>223</v>
      </c>
      <c r="G304" s="193">
        <v>0</v>
      </c>
      <c r="H304" s="193">
        <v>4950</v>
      </c>
      <c r="I304" s="193">
        <v>4950</v>
      </c>
      <c r="J304" s="193">
        <v>4950</v>
      </c>
      <c r="K304" s="193">
        <v>0</v>
      </c>
      <c r="L304" s="193">
        <v>0</v>
      </c>
      <c r="M304" s="193">
        <v>0</v>
      </c>
      <c r="N304" s="193">
        <f>4950*2</f>
        <v>9900</v>
      </c>
      <c r="O304" s="193">
        <v>4950</v>
      </c>
      <c r="P304" s="193">
        <v>4950</v>
      </c>
      <c r="Q304" s="193">
        <v>4950</v>
      </c>
      <c r="R304" s="193">
        <v>0</v>
      </c>
      <c r="S304" s="193">
        <v>0</v>
      </c>
      <c r="T304" s="193">
        <f t="shared" si="141"/>
        <v>39600</v>
      </c>
      <c r="U304"/>
      <c r="V304">
        <f>+PRESUPUESTO22[[#This Row],[EJECUTADO ]]-SUM(PRESUPUESTO22[[#This Row],[   ENERO ]:[DIC]])</f>
        <v>0</v>
      </c>
      <c r="W304"/>
      <c r="X304"/>
    </row>
    <row r="305" spans="1:24" ht="15" x14ac:dyDescent="0.25">
      <c r="A305" s="52">
        <v>33</v>
      </c>
      <c r="B305" s="141">
        <v>702010210</v>
      </c>
      <c r="C305" s="130" t="str">
        <f t="shared" si="127"/>
        <v>E-0702010210</v>
      </c>
      <c r="D305" s="130">
        <v>255</v>
      </c>
      <c r="E305" s="141" t="s">
        <v>69</v>
      </c>
      <c r="F305" s="347" t="s">
        <v>224</v>
      </c>
      <c r="G305" s="193">
        <v>0</v>
      </c>
      <c r="H305" s="193">
        <v>5049</v>
      </c>
      <c r="I305" s="193">
        <v>5049</v>
      </c>
      <c r="J305" s="193">
        <v>5049</v>
      </c>
      <c r="K305" s="193">
        <v>0</v>
      </c>
      <c r="L305" s="193">
        <v>0</v>
      </c>
      <c r="M305" s="193">
        <v>0</v>
      </c>
      <c r="N305" s="193">
        <f>5049*2</f>
        <v>10098</v>
      </c>
      <c r="O305" s="193">
        <v>5049</v>
      </c>
      <c r="P305" s="193">
        <v>5049</v>
      </c>
      <c r="Q305" s="193">
        <v>0</v>
      </c>
      <c r="R305" s="193">
        <v>0</v>
      </c>
      <c r="S305" s="193">
        <v>0</v>
      </c>
      <c r="T305" s="193">
        <f t="shared" si="141"/>
        <v>35343</v>
      </c>
      <c r="U305"/>
      <c r="V305">
        <f>+PRESUPUESTO22[[#This Row],[EJECUTADO ]]-SUM(PRESUPUESTO22[[#This Row],[   ENERO ]:[DIC]])</f>
        <v>0</v>
      </c>
      <c r="W305"/>
      <c r="X305"/>
    </row>
    <row r="306" spans="1:24" ht="15" x14ac:dyDescent="0.25">
      <c r="A306" s="52"/>
      <c r="B306" s="156">
        <v>702010218</v>
      </c>
      <c r="C306" s="130" t="str">
        <f>"E"&amp;"-0"&amp;B306</f>
        <v>E-0702010218</v>
      </c>
      <c r="D306" s="130">
        <v>256</v>
      </c>
      <c r="E306" s="156" t="s">
        <v>69</v>
      </c>
      <c r="F306" s="365" t="s">
        <v>1400</v>
      </c>
      <c r="G306" s="193"/>
      <c r="H306" s="193">
        <v>0</v>
      </c>
      <c r="I306" s="193">
        <v>0</v>
      </c>
      <c r="J306" s="193">
        <v>0</v>
      </c>
      <c r="K306" s="193">
        <v>0</v>
      </c>
      <c r="L306" s="193">
        <v>0</v>
      </c>
      <c r="M306" s="193">
        <v>0</v>
      </c>
      <c r="N306" s="193">
        <v>0</v>
      </c>
      <c r="O306" s="193">
        <v>0</v>
      </c>
      <c r="P306" s="366">
        <v>0</v>
      </c>
      <c r="Q306" s="366">
        <v>4794</v>
      </c>
      <c r="R306" s="193">
        <v>0</v>
      </c>
      <c r="S306" s="193">
        <v>0</v>
      </c>
      <c r="T306" s="193">
        <f t="shared" si="141"/>
        <v>4794</v>
      </c>
      <c r="U306"/>
      <c r="V306">
        <f>+PRESUPUESTO22[[#This Row],[EJECUTADO ]]-SUM(PRESUPUESTO22[[#This Row],[   ENERO ]:[DIC]])</f>
        <v>0</v>
      </c>
      <c r="W306"/>
      <c r="X306"/>
    </row>
    <row r="307" spans="1:24" ht="15" x14ac:dyDescent="0.25">
      <c r="A307" s="52">
        <v>12</v>
      </c>
      <c r="B307" s="141">
        <v>702010211</v>
      </c>
      <c r="C307" s="130" t="str">
        <f t="shared" si="127"/>
        <v>E-0702010211</v>
      </c>
      <c r="D307" s="130">
        <v>257</v>
      </c>
      <c r="E307" s="141" t="s">
        <v>69</v>
      </c>
      <c r="F307" s="347" t="s">
        <v>225</v>
      </c>
      <c r="G307" s="193">
        <v>0</v>
      </c>
      <c r="H307" s="193">
        <v>540</v>
      </c>
      <c r="I307" s="193">
        <v>540</v>
      </c>
      <c r="J307" s="193">
        <v>540</v>
      </c>
      <c r="K307" s="193">
        <v>0</v>
      </c>
      <c r="L307" s="193">
        <v>0</v>
      </c>
      <c r="M307" s="193">
        <v>0</v>
      </c>
      <c r="N307" s="193">
        <f>540*2</f>
        <v>1080</v>
      </c>
      <c r="O307" s="193">
        <v>540</v>
      </c>
      <c r="P307" s="193">
        <v>540</v>
      </c>
      <c r="Q307" s="193">
        <v>540</v>
      </c>
      <c r="R307" s="193">
        <v>0</v>
      </c>
      <c r="S307" s="193">
        <v>0</v>
      </c>
      <c r="T307" s="193">
        <f t="shared" si="141"/>
        <v>4320</v>
      </c>
      <c r="U307"/>
      <c r="V307">
        <f>+PRESUPUESTO22[[#This Row],[EJECUTADO ]]-SUM(PRESUPUESTO22[[#This Row],[   ENERO ]:[DIC]])</f>
        <v>0</v>
      </c>
      <c r="W307"/>
      <c r="X307"/>
    </row>
    <row r="308" spans="1:24" ht="15" x14ac:dyDescent="0.25">
      <c r="A308" s="52">
        <v>66</v>
      </c>
      <c r="B308" s="141">
        <v>702010212</v>
      </c>
      <c r="C308" s="130" t="str">
        <f t="shared" si="127"/>
        <v>E-0702010212</v>
      </c>
      <c r="D308" s="130">
        <v>258</v>
      </c>
      <c r="E308" s="141" t="s">
        <v>69</v>
      </c>
      <c r="F308" s="347" t="s">
        <v>226</v>
      </c>
      <c r="G308" s="193">
        <v>0</v>
      </c>
      <c r="H308" s="193">
        <v>10098</v>
      </c>
      <c r="I308" s="193">
        <v>10098</v>
      </c>
      <c r="J308" s="193">
        <v>10098</v>
      </c>
      <c r="K308" s="193">
        <v>0</v>
      </c>
      <c r="L308" s="193">
        <v>0</v>
      </c>
      <c r="M308" s="193">
        <v>0</v>
      </c>
      <c r="N308" s="193">
        <f>10098*2</f>
        <v>20196</v>
      </c>
      <c r="O308" s="193">
        <v>10098</v>
      </c>
      <c r="P308" s="193">
        <v>10098</v>
      </c>
      <c r="Q308" s="193">
        <v>0</v>
      </c>
      <c r="R308" s="193">
        <v>0</v>
      </c>
      <c r="S308" s="193">
        <v>0</v>
      </c>
      <c r="T308" s="193">
        <f t="shared" si="141"/>
        <v>70686</v>
      </c>
      <c r="U308"/>
      <c r="V308">
        <f>+PRESUPUESTO22[[#This Row],[EJECUTADO ]]-SUM(PRESUPUESTO22[[#This Row],[   ENERO ]:[DIC]])</f>
        <v>0</v>
      </c>
      <c r="W308"/>
      <c r="X308"/>
    </row>
    <row r="309" spans="1:24" ht="15" x14ac:dyDescent="0.25">
      <c r="A309" s="52"/>
      <c r="B309" s="156">
        <v>702010219</v>
      </c>
      <c r="C309" s="130" t="str">
        <f>"E"&amp;"-0"&amp;B309</f>
        <v>E-0702010219</v>
      </c>
      <c r="D309" s="130">
        <v>259</v>
      </c>
      <c r="E309" s="156" t="s">
        <v>69</v>
      </c>
      <c r="F309" s="365" t="s">
        <v>1401</v>
      </c>
      <c r="G309" s="193">
        <v>0</v>
      </c>
      <c r="H309" s="193">
        <v>0</v>
      </c>
      <c r="I309" s="193">
        <v>0</v>
      </c>
      <c r="J309" s="193">
        <v>0</v>
      </c>
      <c r="K309" s="193">
        <v>0</v>
      </c>
      <c r="L309" s="193">
        <v>0</v>
      </c>
      <c r="M309" s="193">
        <v>0</v>
      </c>
      <c r="N309" s="193">
        <v>0</v>
      </c>
      <c r="O309" s="193">
        <v>0</v>
      </c>
      <c r="P309" s="366">
        <v>0</v>
      </c>
      <c r="Q309" s="366">
        <v>9165</v>
      </c>
      <c r="R309" s="193">
        <v>0</v>
      </c>
      <c r="S309" s="193">
        <v>0</v>
      </c>
      <c r="T309" s="193">
        <f t="shared" si="141"/>
        <v>9165</v>
      </c>
      <c r="U309"/>
      <c r="V309">
        <f>+PRESUPUESTO22[[#This Row],[EJECUTADO ]]-SUM(PRESUPUESTO22[[#This Row],[   ENERO ]:[DIC]])</f>
        <v>0</v>
      </c>
      <c r="W309"/>
      <c r="X309"/>
    </row>
    <row r="310" spans="1:24" ht="15" x14ac:dyDescent="0.25">
      <c r="A310" s="52">
        <v>10</v>
      </c>
      <c r="B310" s="141">
        <v>702010213</v>
      </c>
      <c r="C310" s="130" t="str">
        <f t="shared" si="127"/>
        <v>E-0702010213</v>
      </c>
      <c r="D310" s="130">
        <v>260</v>
      </c>
      <c r="E310" s="141" t="s">
        <v>69</v>
      </c>
      <c r="F310" s="347" t="s">
        <v>227</v>
      </c>
      <c r="G310" s="193">
        <v>0</v>
      </c>
      <c r="H310" s="193">
        <v>450</v>
      </c>
      <c r="I310" s="193">
        <v>450</v>
      </c>
      <c r="J310" s="193">
        <v>450</v>
      </c>
      <c r="K310" s="193">
        <v>0</v>
      </c>
      <c r="L310" s="193">
        <v>0</v>
      </c>
      <c r="M310" s="193">
        <v>0</v>
      </c>
      <c r="N310" s="193">
        <f>450*2</f>
        <v>900</v>
      </c>
      <c r="O310" s="193">
        <v>450</v>
      </c>
      <c r="P310" s="193">
        <v>450</v>
      </c>
      <c r="Q310" s="193">
        <v>450</v>
      </c>
      <c r="R310" s="193">
        <v>0</v>
      </c>
      <c r="S310" s="193">
        <v>0</v>
      </c>
      <c r="T310" s="193">
        <f t="shared" si="141"/>
        <v>3600</v>
      </c>
      <c r="U310"/>
      <c r="V310">
        <f>+PRESUPUESTO22[[#This Row],[EJECUTADO ]]-SUM(PRESUPUESTO22[[#This Row],[   ENERO ]:[DIC]])</f>
        <v>0</v>
      </c>
      <c r="W310"/>
      <c r="X310"/>
    </row>
    <row r="311" spans="1:24" ht="15" x14ac:dyDescent="0.25">
      <c r="A311" s="52">
        <v>1</v>
      </c>
      <c r="B311" s="141">
        <v>702010214</v>
      </c>
      <c r="C311" s="130" t="str">
        <f t="shared" si="127"/>
        <v>E-0702010214</v>
      </c>
      <c r="D311" s="130">
        <v>261</v>
      </c>
      <c r="E311" s="141" t="s">
        <v>69</v>
      </c>
      <c r="F311" s="347" t="s">
        <v>228</v>
      </c>
      <c r="G311" s="193">
        <v>0</v>
      </c>
      <c r="H311" s="193">
        <v>45</v>
      </c>
      <c r="I311" s="193">
        <v>45</v>
      </c>
      <c r="J311" s="193">
        <v>45</v>
      </c>
      <c r="K311" s="193">
        <v>0</v>
      </c>
      <c r="L311" s="193">
        <v>0</v>
      </c>
      <c r="M311" s="193">
        <v>0</v>
      </c>
      <c r="N311" s="193">
        <f>45*2</f>
        <v>90</v>
      </c>
      <c r="O311" s="193">
        <v>45</v>
      </c>
      <c r="P311" s="193">
        <v>45</v>
      </c>
      <c r="Q311" s="193">
        <v>45</v>
      </c>
      <c r="R311" s="193">
        <v>0</v>
      </c>
      <c r="S311" s="193">
        <v>0</v>
      </c>
      <c r="T311" s="193">
        <f t="shared" si="141"/>
        <v>360</v>
      </c>
      <c r="U311"/>
      <c r="V311">
        <f>+PRESUPUESTO22[[#This Row],[EJECUTADO ]]-SUM(PRESUPUESTO22[[#This Row],[   ENERO ]:[DIC]])</f>
        <v>0</v>
      </c>
      <c r="W311"/>
      <c r="X311"/>
    </row>
    <row r="312" spans="1:24" ht="15" x14ac:dyDescent="0.25">
      <c r="A312" s="52">
        <v>2</v>
      </c>
      <c r="B312" s="141">
        <v>702010215</v>
      </c>
      <c r="C312" s="130" t="str">
        <f t="shared" si="127"/>
        <v>E-0702010215</v>
      </c>
      <c r="D312" s="130">
        <v>262</v>
      </c>
      <c r="E312" s="141" t="s">
        <v>69</v>
      </c>
      <c r="F312" s="347" t="s">
        <v>229</v>
      </c>
      <c r="G312" s="193">
        <v>0</v>
      </c>
      <c r="H312" s="193">
        <v>90</v>
      </c>
      <c r="I312" s="193">
        <v>90</v>
      </c>
      <c r="J312" s="193">
        <v>90</v>
      </c>
      <c r="K312" s="193">
        <v>0</v>
      </c>
      <c r="L312" s="193">
        <v>0</v>
      </c>
      <c r="M312" s="193">
        <v>0</v>
      </c>
      <c r="N312" s="193">
        <f>90*2</f>
        <v>180</v>
      </c>
      <c r="O312" s="193">
        <v>90</v>
      </c>
      <c r="P312" s="193">
        <v>90</v>
      </c>
      <c r="Q312" s="193">
        <v>90</v>
      </c>
      <c r="R312" s="193">
        <v>0</v>
      </c>
      <c r="S312" s="193">
        <v>0</v>
      </c>
      <c r="T312" s="193">
        <f t="shared" si="141"/>
        <v>720</v>
      </c>
      <c r="U312"/>
      <c r="V312">
        <f>+PRESUPUESTO22[[#This Row],[EJECUTADO ]]-SUM(PRESUPUESTO22[[#This Row],[   ENERO ]:[DIC]])</f>
        <v>0</v>
      </c>
      <c r="W312"/>
      <c r="X312"/>
    </row>
    <row r="313" spans="1:24" ht="15" x14ac:dyDescent="0.25">
      <c r="A313" s="52">
        <v>1</v>
      </c>
      <c r="B313" s="141">
        <v>702010216</v>
      </c>
      <c r="C313" s="130" t="str">
        <f t="shared" si="127"/>
        <v>E-0702010216</v>
      </c>
      <c r="D313" s="130">
        <v>263</v>
      </c>
      <c r="E313" s="141" t="s">
        <v>69</v>
      </c>
      <c r="F313" s="347" t="s">
        <v>230</v>
      </c>
      <c r="G313" s="193">
        <v>0</v>
      </c>
      <c r="H313" s="193">
        <v>45</v>
      </c>
      <c r="I313" s="193">
        <v>45</v>
      </c>
      <c r="J313" s="193">
        <v>45</v>
      </c>
      <c r="K313" s="193">
        <v>0</v>
      </c>
      <c r="L313" s="193">
        <v>0</v>
      </c>
      <c r="M313" s="193">
        <v>0</v>
      </c>
      <c r="N313" s="193">
        <f>45*2</f>
        <v>90</v>
      </c>
      <c r="O313" s="193">
        <v>45</v>
      </c>
      <c r="P313" s="193">
        <v>45</v>
      </c>
      <c r="Q313" s="193">
        <v>45</v>
      </c>
      <c r="R313" s="193">
        <v>0</v>
      </c>
      <c r="S313" s="193">
        <v>0</v>
      </c>
      <c r="T313" s="193">
        <f t="shared" si="141"/>
        <v>360</v>
      </c>
      <c r="U313"/>
      <c r="V313">
        <f>+PRESUPUESTO22[[#This Row],[EJECUTADO ]]-SUM(PRESUPUESTO22[[#This Row],[   ENERO ]:[DIC]])</f>
        <v>0</v>
      </c>
      <c r="W313"/>
      <c r="X313"/>
    </row>
    <row r="314" spans="1:24" ht="27.75" customHeight="1" x14ac:dyDescent="0.25">
      <c r="A314" s="52">
        <v>2</v>
      </c>
      <c r="B314" s="141">
        <v>702010217</v>
      </c>
      <c r="C314" s="130" t="str">
        <f t="shared" si="127"/>
        <v>E-0702010217</v>
      </c>
      <c r="D314" s="130">
        <v>264</v>
      </c>
      <c r="E314" s="141" t="s">
        <v>69</v>
      </c>
      <c r="F314" s="347" t="s">
        <v>231</v>
      </c>
      <c r="G314" s="193">
        <v>0</v>
      </c>
      <c r="H314" s="193">
        <v>90</v>
      </c>
      <c r="I314" s="193">
        <v>90</v>
      </c>
      <c r="J314" s="193">
        <v>90</v>
      </c>
      <c r="K314" s="193">
        <v>0</v>
      </c>
      <c r="L314" s="193">
        <v>0</v>
      </c>
      <c r="M314" s="193">
        <v>0</v>
      </c>
      <c r="N314" s="193">
        <f>90*2</f>
        <v>180</v>
      </c>
      <c r="O314" s="193">
        <v>90</v>
      </c>
      <c r="P314" s="193">
        <v>90</v>
      </c>
      <c r="Q314" s="193">
        <v>90</v>
      </c>
      <c r="R314" s="193">
        <v>0</v>
      </c>
      <c r="S314" s="193">
        <v>0</v>
      </c>
      <c r="T314" s="193">
        <f t="shared" si="141"/>
        <v>720</v>
      </c>
      <c r="U314"/>
      <c r="V314">
        <f>+PRESUPUESTO22[[#This Row],[EJECUTADO ]]-SUM(PRESUPUESTO22[[#This Row],[   ENERO ]:[DIC]])</f>
        <v>0</v>
      </c>
      <c r="W314"/>
      <c r="X314"/>
    </row>
    <row r="315" spans="1:24" ht="27.75" customHeight="1" x14ac:dyDescent="0.25">
      <c r="A315" s="52"/>
      <c r="B315" s="156">
        <v>702010220</v>
      </c>
      <c r="C315" s="130" t="str">
        <f>"E"&amp;"-0"&amp;B315</f>
        <v>E-0702010220</v>
      </c>
      <c r="D315" s="130">
        <v>265</v>
      </c>
      <c r="E315" s="156" t="s">
        <v>69</v>
      </c>
      <c r="F315" s="347" t="s">
        <v>1402</v>
      </c>
      <c r="G315" s="193">
        <v>0</v>
      </c>
      <c r="H315" s="193">
        <v>0</v>
      </c>
      <c r="I315" s="193">
        <v>0</v>
      </c>
      <c r="J315" s="193">
        <v>0</v>
      </c>
      <c r="K315" s="193">
        <v>0</v>
      </c>
      <c r="L315" s="193">
        <v>0</v>
      </c>
      <c r="M315" s="193">
        <v>0</v>
      </c>
      <c r="N315" s="193">
        <v>0</v>
      </c>
      <c r="O315" s="193">
        <v>0</v>
      </c>
      <c r="P315" s="366">
        <v>0</v>
      </c>
      <c r="Q315" s="366">
        <v>140</v>
      </c>
      <c r="R315" s="193">
        <v>0</v>
      </c>
      <c r="S315" s="193">
        <v>0</v>
      </c>
      <c r="T315" s="193">
        <f t="shared" si="141"/>
        <v>140</v>
      </c>
      <c r="U315"/>
      <c r="V315">
        <f>+PRESUPUESTO22[[#This Row],[EJECUTADO ]]-SUM(PRESUPUESTO22[[#This Row],[   ENERO ]:[DIC]])</f>
        <v>0</v>
      </c>
      <c r="W315"/>
      <c r="X315"/>
    </row>
    <row r="316" spans="1:24" ht="15.95" customHeight="1" x14ac:dyDescent="0.25">
      <c r="A316" s="86">
        <f>SUM(A317:A323)</f>
        <v>76</v>
      </c>
      <c r="B316" s="152">
        <v>7020103</v>
      </c>
      <c r="C316" s="130" t="str">
        <f t="shared" si="127"/>
        <v>E-07020103</v>
      </c>
      <c r="D316" s="130">
        <v>266</v>
      </c>
      <c r="E316" s="146" t="s">
        <v>69</v>
      </c>
      <c r="F316" s="202" t="s">
        <v>232</v>
      </c>
      <c r="G316" s="203">
        <f t="shared" ref="G316:T316" si="142">SUM(G317:G323)</f>
        <v>0</v>
      </c>
      <c r="H316" s="203">
        <f t="shared" si="142"/>
        <v>8900</v>
      </c>
      <c r="I316" s="203">
        <f t="shared" si="142"/>
        <v>8900</v>
      </c>
      <c r="J316" s="203">
        <f t="shared" si="142"/>
        <v>8900</v>
      </c>
      <c r="K316" s="203">
        <f t="shared" si="142"/>
        <v>0</v>
      </c>
      <c r="L316" s="203">
        <f t="shared" si="142"/>
        <v>0</v>
      </c>
      <c r="M316" s="203">
        <f t="shared" si="142"/>
        <v>0</v>
      </c>
      <c r="N316" s="203">
        <f t="shared" si="142"/>
        <v>17800</v>
      </c>
      <c r="O316" s="203">
        <f t="shared" si="142"/>
        <v>8900</v>
      </c>
      <c r="P316" s="203">
        <f t="shared" si="142"/>
        <v>8900</v>
      </c>
      <c r="Q316" s="203">
        <f t="shared" si="142"/>
        <v>8900</v>
      </c>
      <c r="R316" s="120">
        <f t="shared" si="142"/>
        <v>0</v>
      </c>
      <c r="S316" s="120">
        <f t="shared" si="142"/>
        <v>0</v>
      </c>
      <c r="T316" s="120">
        <f t="shared" si="142"/>
        <v>71200</v>
      </c>
      <c r="U316"/>
      <c r="V316">
        <f>+PRESUPUESTO22[[#This Row],[EJECUTADO ]]-SUM(PRESUPUESTO22[[#This Row],[   ENERO ]:[DIC]])</f>
        <v>0</v>
      </c>
      <c r="W316"/>
      <c r="X316"/>
    </row>
    <row r="317" spans="1:24" ht="29.25" customHeight="1" x14ac:dyDescent="0.25">
      <c r="A317" s="52">
        <v>65</v>
      </c>
      <c r="B317" s="141">
        <v>702010301</v>
      </c>
      <c r="C317" s="130" t="str">
        <f t="shared" si="127"/>
        <v>E-0702010301</v>
      </c>
      <c r="D317" s="130">
        <v>267</v>
      </c>
      <c r="E317" s="141" t="s">
        <v>69</v>
      </c>
      <c r="F317" s="347" t="s">
        <v>233</v>
      </c>
      <c r="G317" s="193">
        <v>0</v>
      </c>
      <c r="H317" s="122">
        <v>8450</v>
      </c>
      <c r="I317" s="122">
        <v>8450</v>
      </c>
      <c r="J317" s="122">
        <v>8450</v>
      </c>
      <c r="K317" s="193">
        <v>0</v>
      </c>
      <c r="L317" s="193">
        <v>0</v>
      </c>
      <c r="M317" s="193">
        <v>0</v>
      </c>
      <c r="N317" s="122">
        <f>8450*2</f>
        <v>16900</v>
      </c>
      <c r="O317" s="122">
        <v>8450</v>
      </c>
      <c r="P317" s="122">
        <v>8450</v>
      </c>
      <c r="Q317" s="122">
        <v>8450</v>
      </c>
      <c r="R317" s="193">
        <v>0</v>
      </c>
      <c r="S317" s="193">
        <v>0</v>
      </c>
      <c r="T317" s="193">
        <f t="shared" ref="T317:T323" si="143">SUM(H317:S317)</f>
        <v>67600</v>
      </c>
      <c r="U317"/>
      <c r="V317">
        <f>+PRESUPUESTO22[[#This Row],[EJECUTADO ]]-SUM(PRESUPUESTO22[[#This Row],[   ENERO ]:[DIC]])</f>
        <v>0</v>
      </c>
      <c r="W317"/>
      <c r="X317"/>
    </row>
    <row r="318" spans="1:24" ht="15" x14ac:dyDescent="0.25">
      <c r="A318" s="52">
        <v>3</v>
      </c>
      <c r="B318" s="141">
        <v>702010302</v>
      </c>
      <c r="C318" s="130" t="str">
        <f t="shared" si="127"/>
        <v>E-0702010302</v>
      </c>
      <c r="D318" s="130">
        <v>268</v>
      </c>
      <c r="E318" s="141" t="s">
        <v>69</v>
      </c>
      <c r="F318" s="347" t="s">
        <v>234</v>
      </c>
      <c r="G318" s="193">
        <v>0</v>
      </c>
      <c r="H318" s="122">
        <v>90</v>
      </c>
      <c r="I318" s="122">
        <v>90</v>
      </c>
      <c r="J318" s="122">
        <v>90</v>
      </c>
      <c r="K318" s="193">
        <v>0</v>
      </c>
      <c r="L318" s="193">
        <v>0</v>
      </c>
      <c r="M318" s="193">
        <v>0</v>
      </c>
      <c r="N318" s="122">
        <f>90*2</f>
        <v>180</v>
      </c>
      <c r="O318" s="122">
        <v>90</v>
      </c>
      <c r="P318" s="122">
        <v>90</v>
      </c>
      <c r="Q318" s="122">
        <v>90</v>
      </c>
      <c r="R318" s="193">
        <v>0</v>
      </c>
      <c r="S318" s="193">
        <v>0</v>
      </c>
      <c r="T318" s="193">
        <f t="shared" si="143"/>
        <v>720</v>
      </c>
      <c r="U318"/>
      <c r="V318">
        <f>+PRESUPUESTO22[[#This Row],[EJECUTADO ]]-SUM(PRESUPUESTO22[[#This Row],[   ENERO ]:[DIC]])</f>
        <v>0</v>
      </c>
      <c r="W318"/>
      <c r="X318"/>
    </row>
    <row r="319" spans="1:24" ht="15" x14ac:dyDescent="0.25">
      <c r="A319" s="52">
        <v>3</v>
      </c>
      <c r="B319" s="141">
        <v>702010303</v>
      </c>
      <c r="C319" s="130" t="str">
        <f t="shared" si="127"/>
        <v>E-0702010303</v>
      </c>
      <c r="D319" s="130">
        <v>269</v>
      </c>
      <c r="E319" s="141" t="s">
        <v>69</v>
      </c>
      <c r="F319" s="347" t="s">
        <v>235</v>
      </c>
      <c r="G319" s="193">
        <v>0</v>
      </c>
      <c r="H319" s="122">
        <v>135</v>
      </c>
      <c r="I319" s="122">
        <v>135</v>
      </c>
      <c r="J319" s="122">
        <v>135</v>
      </c>
      <c r="K319" s="193">
        <v>0</v>
      </c>
      <c r="L319" s="193">
        <v>0</v>
      </c>
      <c r="M319" s="193">
        <v>0</v>
      </c>
      <c r="N319" s="122">
        <f>135*2</f>
        <v>270</v>
      </c>
      <c r="O319" s="122">
        <v>135</v>
      </c>
      <c r="P319" s="122">
        <v>135</v>
      </c>
      <c r="Q319" s="122">
        <v>135</v>
      </c>
      <c r="R319" s="193">
        <v>0</v>
      </c>
      <c r="S319" s="193">
        <v>0</v>
      </c>
      <c r="T319" s="193">
        <f t="shared" si="143"/>
        <v>1080</v>
      </c>
      <c r="U319"/>
      <c r="V319">
        <f>+PRESUPUESTO22[[#This Row],[EJECUTADO ]]-SUM(PRESUPUESTO22[[#This Row],[   ENERO ]:[DIC]])</f>
        <v>0</v>
      </c>
      <c r="W319"/>
      <c r="X319"/>
    </row>
    <row r="320" spans="1:24" ht="15" x14ac:dyDescent="0.25">
      <c r="A320" s="52">
        <v>1</v>
      </c>
      <c r="B320" s="141">
        <v>702010304</v>
      </c>
      <c r="C320" s="130" t="str">
        <f t="shared" si="127"/>
        <v>E-0702010304</v>
      </c>
      <c r="D320" s="130">
        <v>270</v>
      </c>
      <c r="E320" s="141" t="s">
        <v>69</v>
      </c>
      <c r="F320" s="347" t="s">
        <v>236</v>
      </c>
      <c r="G320" s="193">
        <v>0</v>
      </c>
      <c r="H320" s="122">
        <v>45</v>
      </c>
      <c r="I320" s="122">
        <v>45</v>
      </c>
      <c r="J320" s="122">
        <v>45</v>
      </c>
      <c r="K320" s="193">
        <v>0</v>
      </c>
      <c r="L320" s="193">
        <v>0</v>
      </c>
      <c r="M320" s="193">
        <v>0</v>
      </c>
      <c r="N320" s="122">
        <f>45*2</f>
        <v>90</v>
      </c>
      <c r="O320" s="122">
        <v>45</v>
      </c>
      <c r="P320" s="122">
        <v>45</v>
      </c>
      <c r="Q320" s="122">
        <v>45</v>
      </c>
      <c r="R320" s="193">
        <v>0</v>
      </c>
      <c r="S320" s="193">
        <v>0</v>
      </c>
      <c r="T320" s="193">
        <f t="shared" si="143"/>
        <v>360</v>
      </c>
      <c r="U320"/>
      <c r="V320">
        <f>+PRESUPUESTO22[[#This Row],[EJECUTADO ]]-SUM(PRESUPUESTO22[[#This Row],[   ENERO ]:[DIC]])</f>
        <v>0</v>
      </c>
      <c r="W320"/>
      <c r="X320"/>
    </row>
    <row r="321" spans="1:24" ht="15" x14ac:dyDescent="0.25">
      <c r="A321" s="52">
        <v>1</v>
      </c>
      <c r="B321" s="141">
        <v>702010305</v>
      </c>
      <c r="C321" s="130" t="str">
        <f t="shared" si="127"/>
        <v>E-0702010305</v>
      </c>
      <c r="D321" s="130">
        <v>271</v>
      </c>
      <c r="E321" s="141" t="s">
        <v>69</v>
      </c>
      <c r="F321" s="347" t="s">
        <v>237</v>
      </c>
      <c r="G321" s="193">
        <v>0</v>
      </c>
      <c r="H321" s="122">
        <v>45</v>
      </c>
      <c r="I321" s="122">
        <v>45</v>
      </c>
      <c r="J321" s="122">
        <v>45</v>
      </c>
      <c r="K321" s="193">
        <v>0</v>
      </c>
      <c r="L321" s="193">
        <v>0</v>
      </c>
      <c r="M321" s="193">
        <v>0</v>
      </c>
      <c r="N321" s="122">
        <f>45*2</f>
        <v>90</v>
      </c>
      <c r="O321" s="122">
        <v>45</v>
      </c>
      <c r="P321" s="122">
        <v>45</v>
      </c>
      <c r="Q321" s="122">
        <v>45</v>
      </c>
      <c r="R321" s="193">
        <v>0</v>
      </c>
      <c r="S321" s="193">
        <v>0</v>
      </c>
      <c r="T321" s="193">
        <f t="shared" si="143"/>
        <v>360</v>
      </c>
      <c r="U321"/>
      <c r="V321">
        <f>+PRESUPUESTO22[[#This Row],[EJECUTADO ]]-SUM(PRESUPUESTO22[[#This Row],[   ENERO ]:[DIC]])</f>
        <v>0</v>
      </c>
      <c r="W321"/>
      <c r="X321"/>
    </row>
    <row r="322" spans="1:24" ht="15" x14ac:dyDescent="0.25">
      <c r="A322" s="52">
        <v>2</v>
      </c>
      <c r="B322" s="141">
        <v>702010306</v>
      </c>
      <c r="C322" s="130" t="str">
        <f t="shared" si="127"/>
        <v>E-0702010306</v>
      </c>
      <c r="D322" s="130">
        <v>272</v>
      </c>
      <c r="E322" s="141" t="s">
        <v>69</v>
      </c>
      <c r="F322" s="347" t="s">
        <v>238</v>
      </c>
      <c r="G322" s="193">
        <v>0</v>
      </c>
      <c r="H322" s="122">
        <v>90</v>
      </c>
      <c r="I322" s="122">
        <v>90</v>
      </c>
      <c r="J322" s="122">
        <v>90</v>
      </c>
      <c r="K322" s="193">
        <v>0</v>
      </c>
      <c r="L322" s="193">
        <v>0</v>
      </c>
      <c r="M322" s="193">
        <v>0</v>
      </c>
      <c r="N322" s="122">
        <f>90*2</f>
        <v>180</v>
      </c>
      <c r="O322" s="122">
        <v>90</v>
      </c>
      <c r="P322" s="122">
        <v>90</v>
      </c>
      <c r="Q322" s="122">
        <v>90</v>
      </c>
      <c r="R322" s="193">
        <v>0</v>
      </c>
      <c r="S322" s="193">
        <v>0</v>
      </c>
      <c r="T322" s="193">
        <f t="shared" si="143"/>
        <v>720</v>
      </c>
      <c r="U322"/>
      <c r="V322">
        <f>+PRESUPUESTO22[[#This Row],[EJECUTADO ]]-SUM(PRESUPUESTO22[[#This Row],[   ENERO ]:[DIC]])</f>
        <v>0</v>
      </c>
      <c r="W322"/>
      <c r="X322"/>
    </row>
    <row r="323" spans="1:24" ht="15" x14ac:dyDescent="0.25">
      <c r="A323" s="52">
        <v>1</v>
      </c>
      <c r="B323" s="141">
        <v>702010307</v>
      </c>
      <c r="C323" s="130" t="str">
        <f t="shared" si="127"/>
        <v>E-0702010307</v>
      </c>
      <c r="D323" s="130">
        <v>273</v>
      </c>
      <c r="E323" s="141" t="s">
        <v>69</v>
      </c>
      <c r="F323" s="347" t="s">
        <v>239</v>
      </c>
      <c r="G323" s="193">
        <v>0</v>
      </c>
      <c r="H323" s="122">
        <v>45</v>
      </c>
      <c r="I323" s="122">
        <v>45</v>
      </c>
      <c r="J323" s="122">
        <v>45</v>
      </c>
      <c r="K323" s="193">
        <v>0</v>
      </c>
      <c r="L323" s="193">
        <v>0</v>
      </c>
      <c r="M323" s="193">
        <v>0</v>
      </c>
      <c r="N323" s="122">
        <f>45*2</f>
        <v>90</v>
      </c>
      <c r="O323" s="122">
        <v>45</v>
      </c>
      <c r="P323" s="122">
        <v>45</v>
      </c>
      <c r="Q323" s="122">
        <v>45</v>
      </c>
      <c r="R323" s="193">
        <v>0</v>
      </c>
      <c r="S323" s="193">
        <v>0</v>
      </c>
      <c r="T323" s="193">
        <f t="shared" si="143"/>
        <v>360</v>
      </c>
      <c r="U323"/>
      <c r="V323">
        <f>+PRESUPUESTO22[[#This Row],[EJECUTADO ]]-SUM(PRESUPUESTO22[[#This Row],[   ENERO ]:[DIC]])</f>
        <v>0</v>
      </c>
      <c r="W323"/>
      <c r="X323"/>
    </row>
    <row r="324" spans="1:24" ht="15.95" customHeight="1" x14ac:dyDescent="0.25">
      <c r="A324" s="112">
        <v>1</v>
      </c>
      <c r="B324" s="152">
        <v>7020104</v>
      </c>
      <c r="C324" s="130" t="str">
        <f t="shared" si="127"/>
        <v>E-07020104</v>
      </c>
      <c r="D324" s="130">
        <v>274</v>
      </c>
      <c r="E324" s="146" t="s">
        <v>69</v>
      </c>
      <c r="F324" s="202" t="s">
        <v>240</v>
      </c>
      <c r="G324" s="203">
        <f t="shared" ref="G324:T324" si="144">+G325</f>
        <v>0</v>
      </c>
      <c r="H324" s="203">
        <f t="shared" si="144"/>
        <v>45</v>
      </c>
      <c r="I324" s="203">
        <f t="shared" si="144"/>
        <v>45</v>
      </c>
      <c r="J324" s="203">
        <f t="shared" si="144"/>
        <v>45</v>
      </c>
      <c r="K324" s="203">
        <f t="shared" si="144"/>
        <v>0</v>
      </c>
      <c r="L324" s="203">
        <f t="shared" si="144"/>
        <v>0</v>
      </c>
      <c r="M324" s="203">
        <f t="shared" si="144"/>
        <v>0</v>
      </c>
      <c r="N324" s="203">
        <f t="shared" si="144"/>
        <v>90</v>
      </c>
      <c r="O324" s="203">
        <f t="shared" si="144"/>
        <v>45</v>
      </c>
      <c r="P324" s="203">
        <f t="shared" si="144"/>
        <v>45</v>
      </c>
      <c r="Q324" s="203">
        <f t="shared" si="144"/>
        <v>45</v>
      </c>
      <c r="R324" s="120">
        <f t="shared" si="144"/>
        <v>0</v>
      </c>
      <c r="S324" s="120">
        <f t="shared" si="144"/>
        <v>0</v>
      </c>
      <c r="T324" s="120">
        <f t="shared" si="144"/>
        <v>360</v>
      </c>
      <c r="U324"/>
      <c r="V324">
        <f>+PRESUPUESTO22[[#This Row],[EJECUTADO ]]-SUM(PRESUPUESTO22[[#This Row],[   ENERO ]:[DIC]])</f>
        <v>0</v>
      </c>
      <c r="W324"/>
      <c r="X324"/>
    </row>
    <row r="325" spans="1:24" ht="18.75" customHeight="1" x14ac:dyDescent="0.25">
      <c r="A325" s="52">
        <v>1</v>
      </c>
      <c r="B325" s="141">
        <v>702010401</v>
      </c>
      <c r="C325" s="130" t="str">
        <f t="shared" si="127"/>
        <v>E-0702010401</v>
      </c>
      <c r="D325" s="130">
        <v>275</v>
      </c>
      <c r="E325" s="141" t="s">
        <v>69</v>
      </c>
      <c r="F325" s="347" t="s">
        <v>241</v>
      </c>
      <c r="G325" s="193">
        <v>0</v>
      </c>
      <c r="H325" s="122">
        <v>45</v>
      </c>
      <c r="I325" s="122">
        <v>45</v>
      </c>
      <c r="J325" s="122">
        <v>45</v>
      </c>
      <c r="K325" s="193">
        <v>0</v>
      </c>
      <c r="L325" s="193">
        <v>0</v>
      </c>
      <c r="M325" s="193">
        <v>0</v>
      </c>
      <c r="N325" s="122">
        <f>45*2</f>
        <v>90</v>
      </c>
      <c r="O325" s="122">
        <v>45</v>
      </c>
      <c r="P325" s="122">
        <v>45</v>
      </c>
      <c r="Q325" s="122">
        <v>45</v>
      </c>
      <c r="R325" s="193">
        <v>0</v>
      </c>
      <c r="S325" s="193">
        <v>0</v>
      </c>
      <c r="T325" s="193">
        <f>SUM(H325:S325)</f>
        <v>360</v>
      </c>
      <c r="U325"/>
      <c r="V325">
        <f>+PRESUPUESTO22[[#This Row],[EJECUTADO ]]-SUM(PRESUPUESTO22[[#This Row],[   ENERO ]:[DIC]])</f>
        <v>0</v>
      </c>
      <c r="W325"/>
      <c r="X325"/>
    </row>
    <row r="326" spans="1:24" ht="15.95" customHeight="1" x14ac:dyDescent="0.25">
      <c r="A326" s="112">
        <f>SUM(A327:A328)</f>
        <v>32</v>
      </c>
      <c r="B326" s="152">
        <v>7020105</v>
      </c>
      <c r="C326" s="130" t="str">
        <f t="shared" si="127"/>
        <v>E-07020105</v>
      </c>
      <c r="D326" s="130">
        <v>276</v>
      </c>
      <c r="E326" s="146" t="s">
        <v>69</v>
      </c>
      <c r="F326" s="202" t="s">
        <v>242</v>
      </c>
      <c r="G326" s="203">
        <f t="shared" ref="G326:T326" si="145">SUM(G327:G328)</f>
        <v>0</v>
      </c>
      <c r="H326" s="203">
        <f t="shared" si="145"/>
        <v>2130</v>
      </c>
      <c r="I326" s="203">
        <f t="shared" si="145"/>
        <v>2130</v>
      </c>
      <c r="J326" s="203">
        <f t="shared" si="145"/>
        <v>2130</v>
      </c>
      <c r="K326" s="203">
        <f t="shared" si="145"/>
        <v>0</v>
      </c>
      <c r="L326" s="203">
        <f t="shared" si="145"/>
        <v>0</v>
      </c>
      <c r="M326" s="203">
        <f t="shared" si="145"/>
        <v>0</v>
      </c>
      <c r="N326" s="203">
        <f t="shared" si="145"/>
        <v>4260</v>
      </c>
      <c r="O326" s="203">
        <f t="shared" si="145"/>
        <v>2130</v>
      </c>
      <c r="P326" s="203">
        <f t="shared" si="145"/>
        <v>2130</v>
      </c>
      <c r="Q326" s="203">
        <f t="shared" si="145"/>
        <v>2130</v>
      </c>
      <c r="R326" s="120">
        <f t="shared" si="145"/>
        <v>0</v>
      </c>
      <c r="S326" s="120">
        <f t="shared" si="145"/>
        <v>0</v>
      </c>
      <c r="T326" s="120">
        <f t="shared" si="145"/>
        <v>17040</v>
      </c>
      <c r="U326"/>
      <c r="V326">
        <f>+PRESUPUESTO22[[#This Row],[EJECUTADO ]]-SUM(PRESUPUESTO22[[#This Row],[   ENERO ]:[DIC]])</f>
        <v>0</v>
      </c>
      <c r="W326"/>
      <c r="X326"/>
    </row>
    <row r="327" spans="1:24" ht="22.5" customHeight="1" x14ac:dyDescent="0.25">
      <c r="A327" s="52">
        <v>30</v>
      </c>
      <c r="B327" s="141">
        <v>702010501</v>
      </c>
      <c r="C327" s="130" t="str">
        <f t="shared" si="127"/>
        <v>E-0702010501</v>
      </c>
      <c r="D327" s="130">
        <v>277</v>
      </c>
      <c r="E327" s="141" t="s">
        <v>69</v>
      </c>
      <c r="F327" s="347" t="s">
        <v>243</v>
      </c>
      <c r="G327" s="193">
        <v>0</v>
      </c>
      <c r="H327" s="122">
        <v>2040</v>
      </c>
      <c r="I327" s="122">
        <v>2040</v>
      </c>
      <c r="J327" s="122">
        <v>2040</v>
      </c>
      <c r="K327" s="193">
        <v>0</v>
      </c>
      <c r="L327" s="193">
        <v>0</v>
      </c>
      <c r="M327" s="193">
        <v>0</v>
      </c>
      <c r="N327" s="122">
        <f>2040*2</f>
        <v>4080</v>
      </c>
      <c r="O327" s="122">
        <v>2040</v>
      </c>
      <c r="P327" s="122">
        <v>2040</v>
      </c>
      <c r="Q327" s="122">
        <v>2040</v>
      </c>
      <c r="R327" s="193">
        <v>0</v>
      </c>
      <c r="S327" s="193">
        <v>0</v>
      </c>
      <c r="T327" s="193">
        <f>SUM(H327:S327)</f>
        <v>16320</v>
      </c>
      <c r="U327"/>
      <c r="V327">
        <f>+PRESUPUESTO22[[#This Row],[EJECUTADO ]]-SUM(PRESUPUESTO22[[#This Row],[   ENERO ]:[DIC]])</f>
        <v>0</v>
      </c>
      <c r="W327"/>
      <c r="X327"/>
    </row>
    <row r="328" spans="1:24" ht="15" x14ac:dyDescent="0.25">
      <c r="A328" s="52">
        <v>2</v>
      </c>
      <c r="B328" s="141">
        <v>702010502</v>
      </c>
      <c r="C328" s="130" t="str">
        <f t="shared" si="127"/>
        <v>E-0702010502</v>
      </c>
      <c r="D328" s="130">
        <v>278</v>
      </c>
      <c r="E328" s="141" t="s">
        <v>69</v>
      </c>
      <c r="F328" s="347" t="s">
        <v>244</v>
      </c>
      <c r="G328" s="193">
        <v>0</v>
      </c>
      <c r="H328" s="122">
        <v>90</v>
      </c>
      <c r="I328" s="122">
        <v>90</v>
      </c>
      <c r="J328" s="122">
        <v>90</v>
      </c>
      <c r="K328" s="193">
        <v>0</v>
      </c>
      <c r="L328" s="193">
        <v>0</v>
      </c>
      <c r="M328" s="193">
        <v>0</v>
      </c>
      <c r="N328" s="122">
        <f>90*2</f>
        <v>180</v>
      </c>
      <c r="O328" s="122">
        <v>90</v>
      </c>
      <c r="P328" s="122">
        <v>90</v>
      </c>
      <c r="Q328" s="122">
        <v>90</v>
      </c>
      <c r="R328" s="193">
        <v>0</v>
      </c>
      <c r="S328" s="193">
        <v>0</v>
      </c>
      <c r="T328" s="193">
        <f>SUM(H328:S328)</f>
        <v>720</v>
      </c>
      <c r="U328"/>
      <c r="V328">
        <f>+PRESUPUESTO22[[#This Row],[EJECUTADO ]]-SUM(PRESUPUESTO22[[#This Row],[   ENERO ]:[DIC]])</f>
        <v>0</v>
      </c>
      <c r="W328"/>
      <c r="X328"/>
    </row>
    <row r="329" spans="1:24" ht="15.95" customHeight="1" x14ac:dyDescent="0.25">
      <c r="A329" s="112">
        <f>SUM(A330:A331)</f>
        <v>9</v>
      </c>
      <c r="B329" s="152">
        <v>7020106</v>
      </c>
      <c r="C329" s="130" t="str">
        <f t="shared" si="127"/>
        <v>E-07020106</v>
      </c>
      <c r="D329" s="130">
        <v>279</v>
      </c>
      <c r="E329" s="146" t="s">
        <v>69</v>
      </c>
      <c r="F329" s="202" t="s">
        <v>245</v>
      </c>
      <c r="G329" s="203">
        <f t="shared" ref="G329:T329" si="146">SUM(G330:G331)</f>
        <v>0</v>
      </c>
      <c r="H329" s="203">
        <f t="shared" si="146"/>
        <v>1023</v>
      </c>
      <c r="I329" s="203">
        <f t="shared" si="146"/>
        <v>1023</v>
      </c>
      <c r="J329" s="203">
        <f t="shared" si="146"/>
        <v>1023</v>
      </c>
      <c r="K329" s="203">
        <f t="shared" si="146"/>
        <v>0</v>
      </c>
      <c r="L329" s="203">
        <f t="shared" si="146"/>
        <v>0</v>
      </c>
      <c r="M329" s="203">
        <f t="shared" si="146"/>
        <v>0</v>
      </c>
      <c r="N329" s="203">
        <f t="shared" si="146"/>
        <v>2046</v>
      </c>
      <c r="O329" s="203">
        <f t="shared" si="146"/>
        <v>1023</v>
      </c>
      <c r="P329" s="203">
        <f t="shared" si="146"/>
        <v>1023</v>
      </c>
      <c r="Q329" s="203">
        <f t="shared" si="146"/>
        <v>1023</v>
      </c>
      <c r="R329" s="120">
        <f t="shared" si="146"/>
        <v>0</v>
      </c>
      <c r="S329" s="120">
        <f t="shared" si="146"/>
        <v>0</v>
      </c>
      <c r="T329" s="120">
        <f t="shared" si="146"/>
        <v>8184</v>
      </c>
      <c r="U329"/>
      <c r="V329">
        <f>+PRESUPUESTO22[[#This Row],[EJECUTADO ]]-SUM(PRESUPUESTO22[[#This Row],[   ENERO ]:[DIC]])</f>
        <v>0</v>
      </c>
      <c r="W329"/>
      <c r="X329"/>
    </row>
    <row r="330" spans="1:24" ht="15" x14ac:dyDescent="0.25">
      <c r="A330" s="52">
        <v>3</v>
      </c>
      <c r="B330" s="141">
        <v>702010601</v>
      </c>
      <c r="C330" s="130" t="str">
        <f t="shared" si="127"/>
        <v>E-0702010601</v>
      </c>
      <c r="D330" s="130">
        <v>280</v>
      </c>
      <c r="E330" s="141" t="s">
        <v>69</v>
      </c>
      <c r="F330" s="347" t="s">
        <v>246</v>
      </c>
      <c r="G330" s="193">
        <v>0</v>
      </c>
      <c r="H330" s="122">
        <v>135</v>
      </c>
      <c r="I330" s="122">
        <v>135</v>
      </c>
      <c r="J330" s="122">
        <v>135</v>
      </c>
      <c r="K330" s="193">
        <v>0</v>
      </c>
      <c r="L330" s="193">
        <v>0</v>
      </c>
      <c r="M330" s="193">
        <v>0</v>
      </c>
      <c r="N330" s="122">
        <f>135*2</f>
        <v>270</v>
      </c>
      <c r="O330" s="122">
        <v>135</v>
      </c>
      <c r="P330" s="122">
        <v>135</v>
      </c>
      <c r="Q330" s="122">
        <v>135</v>
      </c>
      <c r="R330" s="193">
        <v>0</v>
      </c>
      <c r="S330" s="193">
        <v>0</v>
      </c>
      <c r="T330" s="193">
        <f>SUM(H330:S330)</f>
        <v>1080</v>
      </c>
      <c r="U330"/>
      <c r="V330">
        <f>+PRESUPUESTO22[[#This Row],[EJECUTADO ]]-SUM(PRESUPUESTO22[[#This Row],[   ENERO ]:[DIC]])</f>
        <v>0</v>
      </c>
      <c r="W330"/>
      <c r="X330"/>
    </row>
    <row r="331" spans="1:24" ht="27.75" customHeight="1" x14ac:dyDescent="0.25">
      <c r="A331" s="52">
        <v>6</v>
      </c>
      <c r="B331" s="141">
        <v>702010602</v>
      </c>
      <c r="C331" s="130" t="str">
        <f t="shared" si="127"/>
        <v>E-0702010602</v>
      </c>
      <c r="D331" s="130">
        <v>281</v>
      </c>
      <c r="E331" s="141" t="s">
        <v>69</v>
      </c>
      <c r="F331" s="347" t="s">
        <v>247</v>
      </c>
      <c r="G331" s="193">
        <v>0</v>
      </c>
      <c r="H331" s="122">
        <v>888</v>
      </c>
      <c r="I331" s="122">
        <v>888</v>
      </c>
      <c r="J331" s="122">
        <v>888</v>
      </c>
      <c r="K331" s="193">
        <v>0</v>
      </c>
      <c r="L331" s="193">
        <v>0</v>
      </c>
      <c r="M331" s="193">
        <v>0</v>
      </c>
      <c r="N331" s="122">
        <f>888*2</f>
        <v>1776</v>
      </c>
      <c r="O331" s="122">
        <v>888</v>
      </c>
      <c r="P331" s="122">
        <v>888</v>
      </c>
      <c r="Q331" s="122">
        <v>888</v>
      </c>
      <c r="R331" s="193">
        <v>0</v>
      </c>
      <c r="S331" s="193">
        <v>0</v>
      </c>
      <c r="T331" s="193">
        <f>SUM(H331:S331)</f>
        <v>7104</v>
      </c>
      <c r="U331"/>
      <c r="V331">
        <f>+PRESUPUESTO22[[#This Row],[EJECUTADO ]]-SUM(PRESUPUESTO22[[#This Row],[   ENERO ]:[DIC]])</f>
        <v>0</v>
      </c>
      <c r="W331"/>
      <c r="X331"/>
    </row>
    <row r="332" spans="1:24" ht="15.95" customHeight="1" x14ac:dyDescent="0.25">
      <c r="A332" s="112">
        <f>SUM(A333:A335)</f>
        <v>59</v>
      </c>
      <c r="B332" s="152">
        <v>7020107</v>
      </c>
      <c r="C332" s="130" t="str">
        <f t="shared" si="127"/>
        <v>E-07020107</v>
      </c>
      <c r="D332" s="130">
        <v>282</v>
      </c>
      <c r="E332" s="146" t="s">
        <v>69</v>
      </c>
      <c r="F332" s="202" t="s">
        <v>248</v>
      </c>
      <c r="G332" s="203">
        <f t="shared" ref="G332:T332" si="147">SUM(G333:G335)</f>
        <v>0</v>
      </c>
      <c r="H332" s="203">
        <f t="shared" si="147"/>
        <v>5687</v>
      </c>
      <c r="I332" s="203">
        <f t="shared" si="147"/>
        <v>5687</v>
      </c>
      <c r="J332" s="203">
        <f t="shared" si="147"/>
        <v>5687</v>
      </c>
      <c r="K332" s="203">
        <f t="shared" si="147"/>
        <v>0</v>
      </c>
      <c r="L332" s="203">
        <f t="shared" si="147"/>
        <v>0</v>
      </c>
      <c r="M332" s="203">
        <f t="shared" si="147"/>
        <v>0</v>
      </c>
      <c r="N332" s="203">
        <f t="shared" si="147"/>
        <v>11374</v>
      </c>
      <c r="O332" s="203">
        <f t="shared" si="147"/>
        <v>5687</v>
      </c>
      <c r="P332" s="203">
        <f t="shared" si="147"/>
        <v>5687</v>
      </c>
      <c r="Q332" s="203">
        <f t="shared" si="147"/>
        <v>5687</v>
      </c>
      <c r="R332" s="120">
        <f t="shared" si="147"/>
        <v>0</v>
      </c>
      <c r="S332" s="120">
        <f t="shared" si="147"/>
        <v>0</v>
      </c>
      <c r="T332" s="120">
        <f t="shared" si="147"/>
        <v>45496</v>
      </c>
      <c r="U332"/>
      <c r="V332">
        <f>+PRESUPUESTO22[[#This Row],[EJECUTADO ]]-SUM(PRESUPUESTO22[[#This Row],[   ENERO ]:[DIC]])</f>
        <v>0</v>
      </c>
      <c r="W332"/>
      <c r="X332"/>
    </row>
    <row r="333" spans="1:24" ht="15" x14ac:dyDescent="0.25">
      <c r="A333" s="52">
        <v>34</v>
      </c>
      <c r="B333" s="141">
        <v>702010701</v>
      </c>
      <c r="C333" s="130" t="str">
        <f t="shared" si="127"/>
        <v>E-0702010701</v>
      </c>
      <c r="D333" s="130">
        <v>283</v>
      </c>
      <c r="E333" s="141" t="s">
        <v>69</v>
      </c>
      <c r="F333" s="347" t="s">
        <v>249</v>
      </c>
      <c r="G333" s="193">
        <v>0</v>
      </c>
      <c r="H333" s="122">
        <v>3434</v>
      </c>
      <c r="I333" s="122">
        <v>3434</v>
      </c>
      <c r="J333" s="122">
        <v>3434</v>
      </c>
      <c r="K333" s="193">
        <v>0</v>
      </c>
      <c r="L333" s="193">
        <v>0</v>
      </c>
      <c r="M333" s="193">
        <v>0</v>
      </c>
      <c r="N333" s="122">
        <f>3434*2</f>
        <v>6868</v>
      </c>
      <c r="O333" s="122">
        <v>3434</v>
      </c>
      <c r="P333" s="122">
        <v>3434</v>
      </c>
      <c r="Q333" s="122">
        <v>3434</v>
      </c>
      <c r="R333" s="193">
        <v>0</v>
      </c>
      <c r="S333" s="193">
        <v>0</v>
      </c>
      <c r="T333" s="193">
        <f>SUM(H333:S333)</f>
        <v>27472</v>
      </c>
      <c r="U333"/>
      <c r="V333">
        <f>+PRESUPUESTO22[[#This Row],[EJECUTADO ]]-SUM(PRESUPUESTO22[[#This Row],[   ENERO ]:[DIC]])</f>
        <v>0</v>
      </c>
      <c r="W333"/>
      <c r="X333"/>
    </row>
    <row r="334" spans="1:24" ht="15" x14ac:dyDescent="0.25">
      <c r="A334" s="52">
        <v>4</v>
      </c>
      <c r="B334" s="141">
        <v>702010702</v>
      </c>
      <c r="C334" s="130" t="str">
        <f t="shared" ref="C334:C397" si="148">"E"&amp;"-0"&amp;B334</f>
        <v>E-0702010702</v>
      </c>
      <c r="D334" s="130">
        <v>284</v>
      </c>
      <c r="E334" s="141" t="s">
        <v>69</v>
      </c>
      <c r="F334" s="347" t="s">
        <v>250</v>
      </c>
      <c r="G334" s="193">
        <v>0</v>
      </c>
      <c r="H334" s="122">
        <v>552</v>
      </c>
      <c r="I334" s="122">
        <v>552</v>
      </c>
      <c r="J334" s="122">
        <v>552</v>
      </c>
      <c r="K334" s="193">
        <v>0</v>
      </c>
      <c r="L334" s="193">
        <v>0</v>
      </c>
      <c r="M334" s="193">
        <v>0</v>
      </c>
      <c r="N334" s="122">
        <f>552*2</f>
        <v>1104</v>
      </c>
      <c r="O334" s="122">
        <v>552</v>
      </c>
      <c r="P334" s="122">
        <v>552</v>
      </c>
      <c r="Q334" s="122">
        <v>552</v>
      </c>
      <c r="R334" s="193">
        <v>0</v>
      </c>
      <c r="S334" s="193">
        <v>0</v>
      </c>
      <c r="T334" s="193">
        <f>SUM(H334:S334)</f>
        <v>4416</v>
      </c>
      <c r="U334"/>
      <c r="V334">
        <f>+PRESUPUESTO22[[#This Row],[EJECUTADO ]]-SUM(PRESUPUESTO22[[#This Row],[   ENERO ]:[DIC]])</f>
        <v>0</v>
      </c>
      <c r="W334"/>
      <c r="X334"/>
    </row>
    <row r="335" spans="1:24" ht="15" x14ac:dyDescent="0.25">
      <c r="A335" s="52">
        <v>21</v>
      </c>
      <c r="B335" s="141">
        <v>702010703</v>
      </c>
      <c r="C335" s="130" t="str">
        <f t="shared" si="148"/>
        <v>E-0702010703</v>
      </c>
      <c r="D335" s="130">
        <v>285</v>
      </c>
      <c r="E335" s="141" t="s">
        <v>69</v>
      </c>
      <c r="F335" s="347" t="s">
        <v>251</v>
      </c>
      <c r="G335" s="193">
        <v>0</v>
      </c>
      <c r="H335" s="122">
        <v>1701</v>
      </c>
      <c r="I335" s="122">
        <v>1701</v>
      </c>
      <c r="J335" s="122">
        <v>1701</v>
      </c>
      <c r="K335" s="193">
        <v>0</v>
      </c>
      <c r="L335" s="193">
        <v>0</v>
      </c>
      <c r="M335" s="193">
        <v>0</v>
      </c>
      <c r="N335" s="122">
        <f>1701*2</f>
        <v>3402</v>
      </c>
      <c r="O335" s="122">
        <v>1701</v>
      </c>
      <c r="P335" s="122">
        <v>1701</v>
      </c>
      <c r="Q335" s="122">
        <v>1701</v>
      </c>
      <c r="R335" s="193">
        <v>0</v>
      </c>
      <c r="S335" s="193">
        <v>0</v>
      </c>
      <c r="T335" s="193">
        <f>SUM(H335:S335)</f>
        <v>13608</v>
      </c>
      <c r="U335"/>
      <c r="V335">
        <f>+PRESUPUESTO22[[#This Row],[EJECUTADO ]]-SUM(PRESUPUESTO22[[#This Row],[   ENERO ]:[DIC]])</f>
        <v>0</v>
      </c>
      <c r="W335"/>
      <c r="X335"/>
    </row>
    <row r="336" spans="1:24" ht="15.95" customHeight="1" x14ac:dyDescent="0.25">
      <c r="A336" s="112">
        <f>+A337+A338</f>
        <v>12</v>
      </c>
      <c r="B336" s="152">
        <v>7020108</v>
      </c>
      <c r="C336" s="130" t="str">
        <f t="shared" si="148"/>
        <v>E-07020108</v>
      </c>
      <c r="D336" s="130">
        <v>286</v>
      </c>
      <c r="E336" s="146" t="s">
        <v>69</v>
      </c>
      <c r="F336" s="202" t="s">
        <v>252</v>
      </c>
      <c r="G336" s="203">
        <f t="shared" ref="G336:T336" si="149">SUM(G337:G338)</f>
        <v>0</v>
      </c>
      <c r="H336" s="203">
        <f t="shared" si="149"/>
        <v>840</v>
      </c>
      <c r="I336" s="203">
        <f t="shared" si="149"/>
        <v>840</v>
      </c>
      <c r="J336" s="203">
        <f t="shared" si="149"/>
        <v>840</v>
      </c>
      <c r="K336" s="203">
        <f t="shared" si="149"/>
        <v>0</v>
      </c>
      <c r="L336" s="203">
        <f t="shared" si="149"/>
        <v>0</v>
      </c>
      <c r="M336" s="203">
        <f t="shared" si="149"/>
        <v>0</v>
      </c>
      <c r="N336" s="203">
        <f t="shared" si="149"/>
        <v>1680</v>
      </c>
      <c r="O336" s="203">
        <f t="shared" si="149"/>
        <v>840</v>
      </c>
      <c r="P336" s="203">
        <f t="shared" si="149"/>
        <v>840</v>
      </c>
      <c r="Q336" s="203">
        <f t="shared" si="149"/>
        <v>840</v>
      </c>
      <c r="R336" s="120">
        <f t="shared" si="149"/>
        <v>0</v>
      </c>
      <c r="S336" s="120">
        <f t="shared" si="149"/>
        <v>0</v>
      </c>
      <c r="T336" s="120">
        <f t="shared" si="149"/>
        <v>6720</v>
      </c>
      <c r="U336"/>
      <c r="V336">
        <f>+PRESUPUESTO22[[#This Row],[EJECUTADO ]]-SUM(PRESUPUESTO22[[#This Row],[   ENERO ]:[DIC]])</f>
        <v>0</v>
      </c>
      <c r="W336"/>
      <c r="X336"/>
    </row>
    <row r="337" spans="1:24" ht="15" x14ac:dyDescent="0.25">
      <c r="A337" s="52">
        <v>10</v>
      </c>
      <c r="B337" s="141">
        <v>702010801</v>
      </c>
      <c r="C337" s="130" t="str">
        <f t="shared" si="148"/>
        <v>E-0702010801</v>
      </c>
      <c r="D337" s="130">
        <v>287</v>
      </c>
      <c r="E337" s="141" t="s">
        <v>69</v>
      </c>
      <c r="F337" s="347" t="s">
        <v>253</v>
      </c>
      <c r="G337" s="193">
        <v>0</v>
      </c>
      <c r="H337" s="122">
        <v>750</v>
      </c>
      <c r="I337" s="122">
        <v>750</v>
      </c>
      <c r="J337" s="122">
        <v>750</v>
      </c>
      <c r="K337" s="193">
        <v>0</v>
      </c>
      <c r="L337" s="193">
        <v>0</v>
      </c>
      <c r="M337" s="193">
        <v>0</v>
      </c>
      <c r="N337" s="122">
        <f>750*2</f>
        <v>1500</v>
      </c>
      <c r="O337" s="122">
        <v>750</v>
      </c>
      <c r="P337" s="122">
        <v>750</v>
      </c>
      <c r="Q337" s="122">
        <v>750</v>
      </c>
      <c r="R337" s="193">
        <v>0</v>
      </c>
      <c r="S337" s="193">
        <v>0</v>
      </c>
      <c r="T337" s="193">
        <f>SUM(H337:S337)</f>
        <v>6000</v>
      </c>
      <c r="U337"/>
      <c r="V337">
        <f>+PRESUPUESTO22[[#This Row],[EJECUTADO ]]-SUM(PRESUPUESTO22[[#This Row],[   ENERO ]:[DIC]])</f>
        <v>0</v>
      </c>
      <c r="W337"/>
      <c r="X337"/>
    </row>
    <row r="338" spans="1:24" ht="15" x14ac:dyDescent="0.25">
      <c r="A338" s="52">
        <v>2</v>
      </c>
      <c r="B338" s="141">
        <v>702010802</v>
      </c>
      <c r="C338" s="130" t="str">
        <f t="shared" si="148"/>
        <v>E-0702010802</v>
      </c>
      <c r="D338" s="130">
        <v>288</v>
      </c>
      <c r="E338" s="141" t="s">
        <v>69</v>
      </c>
      <c r="F338" s="347" t="s">
        <v>254</v>
      </c>
      <c r="G338" s="193">
        <v>0</v>
      </c>
      <c r="H338" s="122">
        <v>90</v>
      </c>
      <c r="I338" s="122">
        <v>90</v>
      </c>
      <c r="J338" s="122">
        <v>90</v>
      </c>
      <c r="K338" s="193">
        <v>0</v>
      </c>
      <c r="L338" s="193">
        <v>0</v>
      </c>
      <c r="M338" s="193">
        <v>0</v>
      </c>
      <c r="N338" s="122">
        <f>90*2</f>
        <v>180</v>
      </c>
      <c r="O338" s="122">
        <v>90</v>
      </c>
      <c r="P338" s="122">
        <v>90</v>
      </c>
      <c r="Q338" s="122">
        <v>90</v>
      </c>
      <c r="R338" s="193">
        <v>0</v>
      </c>
      <c r="S338" s="193">
        <v>0</v>
      </c>
      <c r="T338" s="193">
        <f>SUM(H338:S338)</f>
        <v>720</v>
      </c>
      <c r="U338"/>
      <c r="V338">
        <f>+PRESUPUESTO22[[#This Row],[EJECUTADO ]]-SUM(PRESUPUESTO22[[#This Row],[   ENERO ]:[DIC]])</f>
        <v>0</v>
      </c>
      <c r="W338"/>
      <c r="X338"/>
    </row>
    <row r="339" spans="1:24" ht="15.95" customHeight="1" x14ac:dyDescent="0.25">
      <c r="A339" s="112">
        <f>+A340</f>
        <v>3</v>
      </c>
      <c r="B339" s="152">
        <v>7020109</v>
      </c>
      <c r="C339" s="130" t="str">
        <f t="shared" si="148"/>
        <v>E-07020109</v>
      </c>
      <c r="D339" s="130">
        <v>289</v>
      </c>
      <c r="E339" s="146" t="s">
        <v>69</v>
      </c>
      <c r="F339" s="202" t="s">
        <v>255</v>
      </c>
      <c r="G339" s="203">
        <f t="shared" ref="G339:T339" si="150">+G340</f>
        <v>0</v>
      </c>
      <c r="H339" s="203">
        <f t="shared" si="150"/>
        <v>135</v>
      </c>
      <c r="I339" s="203">
        <f t="shared" si="150"/>
        <v>135</v>
      </c>
      <c r="J339" s="203">
        <f t="shared" si="150"/>
        <v>135</v>
      </c>
      <c r="K339" s="203">
        <f t="shared" si="150"/>
        <v>0</v>
      </c>
      <c r="L339" s="203">
        <f t="shared" si="150"/>
        <v>0</v>
      </c>
      <c r="M339" s="203">
        <f t="shared" si="150"/>
        <v>0</v>
      </c>
      <c r="N339" s="203">
        <f t="shared" si="150"/>
        <v>270</v>
      </c>
      <c r="O339" s="203">
        <f t="shared" si="150"/>
        <v>135</v>
      </c>
      <c r="P339" s="203">
        <f t="shared" si="150"/>
        <v>135</v>
      </c>
      <c r="Q339" s="203">
        <f t="shared" si="150"/>
        <v>135</v>
      </c>
      <c r="R339" s="120">
        <f t="shared" si="150"/>
        <v>0</v>
      </c>
      <c r="S339" s="120">
        <f t="shared" si="150"/>
        <v>0</v>
      </c>
      <c r="T339" s="120">
        <f t="shared" si="150"/>
        <v>1080</v>
      </c>
      <c r="U339"/>
      <c r="V339">
        <f>+PRESUPUESTO22[[#This Row],[EJECUTADO ]]-SUM(PRESUPUESTO22[[#This Row],[   ENERO ]:[DIC]])</f>
        <v>0</v>
      </c>
      <c r="W339"/>
      <c r="X339"/>
    </row>
    <row r="340" spans="1:24" ht="15.95" customHeight="1" x14ac:dyDescent="0.25">
      <c r="A340" s="52">
        <v>3</v>
      </c>
      <c r="B340" s="141">
        <v>702010901</v>
      </c>
      <c r="C340" s="130" t="str">
        <f t="shared" si="148"/>
        <v>E-0702010901</v>
      </c>
      <c r="D340" s="130">
        <v>290</v>
      </c>
      <c r="E340" s="141" t="s">
        <v>69</v>
      </c>
      <c r="F340" s="347" t="s">
        <v>256</v>
      </c>
      <c r="G340" s="193">
        <v>0</v>
      </c>
      <c r="H340" s="122">
        <v>135</v>
      </c>
      <c r="I340" s="122">
        <v>135</v>
      </c>
      <c r="J340" s="122">
        <v>135</v>
      </c>
      <c r="K340" s="193">
        <v>0</v>
      </c>
      <c r="L340" s="193">
        <v>0</v>
      </c>
      <c r="M340" s="193">
        <v>0</v>
      </c>
      <c r="N340" s="122">
        <f>135*2</f>
        <v>270</v>
      </c>
      <c r="O340" s="122">
        <v>135</v>
      </c>
      <c r="P340" s="122">
        <v>135</v>
      </c>
      <c r="Q340" s="122">
        <v>135</v>
      </c>
      <c r="R340" s="193">
        <v>0</v>
      </c>
      <c r="S340" s="193">
        <v>0</v>
      </c>
      <c r="T340" s="193">
        <f>SUM(H340:S340)</f>
        <v>1080</v>
      </c>
      <c r="U340"/>
      <c r="V340">
        <f>+PRESUPUESTO22[[#This Row],[EJECUTADO ]]-SUM(PRESUPUESTO22[[#This Row],[   ENERO ]:[DIC]])</f>
        <v>0</v>
      </c>
      <c r="W340"/>
      <c r="X340"/>
    </row>
    <row r="341" spans="1:24" ht="15.95" customHeight="1" x14ac:dyDescent="0.25">
      <c r="A341" s="112">
        <f>+A342</f>
        <v>2</v>
      </c>
      <c r="B341" s="152">
        <v>7020110</v>
      </c>
      <c r="C341" s="130" t="str">
        <f t="shared" si="148"/>
        <v>E-07020110</v>
      </c>
      <c r="D341" s="130">
        <v>291</v>
      </c>
      <c r="E341" s="146" t="s">
        <v>69</v>
      </c>
      <c r="F341" s="202" t="s">
        <v>56</v>
      </c>
      <c r="G341" s="203">
        <f t="shared" ref="G341:T341" si="151">+G342</f>
        <v>0</v>
      </c>
      <c r="H341" s="203">
        <f t="shared" si="151"/>
        <v>90</v>
      </c>
      <c r="I341" s="203">
        <f t="shared" si="151"/>
        <v>90</v>
      </c>
      <c r="J341" s="203">
        <f t="shared" si="151"/>
        <v>90</v>
      </c>
      <c r="K341" s="203">
        <f t="shared" si="151"/>
        <v>0</v>
      </c>
      <c r="L341" s="203">
        <f t="shared" si="151"/>
        <v>0</v>
      </c>
      <c r="M341" s="203">
        <f t="shared" si="151"/>
        <v>0</v>
      </c>
      <c r="N341" s="203">
        <f t="shared" si="151"/>
        <v>180</v>
      </c>
      <c r="O341" s="203">
        <f t="shared" si="151"/>
        <v>90</v>
      </c>
      <c r="P341" s="203">
        <f t="shared" si="151"/>
        <v>90</v>
      </c>
      <c r="Q341" s="203">
        <f t="shared" si="151"/>
        <v>90</v>
      </c>
      <c r="R341" s="120">
        <f t="shared" si="151"/>
        <v>0</v>
      </c>
      <c r="S341" s="120">
        <f t="shared" si="151"/>
        <v>0</v>
      </c>
      <c r="T341" s="120">
        <f t="shared" si="151"/>
        <v>720</v>
      </c>
      <c r="U341"/>
      <c r="V341">
        <f>+PRESUPUESTO22[[#This Row],[EJECUTADO ]]-SUM(PRESUPUESTO22[[#This Row],[   ENERO ]:[DIC]])</f>
        <v>0</v>
      </c>
      <c r="W341"/>
      <c r="X341"/>
    </row>
    <row r="342" spans="1:24" ht="15.95" customHeight="1" x14ac:dyDescent="0.25">
      <c r="A342" s="52">
        <v>2</v>
      </c>
      <c r="B342" s="141">
        <v>702011001</v>
      </c>
      <c r="C342" s="130" t="str">
        <f t="shared" si="148"/>
        <v>E-0702011001</v>
      </c>
      <c r="D342" s="130">
        <v>292</v>
      </c>
      <c r="E342" s="141" t="s">
        <v>69</v>
      </c>
      <c r="F342" s="347" t="s">
        <v>257</v>
      </c>
      <c r="G342" s="193">
        <v>0</v>
      </c>
      <c r="H342" s="122">
        <v>90</v>
      </c>
      <c r="I342" s="122">
        <v>90</v>
      </c>
      <c r="J342" s="122">
        <v>90</v>
      </c>
      <c r="K342" s="193">
        <v>0</v>
      </c>
      <c r="L342" s="193">
        <v>0</v>
      </c>
      <c r="M342" s="193">
        <v>0</v>
      </c>
      <c r="N342" s="122">
        <f>90*2</f>
        <v>180</v>
      </c>
      <c r="O342" s="122">
        <v>90</v>
      </c>
      <c r="P342" s="122">
        <v>90</v>
      </c>
      <c r="Q342" s="122">
        <v>90</v>
      </c>
      <c r="R342" s="193">
        <v>0</v>
      </c>
      <c r="S342" s="193">
        <v>0</v>
      </c>
      <c r="T342" s="193">
        <f>SUM(H342:S342)</f>
        <v>720</v>
      </c>
      <c r="U342"/>
      <c r="V342">
        <f>+PRESUPUESTO22[[#This Row],[EJECUTADO ]]-SUM(PRESUPUESTO22[[#This Row],[   ENERO ]:[DIC]])</f>
        <v>0</v>
      </c>
      <c r="W342"/>
      <c r="X342"/>
    </row>
    <row r="343" spans="1:24" ht="15.95" customHeight="1" x14ac:dyDescent="0.25">
      <c r="A343" s="114">
        <v>2</v>
      </c>
      <c r="B343" s="140">
        <v>70202</v>
      </c>
      <c r="C343" s="130" t="str">
        <f t="shared" si="148"/>
        <v>E-070202</v>
      </c>
      <c r="D343" s="130">
        <v>293</v>
      </c>
      <c r="E343" s="140" t="s">
        <v>69</v>
      </c>
      <c r="F343" s="199" t="s">
        <v>258</v>
      </c>
      <c r="G343" s="192">
        <f t="shared" ref="G343:T343" si="152">+G344+G363</f>
        <v>0</v>
      </c>
      <c r="H343" s="192">
        <f t="shared" si="152"/>
        <v>3725</v>
      </c>
      <c r="I343" s="192">
        <f t="shared" si="152"/>
        <v>3725</v>
      </c>
      <c r="J343" s="192">
        <f t="shared" si="152"/>
        <v>3725</v>
      </c>
      <c r="K343" s="192">
        <f t="shared" si="152"/>
        <v>0</v>
      </c>
      <c r="L343" s="192">
        <f t="shared" si="152"/>
        <v>0</v>
      </c>
      <c r="M343" s="192">
        <f t="shared" si="152"/>
        <v>0</v>
      </c>
      <c r="N343" s="192">
        <f t="shared" si="152"/>
        <v>7450</v>
      </c>
      <c r="O343" s="192">
        <f t="shared" si="152"/>
        <v>3725</v>
      </c>
      <c r="P343" s="192">
        <f t="shared" si="152"/>
        <v>3725</v>
      </c>
      <c r="Q343" s="192">
        <f t="shared" si="152"/>
        <v>3725</v>
      </c>
      <c r="R343" s="192">
        <f t="shared" si="152"/>
        <v>0</v>
      </c>
      <c r="S343" s="192">
        <f t="shared" si="152"/>
        <v>0</v>
      </c>
      <c r="T343" s="192">
        <f t="shared" si="152"/>
        <v>29800</v>
      </c>
      <c r="U343"/>
      <c r="V343">
        <f>+PRESUPUESTO22[[#This Row],[EJECUTADO ]]-SUM(PRESUPUESTO22[[#This Row],[   ENERO ]:[DIC]])</f>
        <v>0</v>
      </c>
      <c r="W343"/>
      <c r="X343"/>
    </row>
    <row r="344" spans="1:24" ht="15.95" customHeight="1" x14ac:dyDescent="0.25">
      <c r="A344" s="52">
        <f>SUM(A349:A362)</f>
        <v>61</v>
      </c>
      <c r="B344" s="295">
        <v>7020201</v>
      </c>
      <c r="C344" s="130" t="str">
        <f t="shared" si="148"/>
        <v>E-07020201</v>
      </c>
      <c r="D344" s="130">
        <v>294</v>
      </c>
      <c r="E344" s="147" t="s">
        <v>69</v>
      </c>
      <c r="F344" s="204" t="s">
        <v>259</v>
      </c>
      <c r="G344" s="205">
        <f t="shared" ref="G344:T344" si="153">+G345+G348+G354+G357+G359+G361</f>
        <v>0</v>
      </c>
      <c r="H344" s="205">
        <f t="shared" si="153"/>
        <v>1915</v>
      </c>
      <c r="I344" s="205">
        <f t="shared" si="153"/>
        <v>1915</v>
      </c>
      <c r="J344" s="205">
        <f t="shared" si="153"/>
        <v>1915</v>
      </c>
      <c r="K344" s="205">
        <f t="shared" si="153"/>
        <v>0</v>
      </c>
      <c r="L344" s="205">
        <f t="shared" si="153"/>
        <v>0</v>
      </c>
      <c r="M344" s="205">
        <f t="shared" si="153"/>
        <v>0</v>
      </c>
      <c r="N344" s="205">
        <f t="shared" si="153"/>
        <v>3830</v>
      </c>
      <c r="O344" s="205">
        <f t="shared" si="153"/>
        <v>1915</v>
      </c>
      <c r="P344" s="205">
        <f t="shared" si="153"/>
        <v>1915</v>
      </c>
      <c r="Q344" s="205">
        <f t="shared" si="153"/>
        <v>1915</v>
      </c>
      <c r="R344" s="205">
        <f t="shared" si="153"/>
        <v>0</v>
      </c>
      <c r="S344" s="205">
        <f t="shared" si="153"/>
        <v>0</v>
      </c>
      <c r="T344" s="205">
        <f t="shared" si="153"/>
        <v>15320</v>
      </c>
      <c r="U344"/>
      <c r="V344">
        <f>+PRESUPUESTO22[[#This Row],[EJECUTADO ]]-SUM(PRESUPUESTO22[[#This Row],[   ENERO ]:[DIC]])</f>
        <v>0</v>
      </c>
      <c r="W344"/>
      <c r="X344"/>
    </row>
    <row r="345" spans="1:24" ht="15.95" customHeight="1" x14ac:dyDescent="0.25">
      <c r="A345" s="52">
        <f>SUM(A346:A347)</f>
        <v>3</v>
      </c>
      <c r="B345" s="152">
        <v>702020102</v>
      </c>
      <c r="C345" s="130" t="str">
        <f t="shared" si="148"/>
        <v>E-0702020102</v>
      </c>
      <c r="D345" s="130">
        <v>295</v>
      </c>
      <c r="E345" s="146" t="s">
        <v>69</v>
      </c>
      <c r="F345" s="202" t="s">
        <v>260</v>
      </c>
      <c r="G345" s="203">
        <f t="shared" ref="G345:T345" si="154">SUM(G346:G347)</f>
        <v>0</v>
      </c>
      <c r="H345" s="203">
        <f t="shared" si="154"/>
        <v>100</v>
      </c>
      <c r="I345" s="203">
        <f t="shared" si="154"/>
        <v>100</v>
      </c>
      <c r="J345" s="203">
        <f t="shared" si="154"/>
        <v>100</v>
      </c>
      <c r="K345" s="203">
        <f t="shared" si="154"/>
        <v>0</v>
      </c>
      <c r="L345" s="203">
        <f t="shared" si="154"/>
        <v>0</v>
      </c>
      <c r="M345" s="203">
        <f t="shared" si="154"/>
        <v>0</v>
      </c>
      <c r="N345" s="203">
        <f t="shared" si="154"/>
        <v>200</v>
      </c>
      <c r="O345" s="203">
        <f t="shared" si="154"/>
        <v>100</v>
      </c>
      <c r="P345" s="203">
        <f t="shared" si="154"/>
        <v>100</v>
      </c>
      <c r="Q345" s="203">
        <f t="shared" si="154"/>
        <v>100</v>
      </c>
      <c r="R345" s="120">
        <f t="shared" si="154"/>
        <v>0</v>
      </c>
      <c r="S345" s="120">
        <f t="shared" si="154"/>
        <v>0</v>
      </c>
      <c r="T345" s="120">
        <f t="shared" si="154"/>
        <v>800</v>
      </c>
      <c r="U345"/>
      <c r="V345">
        <f>+PRESUPUESTO22[[#This Row],[EJECUTADO ]]-SUM(PRESUPUESTO22[[#This Row],[   ENERO ]:[DIC]])</f>
        <v>0</v>
      </c>
      <c r="W345"/>
      <c r="X345"/>
    </row>
    <row r="346" spans="1:24" ht="15.95" customHeight="1" x14ac:dyDescent="0.25">
      <c r="A346" s="52">
        <v>1</v>
      </c>
      <c r="B346" s="141">
        <v>70202010201</v>
      </c>
      <c r="C346" s="130" t="str">
        <f t="shared" si="148"/>
        <v>E-070202010201</v>
      </c>
      <c r="D346" s="130">
        <v>296</v>
      </c>
      <c r="E346" s="141" t="s">
        <v>69</v>
      </c>
      <c r="F346" s="347" t="s">
        <v>261</v>
      </c>
      <c r="G346" s="193">
        <v>0</v>
      </c>
      <c r="H346" s="122">
        <v>55</v>
      </c>
      <c r="I346" s="122">
        <v>55</v>
      </c>
      <c r="J346" s="122">
        <v>55</v>
      </c>
      <c r="K346" s="193">
        <v>0</v>
      </c>
      <c r="L346" s="193">
        <v>0</v>
      </c>
      <c r="M346" s="193">
        <v>0</v>
      </c>
      <c r="N346" s="122">
        <f>55*2</f>
        <v>110</v>
      </c>
      <c r="O346" s="122">
        <v>55</v>
      </c>
      <c r="P346" s="122">
        <v>55</v>
      </c>
      <c r="Q346" s="122">
        <v>55</v>
      </c>
      <c r="R346" s="193">
        <v>0</v>
      </c>
      <c r="S346" s="193">
        <v>0</v>
      </c>
      <c r="T346" s="193">
        <f>SUM(H346:S346)</f>
        <v>440</v>
      </c>
      <c r="U346"/>
      <c r="V346">
        <f>+PRESUPUESTO22[[#This Row],[EJECUTADO ]]-SUM(PRESUPUESTO22[[#This Row],[   ENERO ]:[DIC]])</f>
        <v>0</v>
      </c>
      <c r="W346"/>
      <c r="X346"/>
    </row>
    <row r="347" spans="1:24" ht="15.95" customHeight="1" x14ac:dyDescent="0.25">
      <c r="A347" s="52">
        <v>2</v>
      </c>
      <c r="B347" s="141">
        <v>70202010202</v>
      </c>
      <c r="C347" s="130" t="str">
        <f t="shared" si="148"/>
        <v>E-070202010202</v>
      </c>
      <c r="D347" s="130">
        <v>297</v>
      </c>
      <c r="E347" s="141" t="s">
        <v>69</v>
      </c>
      <c r="F347" s="347" t="s">
        <v>262</v>
      </c>
      <c r="G347" s="193">
        <v>0</v>
      </c>
      <c r="H347" s="122">
        <v>45</v>
      </c>
      <c r="I347" s="122">
        <v>45</v>
      </c>
      <c r="J347" s="122">
        <v>45</v>
      </c>
      <c r="K347" s="193">
        <v>0</v>
      </c>
      <c r="L347" s="193">
        <v>0</v>
      </c>
      <c r="M347" s="193">
        <v>0</v>
      </c>
      <c r="N347" s="122">
        <f>45*2</f>
        <v>90</v>
      </c>
      <c r="O347" s="122">
        <v>45</v>
      </c>
      <c r="P347" s="122">
        <v>45</v>
      </c>
      <c r="Q347" s="122">
        <v>45</v>
      </c>
      <c r="R347" s="193">
        <v>0</v>
      </c>
      <c r="S347" s="193">
        <v>0</v>
      </c>
      <c r="T347" s="193">
        <f>SUM(H347:S347)</f>
        <v>360</v>
      </c>
      <c r="U347"/>
      <c r="V347">
        <f>+PRESUPUESTO22[[#This Row],[EJECUTADO ]]-SUM(PRESUPUESTO22[[#This Row],[   ENERO ]:[DIC]])</f>
        <v>0</v>
      </c>
      <c r="W347"/>
      <c r="X347"/>
    </row>
    <row r="348" spans="1:24" ht="15.95" customHeight="1" x14ac:dyDescent="0.25">
      <c r="A348" s="112">
        <f>SUM(A349:A353)</f>
        <v>11</v>
      </c>
      <c r="B348" s="152">
        <v>702020103</v>
      </c>
      <c r="C348" s="130" t="str">
        <f t="shared" si="148"/>
        <v>E-0702020103</v>
      </c>
      <c r="D348" s="130">
        <v>298</v>
      </c>
      <c r="E348" s="146" t="s">
        <v>69</v>
      </c>
      <c r="F348" s="202" t="s">
        <v>263</v>
      </c>
      <c r="G348" s="203">
        <f t="shared" ref="G348:T348" si="155">SUM(G349:G353)</f>
        <v>0</v>
      </c>
      <c r="H348" s="203">
        <f t="shared" si="155"/>
        <v>495</v>
      </c>
      <c r="I348" s="203">
        <f t="shared" si="155"/>
        <v>495</v>
      </c>
      <c r="J348" s="203">
        <f t="shared" si="155"/>
        <v>495</v>
      </c>
      <c r="K348" s="203">
        <f t="shared" si="155"/>
        <v>0</v>
      </c>
      <c r="L348" s="203">
        <f t="shared" si="155"/>
        <v>0</v>
      </c>
      <c r="M348" s="203">
        <f t="shared" si="155"/>
        <v>0</v>
      </c>
      <c r="N348" s="203">
        <f t="shared" si="155"/>
        <v>990</v>
      </c>
      <c r="O348" s="203">
        <f t="shared" si="155"/>
        <v>495</v>
      </c>
      <c r="P348" s="203">
        <f t="shared" si="155"/>
        <v>495</v>
      </c>
      <c r="Q348" s="203">
        <f t="shared" si="155"/>
        <v>495</v>
      </c>
      <c r="R348" s="120">
        <f t="shared" si="155"/>
        <v>0</v>
      </c>
      <c r="S348" s="120">
        <f t="shared" si="155"/>
        <v>0</v>
      </c>
      <c r="T348" s="120">
        <f t="shared" si="155"/>
        <v>3960</v>
      </c>
      <c r="U348"/>
      <c r="V348">
        <f>+PRESUPUESTO22[[#This Row],[EJECUTADO ]]-SUM(PRESUPUESTO22[[#This Row],[   ENERO ]:[DIC]])</f>
        <v>0</v>
      </c>
      <c r="W348"/>
      <c r="X348"/>
    </row>
    <row r="349" spans="1:24" ht="15.95" customHeight="1" x14ac:dyDescent="0.25">
      <c r="A349" s="52">
        <v>5</v>
      </c>
      <c r="B349" s="141">
        <v>70202010301</v>
      </c>
      <c r="C349" s="130" t="str">
        <f t="shared" si="148"/>
        <v>E-070202010301</v>
      </c>
      <c r="D349" s="130">
        <v>299</v>
      </c>
      <c r="E349" s="141" t="s">
        <v>69</v>
      </c>
      <c r="F349" s="347" t="s">
        <v>264</v>
      </c>
      <c r="G349" s="193">
        <v>0</v>
      </c>
      <c r="H349" s="122">
        <v>225</v>
      </c>
      <c r="I349" s="122">
        <v>225</v>
      </c>
      <c r="J349" s="122">
        <v>225</v>
      </c>
      <c r="K349" s="193">
        <v>0</v>
      </c>
      <c r="L349" s="193">
        <v>0</v>
      </c>
      <c r="M349" s="193">
        <v>0</v>
      </c>
      <c r="N349" s="122">
        <f>225*2</f>
        <v>450</v>
      </c>
      <c r="O349" s="122">
        <v>225</v>
      </c>
      <c r="P349" s="122">
        <v>225</v>
      </c>
      <c r="Q349" s="122">
        <v>225</v>
      </c>
      <c r="R349" s="193">
        <v>0</v>
      </c>
      <c r="S349" s="193">
        <v>0</v>
      </c>
      <c r="T349" s="193">
        <f>SUM(H349:S349)</f>
        <v>1800</v>
      </c>
      <c r="U349"/>
      <c r="V349">
        <f>+PRESUPUESTO22[[#This Row],[EJECUTADO ]]-SUM(PRESUPUESTO22[[#This Row],[   ENERO ]:[DIC]])</f>
        <v>0</v>
      </c>
      <c r="W349"/>
      <c r="X349"/>
    </row>
    <row r="350" spans="1:24" ht="15.95" customHeight="1" x14ac:dyDescent="0.25">
      <c r="A350" s="52">
        <v>2</v>
      </c>
      <c r="B350" s="141">
        <v>70202010302</v>
      </c>
      <c r="C350" s="130" t="str">
        <f t="shared" si="148"/>
        <v>E-070202010302</v>
      </c>
      <c r="D350" s="130">
        <v>300</v>
      </c>
      <c r="E350" s="141" t="s">
        <v>69</v>
      </c>
      <c r="F350" s="347" t="s">
        <v>265</v>
      </c>
      <c r="G350" s="193">
        <v>0</v>
      </c>
      <c r="H350" s="122">
        <v>90</v>
      </c>
      <c r="I350" s="122">
        <v>90</v>
      </c>
      <c r="J350" s="122">
        <v>90</v>
      </c>
      <c r="K350" s="193">
        <v>0</v>
      </c>
      <c r="L350" s="193">
        <v>0</v>
      </c>
      <c r="M350" s="193">
        <v>0</v>
      </c>
      <c r="N350" s="122">
        <f>90*2</f>
        <v>180</v>
      </c>
      <c r="O350" s="122">
        <v>90</v>
      </c>
      <c r="P350" s="122">
        <v>90</v>
      </c>
      <c r="Q350" s="122">
        <v>90</v>
      </c>
      <c r="R350" s="193">
        <v>0</v>
      </c>
      <c r="S350" s="193">
        <v>0</v>
      </c>
      <c r="T350" s="193">
        <f>SUM(H350:S350)</f>
        <v>720</v>
      </c>
      <c r="U350"/>
      <c r="V350">
        <f>+PRESUPUESTO22[[#This Row],[EJECUTADO ]]-SUM(PRESUPUESTO22[[#This Row],[   ENERO ]:[DIC]])</f>
        <v>0</v>
      </c>
      <c r="W350"/>
      <c r="X350"/>
    </row>
    <row r="351" spans="1:24" ht="15.95" customHeight="1" x14ac:dyDescent="0.25">
      <c r="A351" s="52">
        <v>1</v>
      </c>
      <c r="B351" s="141">
        <v>70202010303</v>
      </c>
      <c r="C351" s="130" t="str">
        <f t="shared" si="148"/>
        <v>E-070202010303</v>
      </c>
      <c r="D351" s="130">
        <v>301</v>
      </c>
      <c r="E351" s="141" t="s">
        <v>69</v>
      </c>
      <c r="F351" s="347" t="s">
        <v>266</v>
      </c>
      <c r="G351" s="193">
        <v>0</v>
      </c>
      <c r="H351" s="122">
        <v>45</v>
      </c>
      <c r="I351" s="122">
        <v>45</v>
      </c>
      <c r="J351" s="122">
        <v>45</v>
      </c>
      <c r="K351" s="193">
        <v>0</v>
      </c>
      <c r="L351" s="193">
        <v>0</v>
      </c>
      <c r="M351" s="193">
        <v>0</v>
      </c>
      <c r="N351" s="122">
        <f>45*2</f>
        <v>90</v>
      </c>
      <c r="O351" s="122">
        <v>45</v>
      </c>
      <c r="P351" s="122">
        <v>45</v>
      </c>
      <c r="Q351" s="122">
        <v>45</v>
      </c>
      <c r="R351" s="193">
        <v>0</v>
      </c>
      <c r="S351" s="193">
        <v>0</v>
      </c>
      <c r="T351" s="193">
        <f>SUM(H351:S351)</f>
        <v>360</v>
      </c>
      <c r="U351"/>
      <c r="V351">
        <f>+PRESUPUESTO22[[#This Row],[EJECUTADO ]]-SUM(PRESUPUESTO22[[#This Row],[   ENERO ]:[DIC]])</f>
        <v>0</v>
      </c>
      <c r="W351"/>
      <c r="X351"/>
    </row>
    <row r="352" spans="1:24" ht="15.95" customHeight="1" x14ac:dyDescent="0.25">
      <c r="A352" s="52">
        <v>1</v>
      </c>
      <c r="B352" s="141">
        <v>70202010304</v>
      </c>
      <c r="C352" s="130" t="str">
        <f t="shared" si="148"/>
        <v>E-070202010304</v>
      </c>
      <c r="D352" s="130">
        <v>302</v>
      </c>
      <c r="E352" s="141" t="s">
        <v>69</v>
      </c>
      <c r="F352" s="347" t="s">
        <v>267</v>
      </c>
      <c r="G352" s="193">
        <v>0</v>
      </c>
      <c r="H352" s="122">
        <v>45</v>
      </c>
      <c r="I352" s="122">
        <v>45</v>
      </c>
      <c r="J352" s="122">
        <v>45</v>
      </c>
      <c r="K352" s="193">
        <v>0</v>
      </c>
      <c r="L352" s="193">
        <v>0</v>
      </c>
      <c r="M352" s="193">
        <v>0</v>
      </c>
      <c r="N352" s="122">
        <f>45*2</f>
        <v>90</v>
      </c>
      <c r="O352" s="122">
        <v>45</v>
      </c>
      <c r="P352" s="122">
        <v>45</v>
      </c>
      <c r="Q352" s="122">
        <v>45</v>
      </c>
      <c r="R352" s="193">
        <v>0</v>
      </c>
      <c r="S352" s="193">
        <v>0</v>
      </c>
      <c r="T352" s="193">
        <f>SUM(H352:S352)</f>
        <v>360</v>
      </c>
      <c r="U352"/>
      <c r="V352">
        <f>+PRESUPUESTO22[[#This Row],[EJECUTADO ]]-SUM(PRESUPUESTO22[[#This Row],[   ENERO ]:[DIC]])</f>
        <v>0</v>
      </c>
      <c r="W352"/>
      <c r="X352"/>
    </row>
    <row r="353" spans="1:24" ht="15.95" customHeight="1" x14ac:dyDescent="0.25">
      <c r="A353" s="52">
        <v>2</v>
      </c>
      <c r="B353" s="141">
        <v>70202010305</v>
      </c>
      <c r="C353" s="130" t="str">
        <f t="shared" si="148"/>
        <v>E-070202010305</v>
      </c>
      <c r="D353" s="130">
        <v>303</v>
      </c>
      <c r="E353" s="141" t="s">
        <v>69</v>
      </c>
      <c r="F353" s="347" t="s">
        <v>268</v>
      </c>
      <c r="G353" s="193">
        <v>0</v>
      </c>
      <c r="H353" s="122">
        <v>90</v>
      </c>
      <c r="I353" s="122">
        <v>90</v>
      </c>
      <c r="J353" s="122">
        <v>90</v>
      </c>
      <c r="K353" s="193">
        <v>0</v>
      </c>
      <c r="L353" s="193">
        <v>0</v>
      </c>
      <c r="M353" s="193">
        <v>0</v>
      </c>
      <c r="N353" s="122">
        <f>90*2</f>
        <v>180</v>
      </c>
      <c r="O353" s="122">
        <v>90</v>
      </c>
      <c r="P353" s="122">
        <v>90</v>
      </c>
      <c r="Q353" s="122">
        <v>90</v>
      </c>
      <c r="R353" s="193">
        <v>0</v>
      </c>
      <c r="S353" s="193">
        <v>0</v>
      </c>
      <c r="T353" s="193">
        <f>SUM(H353:S353)</f>
        <v>720</v>
      </c>
      <c r="U353"/>
      <c r="V353">
        <f>+PRESUPUESTO22[[#This Row],[EJECUTADO ]]-SUM(PRESUPUESTO22[[#This Row],[   ENERO ]:[DIC]])</f>
        <v>0</v>
      </c>
      <c r="W353"/>
      <c r="X353"/>
    </row>
    <row r="354" spans="1:24" ht="15.95" customHeight="1" x14ac:dyDescent="0.25">
      <c r="A354" s="112">
        <f>+A355+A356</f>
        <v>15</v>
      </c>
      <c r="B354" s="152">
        <v>702020104</v>
      </c>
      <c r="C354" s="130" t="str">
        <f t="shared" si="148"/>
        <v>E-0702020104</v>
      </c>
      <c r="D354" s="130">
        <v>304</v>
      </c>
      <c r="E354" s="146" t="s">
        <v>69</v>
      </c>
      <c r="F354" s="202" t="s">
        <v>269</v>
      </c>
      <c r="G354" s="203">
        <f t="shared" ref="G354:T354" si="156">SUM(G355:G356)</f>
        <v>0</v>
      </c>
      <c r="H354" s="203">
        <f t="shared" si="156"/>
        <v>915</v>
      </c>
      <c r="I354" s="203">
        <f t="shared" si="156"/>
        <v>915</v>
      </c>
      <c r="J354" s="203">
        <f t="shared" si="156"/>
        <v>915</v>
      </c>
      <c r="K354" s="203">
        <f t="shared" si="156"/>
        <v>0</v>
      </c>
      <c r="L354" s="203">
        <f t="shared" si="156"/>
        <v>0</v>
      </c>
      <c r="M354" s="203">
        <f t="shared" si="156"/>
        <v>0</v>
      </c>
      <c r="N354" s="203">
        <f t="shared" si="156"/>
        <v>1830</v>
      </c>
      <c r="O354" s="203">
        <f t="shared" si="156"/>
        <v>915</v>
      </c>
      <c r="P354" s="203">
        <f t="shared" si="156"/>
        <v>915</v>
      </c>
      <c r="Q354" s="203">
        <f t="shared" si="156"/>
        <v>915</v>
      </c>
      <c r="R354" s="120">
        <f t="shared" si="156"/>
        <v>0</v>
      </c>
      <c r="S354" s="120">
        <f t="shared" si="156"/>
        <v>0</v>
      </c>
      <c r="T354" s="120">
        <f t="shared" si="156"/>
        <v>7320</v>
      </c>
      <c r="U354"/>
      <c r="V354">
        <f>+PRESUPUESTO22[[#This Row],[EJECUTADO ]]-SUM(PRESUPUESTO22[[#This Row],[   ENERO ]:[DIC]])</f>
        <v>0</v>
      </c>
      <c r="W354"/>
      <c r="X354"/>
    </row>
    <row r="355" spans="1:24" ht="15.95" customHeight="1" x14ac:dyDescent="0.25">
      <c r="A355" s="52">
        <v>8</v>
      </c>
      <c r="B355" s="141">
        <v>70202010401</v>
      </c>
      <c r="C355" s="130" t="str">
        <f t="shared" si="148"/>
        <v>E-070202010401</v>
      </c>
      <c r="D355" s="130">
        <v>305</v>
      </c>
      <c r="E355" s="141" t="s">
        <v>69</v>
      </c>
      <c r="F355" s="347" t="s">
        <v>270</v>
      </c>
      <c r="G355" s="193">
        <v>0</v>
      </c>
      <c r="H355" s="122">
        <v>600</v>
      </c>
      <c r="I355" s="122">
        <v>600</v>
      </c>
      <c r="J355" s="122">
        <v>600</v>
      </c>
      <c r="K355" s="193">
        <v>0</v>
      </c>
      <c r="L355" s="193">
        <v>0</v>
      </c>
      <c r="M355" s="193">
        <v>0</v>
      </c>
      <c r="N355" s="122">
        <f>600*2</f>
        <v>1200</v>
      </c>
      <c r="O355" s="122">
        <v>600</v>
      </c>
      <c r="P355" s="122">
        <v>600</v>
      </c>
      <c r="Q355" s="122">
        <v>600</v>
      </c>
      <c r="R355" s="193">
        <v>0</v>
      </c>
      <c r="S355" s="193">
        <v>0</v>
      </c>
      <c r="T355" s="193">
        <f>SUM(H355:S355)</f>
        <v>4800</v>
      </c>
      <c r="U355"/>
      <c r="V355">
        <f>+PRESUPUESTO22[[#This Row],[EJECUTADO ]]-SUM(PRESUPUESTO22[[#This Row],[   ENERO ]:[DIC]])</f>
        <v>0</v>
      </c>
      <c r="W355"/>
      <c r="X355"/>
    </row>
    <row r="356" spans="1:24" ht="15.95" customHeight="1" x14ac:dyDescent="0.25">
      <c r="A356" s="52">
        <v>7</v>
      </c>
      <c r="B356" s="141">
        <v>70202010401</v>
      </c>
      <c r="C356" s="130" t="str">
        <f t="shared" si="148"/>
        <v>E-070202010401</v>
      </c>
      <c r="D356" s="130">
        <v>306</v>
      </c>
      <c r="E356" s="148" t="s">
        <v>69</v>
      </c>
      <c r="F356" s="352" t="s">
        <v>271</v>
      </c>
      <c r="G356" s="193">
        <v>0</v>
      </c>
      <c r="H356" s="122">
        <v>315</v>
      </c>
      <c r="I356" s="122">
        <v>315</v>
      </c>
      <c r="J356" s="122">
        <v>315</v>
      </c>
      <c r="K356" s="193">
        <v>0</v>
      </c>
      <c r="L356" s="193">
        <v>0</v>
      </c>
      <c r="M356" s="193">
        <v>0</v>
      </c>
      <c r="N356" s="122">
        <f>315*2</f>
        <v>630</v>
      </c>
      <c r="O356" s="122">
        <v>315</v>
      </c>
      <c r="P356" s="122">
        <v>315</v>
      </c>
      <c r="Q356" s="122">
        <v>315</v>
      </c>
      <c r="R356" s="193">
        <v>0</v>
      </c>
      <c r="S356" s="193">
        <v>0</v>
      </c>
      <c r="T356" s="193">
        <f>SUM(H356:S356)</f>
        <v>2520</v>
      </c>
      <c r="U356"/>
      <c r="V356">
        <f>+PRESUPUESTO22[[#This Row],[EJECUTADO ]]-SUM(PRESUPUESTO22[[#This Row],[   ENERO ]:[DIC]])</f>
        <v>0</v>
      </c>
      <c r="W356"/>
      <c r="X356"/>
    </row>
    <row r="357" spans="1:24" ht="15.95" customHeight="1" x14ac:dyDescent="0.25">
      <c r="A357" s="52">
        <f>+A358</f>
        <v>3</v>
      </c>
      <c r="B357" s="152">
        <v>702020105</v>
      </c>
      <c r="C357" s="130" t="str">
        <f t="shared" si="148"/>
        <v>E-0702020105</v>
      </c>
      <c r="D357" s="130">
        <v>307</v>
      </c>
      <c r="E357" s="146" t="s">
        <v>69</v>
      </c>
      <c r="F357" s="202" t="s">
        <v>272</v>
      </c>
      <c r="G357" s="203">
        <f t="shared" ref="G357:T357" si="157">+G358</f>
        <v>0</v>
      </c>
      <c r="H357" s="203">
        <f t="shared" si="157"/>
        <v>135</v>
      </c>
      <c r="I357" s="203">
        <f t="shared" si="157"/>
        <v>135</v>
      </c>
      <c r="J357" s="203">
        <f t="shared" si="157"/>
        <v>135</v>
      </c>
      <c r="K357" s="203">
        <f t="shared" si="157"/>
        <v>0</v>
      </c>
      <c r="L357" s="203">
        <f t="shared" si="157"/>
        <v>0</v>
      </c>
      <c r="M357" s="203">
        <f t="shared" si="157"/>
        <v>0</v>
      </c>
      <c r="N357" s="203">
        <f t="shared" si="157"/>
        <v>270</v>
      </c>
      <c r="O357" s="203">
        <f t="shared" si="157"/>
        <v>135</v>
      </c>
      <c r="P357" s="203">
        <f t="shared" si="157"/>
        <v>135</v>
      </c>
      <c r="Q357" s="203">
        <f t="shared" si="157"/>
        <v>135</v>
      </c>
      <c r="R357" s="120">
        <f t="shared" si="157"/>
        <v>0</v>
      </c>
      <c r="S357" s="120">
        <f t="shared" si="157"/>
        <v>0</v>
      </c>
      <c r="T357" s="120">
        <f t="shared" si="157"/>
        <v>1080</v>
      </c>
      <c r="U357"/>
      <c r="V357">
        <f>+PRESUPUESTO22[[#This Row],[EJECUTADO ]]-SUM(PRESUPUESTO22[[#This Row],[   ENERO ]:[DIC]])</f>
        <v>0</v>
      </c>
      <c r="W357"/>
      <c r="X357"/>
    </row>
    <row r="358" spans="1:24" ht="15.95" customHeight="1" x14ac:dyDescent="0.25">
      <c r="A358" s="52">
        <v>3</v>
      </c>
      <c r="B358" s="141">
        <v>70202010501</v>
      </c>
      <c r="C358" s="130" t="str">
        <f t="shared" si="148"/>
        <v>E-070202010501</v>
      </c>
      <c r="D358" s="130">
        <v>308</v>
      </c>
      <c r="E358" s="141" t="s">
        <v>69</v>
      </c>
      <c r="F358" s="347" t="s">
        <v>273</v>
      </c>
      <c r="G358" s="193">
        <v>0</v>
      </c>
      <c r="H358" s="122">
        <v>135</v>
      </c>
      <c r="I358" s="122">
        <v>135</v>
      </c>
      <c r="J358" s="122">
        <v>135</v>
      </c>
      <c r="K358" s="193">
        <v>0</v>
      </c>
      <c r="L358" s="193">
        <v>0</v>
      </c>
      <c r="M358" s="193">
        <v>0</v>
      </c>
      <c r="N358" s="122">
        <f>135*2</f>
        <v>270</v>
      </c>
      <c r="O358" s="122">
        <v>135</v>
      </c>
      <c r="P358" s="122">
        <v>135</v>
      </c>
      <c r="Q358" s="122">
        <v>135</v>
      </c>
      <c r="R358" s="193">
        <v>0</v>
      </c>
      <c r="S358" s="193">
        <v>0</v>
      </c>
      <c r="T358" s="193">
        <f>SUM(H358:S358)</f>
        <v>1080</v>
      </c>
      <c r="U358"/>
      <c r="V358">
        <f>+PRESUPUESTO22[[#This Row],[EJECUTADO ]]-SUM(PRESUPUESTO22[[#This Row],[   ENERO ]:[DIC]])</f>
        <v>0</v>
      </c>
      <c r="W358"/>
      <c r="X358"/>
    </row>
    <row r="359" spans="1:24" ht="15.95" customHeight="1" x14ac:dyDescent="0.25">
      <c r="A359" s="52">
        <f>+A360</f>
        <v>4</v>
      </c>
      <c r="B359" s="152">
        <v>702020106</v>
      </c>
      <c r="C359" s="130" t="str">
        <f t="shared" si="148"/>
        <v>E-0702020106</v>
      </c>
      <c r="D359" s="130">
        <v>309</v>
      </c>
      <c r="E359" s="146" t="s">
        <v>69</v>
      </c>
      <c r="F359" s="202" t="s">
        <v>43</v>
      </c>
      <c r="G359" s="203">
        <f t="shared" ref="G359:T359" si="158">+G360</f>
        <v>0</v>
      </c>
      <c r="H359" s="203">
        <f t="shared" si="158"/>
        <v>135</v>
      </c>
      <c r="I359" s="203">
        <f t="shared" si="158"/>
        <v>135</v>
      </c>
      <c r="J359" s="203">
        <f t="shared" si="158"/>
        <v>135</v>
      </c>
      <c r="K359" s="203">
        <f t="shared" si="158"/>
        <v>0</v>
      </c>
      <c r="L359" s="203">
        <f t="shared" si="158"/>
        <v>0</v>
      </c>
      <c r="M359" s="203">
        <f t="shared" si="158"/>
        <v>0</v>
      </c>
      <c r="N359" s="203">
        <f t="shared" si="158"/>
        <v>270</v>
      </c>
      <c r="O359" s="203">
        <f t="shared" si="158"/>
        <v>135</v>
      </c>
      <c r="P359" s="203">
        <f t="shared" si="158"/>
        <v>135</v>
      </c>
      <c r="Q359" s="203">
        <f t="shared" si="158"/>
        <v>135</v>
      </c>
      <c r="R359" s="120">
        <f t="shared" si="158"/>
        <v>0</v>
      </c>
      <c r="S359" s="120">
        <f t="shared" si="158"/>
        <v>0</v>
      </c>
      <c r="T359" s="120">
        <f t="shared" si="158"/>
        <v>1080</v>
      </c>
      <c r="U359"/>
      <c r="V359">
        <f>+PRESUPUESTO22[[#This Row],[EJECUTADO ]]-SUM(PRESUPUESTO22[[#This Row],[   ENERO ]:[DIC]])</f>
        <v>0</v>
      </c>
      <c r="W359"/>
      <c r="X359"/>
    </row>
    <row r="360" spans="1:24" ht="15.95" customHeight="1" x14ac:dyDescent="0.25">
      <c r="A360" s="52">
        <v>4</v>
      </c>
      <c r="B360" s="141">
        <v>70202010601</v>
      </c>
      <c r="C360" s="130" t="str">
        <f t="shared" si="148"/>
        <v>E-070202010601</v>
      </c>
      <c r="D360" s="130">
        <v>310</v>
      </c>
      <c r="E360" s="141" t="s">
        <v>69</v>
      </c>
      <c r="F360" s="347" t="s">
        <v>274</v>
      </c>
      <c r="G360" s="193">
        <v>0</v>
      </c>
      <c r="H360" s="122">
        <v>135</v>
      </c>
      <c r="I360" s="122">
        <v>135</v>
      </c>
      <c r="J360" s="122">
        <v>135</v>
      </c>
      <c r="K360" s="193">
        <v>0</v>
      </c>
      <c r="L360" s="193">
        <v>0</v>
      </c>
      <c r="M360" s="193">
        <v>0</v>
      </c>
      <c r="N360" s="122">
        <f>135*2</f>
        <v>270</v>
      </c>
      <c r="O360" s="122">
        <v>135</v>
      </c>
      <c r="P360" s="122">
        <v>135</v>
      </c>
      <c r="Q360" s="122">
        <v>135</v>
      </c>
      <c r="R360" s="193">
        <v>0</v>
      </c>
      <c r="S360" s="193">
        <v>0</v>
      </c>
      <c r="T360" s="193">
        <f>SUM(H360:S360)</f>
        <v>1080</v>
      </c>
      <c r="U360"/>
      <c r="V360">
        <f>+PRESUPUESTO22[[#This Row],[EJECUTADO ]]-SUM(PRESUPUESTO22[[#This Row],[   ENERO ]:[DIC]])</f>
        <v>0</v>
      </c>
      <c r="W360"/>
      <c r="X360"/>
    </row>
    <row r="361" spans="1:24" ht="15.95" customHeight="1" x14ac:dyDescent="0.25">
      <c r="A361" s="52">
        <f>+A362</f>
        <v>3</v>
      </c>
      <c r="B361" s="152">
        <v>702020107</v>
      </c>
      <c r="C361" s="130" t="str">
        <f t="shared" si="148"/>
        <v>E-0702020107</v>
      </c>
      <c r="D361" s="130">
        <v>311</v>
      </c>
      <c r="E361" s="146" t="s">
        <v>69</v>
      </c>
      <c r="F361" s="202" t="s">
        <v>275</v>
      </c>
      <c r="G361" s="203">
        <f t="shared" ref="G361:T361" si="159">+G362</f>
        <v>0</v>
      </c>
      <c r="H361" s="203">
        <f t="shared" si="159"/>
        <v>135</v>
      </c>
      <c r="I361" s="203">
        <f t="shared" si="159"/>
        <v>135</v>
      </c>
      <c r="J361" s="203">
        <f t="shared" si="159"/>
        <v>135</v>
      </c>
      <c r="K361" s="203">
        <f t="shared" si="159"/>
        <v>0</v>
      </c>
      <c r="L361" s="203">
        <f t="shared" si="159"/>
        <v>0</v>
      </c>
      <c r="M361" s="203">
        <f t="shared" si="159"/>
        <v>0</v>
      </c>
      <c r="N361" s="203">
        <f t="shared" si="159"/>
        <v>270</v>
      </c>
      <c r="O361" s="203">
        <f t="shared" si="159"/>
        <v>135</v>
      </c>
      <c r="P361" s="203">
        <f t="shared" si="159"/>
        <v>135</v>
      </c>
      <c r="Q361" s="203">
        <f t="shared" si="159"/>
        <v>135</v>
      </c>
      <c r="R361" s="120">
        <f t="shared" si="159"/>
        <v>0</v>
      </c>
      <c r="S361" s="120">
        <f t="shared" si="159"/>
        <v>0</v>
      </c>
      <c r="T361" s="120">
        <f t="shared" si="159"/>
        <v>1080</v>
      </c>
      <c r="U361"/>
      <c r="V361">
        <f>+PRESUPUESTO22[[#This Row],[EJECUTADO ]]-SUM(PRESUPUESTO22[[#This Row],[   ENERO ]:[DIC]])</f>
        <v>0</v>
      </c>
      <c r="W361"/>
      <c r="X361"/>
    </row>
    <row r="362" spans="1:24" ht="15.95" customHeight="1" x14ac:dyDescent="0.25">
      <c r="A362" s="52">
        <v>3</v>
      </c>
      <c r="B362" s="141">
        <v>70202010701</v>
      </c>
      <c r="C362" s="130" t="str">
        <f t="shared" si="148"/>
        <v>E-070202010701</v>
      </c>
      <c r="D362" s="130">
        <v>312</v>
      </c>
      <c r="E362" s="141" t="s">
        <v>69</v>
      </c>
      <c r="F362" s="347" t="s">
        <v>276</v>
      </c>
      <c r="G362" s="193">
        <v>0</v>
      </c>
      <c r="H362" s="122">
        <v>135</v>
      </c>
      <c r="I362" s="122">
        <v>135</v>
      </c>
      <c r="J362" s="122">
        <v>135</v>
      </c>
      <c r="K362" s="193">
        <v>0</v>
      </c>
      <c r="L362" s="193">
        <v>0</v>
      </c>
      <c r="M362" s="193">
        <v>0</v>
      </c>
      <c r="N362" s="122">
        <f>135*2</f>
        <v>270</v>
      </c>
      <c r="O362" s="122">
        <v>135</v>
      </c>
      <c r="P362" s="122">
        <v>135</v>
      </c>
      <c r="Q362" s="122">
        <v>135</v>
      </c>
      <c r="R362" s="193">
        <v>0</v>
      </c>
      <c r="S362" s="193">
        <v>0</v>
      </c>
      <c r="T362" s="193">
        <f>SUM(H362:S362)</f>
        <v>1080</v>
      </c>
      <c r="U362"/>
      <c r="V362">
        <f>+PRESUPUESTO22[[#This Row],[EJECUTADO ]]-SUM(PRESUPUESTO22[[#This Row],[   ENERO ]:[DIC]])</f>
        <v>0</v>
      </c>
      <c r="W362"/>
      <c r="X362"/>
    </row>
    <row r="363" spans="1:24" ht="15.95" customHeight="1" x14ac:dyDescent="0.25">
      <c r="A363" s="112">
        <f>+A364+A368+A372</f>
        <v>41</v>
      </c>
      <c r="B363" s="295">
        <v>7020202</v>
      </c>
      <c r="C363" s="130" t="str">
        <f t="shared" si="148"/>
        <v>E-07020202</v>
      </c>
      <c r="D363" s="130">
        <v>313</v>
      </c>
      <c r="E363" s="147" t="s">
        <v>69</v>
      </c>
      <c r="F363" s="204" t="s">
        <v>277</v>
      </c>
      <c r="G363" s="205">
        <f t="shared" ref="G363:T363" si="160">+G364+G368+G372</f>
        <v>0</v>
      </c>
      <c r="H363" s="205">
        <f t="shared" si="160"/>
        <v>1810</v>
      </c>
      <c r="I363" s="205">
        <f t="shared" si="160"/>
        <v>1810</v>
      </c>
      <c r="J363" s="205">
        <f t="shared" si="160"/>
        <v>1810</v>
      </c>
      <c r="K363" s="205">
        <f t="shared" si="160"/>
        <v>0</v>
      </c>
      <c r="L363" s="205">
        <f t="shared" si="160"/>
        <v>0</v>
      </c>
      <c r="M363" s="205">
        <f t="shared" si="160"/>
        <v>0</v>
      </c>
      <c r="N363" s="205">
        <f t="shared" si="160"/>
        <v>3620</v>
      </c>
      <c r="O363" s="205">
        <f t="shared" si="160"/>
        <v>1810</v>
      </c>
      <c r="P363" s="205">
        <f t="shared" si="160"/>
        <v>1810</v>
      </c>
      <c r="Q363" s="205">
        <f t="shared" si="160"/>
        <v>1810</v>
      </c>
      <c r="R363" s="205">
        <f t="shared" si="160"/>
        <v>0</v>
      </c>
      <c r="S363" s="205">
        <f t="shared" si="160"/>
        <v>0</v>
      </c>
      <c r="T363" s="205">
        <f t="shared" si="160"/>
        <v>14480</v>
      </c>
      <c r="U363"/>
      <c r="V363">
        <f>+PRESUPUESTO22[[#This Row],[EJECUTADO ]]-SUM(PRESUPUESTO22[[#This Row],[   ENERO ]:[DIC]])</f>
        <v>0</v>
      </c>
      <c r="W363"/>
      <c r="X363"/>
    </row>
    <row r="364" spans="1:24" ht="15.95" customHeight="1" x14ac:dyDescent="0.25">
      <c r="A364" s="112">
        <f>SUM(A365:A367)</f>
        <v>20</v>
      </c>
      <c r="B364" s="152">
        <v>702020201</v>
      </c>
      <c r="C364" s="130" t="str">
        <f t="shared" si="148"/>
        <v>E-0702020201</v>
      </c>
      <c r="D364" s="130">
        <v>314</v>
      </c>
      <c r="E364" s="146" t="s">
        <v>69</v>
      </c>
      <c r="F364" s="202" t="s">
        <v>278</v>
      </c>
      <c r="G364" s="203">
        <f t="shared" ref="G364:T364" si="161">SUM(G365:G367)</f>
        <v>0</v>
      </c>
      <c r="H364" s="203">
        <f t="shared" si="161"/>
        <v>900</v>
      </c>
      <c r="I364" s="203">
        <f t="shared" si="161"/>
        <v>900</v>
      </c>
      <c r="J364" s="203">
        <f t="shared" si="161"/>
        <v>900</v>
      </c>
      <c r="K364" s="203">
        <f t="shared" si="161"/>
        <v>0</v>
      </c>
      <c r="L364" s="203">
        <f t="shared" si="161"/>
        <v>0</v>
      </c>
      <c r="M364" s="203">
        <f t="shared" si="161"/>
        <v>0</v>
      </c>
      <c r="N364" s="203">
        <f t="shared" si="161"/>
        <v>1800</v>
      </c>
      <c r="O364" s="203">
        <f t="shared" si="161"/>
        <v>900</v>
      </c>
      <c r="P364" s="203">
        <f t="shared" si="161"/>
        <v>900</v>
      </c>
      <c r="Q364" s="203">
        <f t="shared" si="161"/>
        <v>900</v>
      </c>
      <c r="R364" s="120">
        <f t="shared" si="161"/>
        <v>0</v>
      </c>
      <c r="S364" s="120">
        <f t="shared" si="161"/>
        <v>0</v>
      </c>
      <c r="T364" s="120">
        <f t="shared" si="161"/>
        <v>7200</v>
      </c>
      <c r="U364"/>
      <c r="V364">
        <f>+PRESUPUESTO22[[#This Row],[EJECUTADO ]]-SUM(PRESUPUESTO22[[#This Row],[   ENERO ]:[DIC]])</f>
        <v>0</v>
      </c>
      <c r="W364"/>
      <c r="X364"/>
    </row>
    <row r="365" spans="1:24" ht="24.75" customHeight="1" x14ac:dyDescent="0.25">
      <c r="A365" s="52">
        <v>9</v>
      </c>
      <c r="B365" s="141">
        <v>70202020101</v>
      </c>
      <c r="C365" s="130" t="str">
        <f t="shared" si="148"/>
        <v>E-070202020101</v>
      </c>
      <c r="D365" s="130">
        <v>315</v>
      </c>
      <c r="E365" s="141" t="s">
        <v>69</v>
      </c>
      <c r="F365" s="347" t="s">
        <v>279</v>
      </c>
      <c r="G365" s="193">
        <v>0</v>
      </c>
      <c r="H365" s="122">
        <v>405</v>
      </c>
      <c r="I365" s="122">
        <v>405</v>
      </c>
      <c r="J365" s="122">
        <v>405</v>
      </c>
      <c r="K365" s="193">
        <v>0</v>
      </c>
      <c r="L365" s="193">
        <v>0</v>
      </c>
      <c r="M365" s="193">
        <v>0</v>
      </c>
      <c r="N365" s="122">
        <f>405*2</f>
        <v>810</v>
      </c>
      <c r="O365" s="122">
        <v>405</v>
      </c>
      <c r="P365" s="122">
        <v>405</v>
      </c>
      <c r="Q365" s="122">
        <v>405</v>
      </c>
      <c r="R365" s="193">
        <v>0</v>
      </c>
      <c r="S365" s="193">
        <v>0</v>
      </c>
      <c r="T365" s="193">
        <f>SUM(H365:S365)</f>
        <v>3240</v>
      </c>
      <c r="U365"/>
      <c r="V365">
        <f>+PRESUPUESTO22[[#This Row],[EJECUTADO ]]-SUM(PRESUPUESTO22[[#This Row],[   ENERO ]:[DIC]])</f>
        <v>0</v>
      </c>
      <c r="W365"/>
      <c r="X365"/>
    </row>
    <row r="366" spans="1:24" ht="26.25" customHeight="1" x14ac:dyDescent="0.25">
      <c r="A366" s="52">
        <v>6</v>
      </c>
      <c r="B366" s="141">
        <v>70202020102</v>
      </c>
      <c r="C366" s="130" t="str">
        <f t="shared" si="148"/>
        <v>E-070202020102</v>
      </c>
      <c r="D366" s="130">
        <v>316</v>
      </c>
      <c r="E366" s="141" t="s">
        <v>69</v>
      </c>
      <c r="F366" s="347" t="s">
        <v>280</v>
      </c>
      <c r="G366" s="193">
        <v>0</v>
      </c>
      <c r="H366" s="122">
        <v>270</v>
      </c>
      <c r="I366" s="122">
        <v>270</v>
      </c>
      <c r="J366" s="122">
        <v>270</v>
      </c>
      <c r="K366" s="193">
        <v>0</v>
      </c>
      <c r="L366" s="193">
        <v>0</v>
      </c>
      <c r="M366" s="193">
        <v>0</v>
      </c>
      <c r="N366" s="122">
        <f>270*2</f>
        <v>540</v>
      </c>
      <c r="O366" s="122">
        <v>270</v>
      </c>
      <c r="P366" s="122">
        <v>270</v>
      </c>
      <c r="Q366" s="122">
        <v>270</v>
      </c>
      <c r="R366" s="193">
        <v>0</v>
      </c>
      <c r="S366" s="193">
        <v>0</v>
      </c>
      <c r="T366" s="193">
        <f>SUM(H366:S366)</f>
        <v>2160</v>
      </c>
      <c r="U366"/>
      <c r="V366">
        <f>+PRESUPUESTO22[[#This Row],[EJECUTADO ]]-SUM(PRESUPUESTO22[[#This Row],[   ENERO ]:[DIC]])</f>
        <v>0</v>
      </c>
      <c r="W366"/>
      <c r="X366"/>
    </row>
    <row r="367" spans="1:24" ht="15" x14ac:dyDescent="0.25">
      <c r="A367" s="52">
        <v>5</v>
      </c>
      <c r="B367" s="141">
        <v>70202020103</v>
      </c>
      <c r="C367" s="130" t="str">
        <f t="shared" si="148"/>
        <v>E-070202020103</v>
      </c>
      <c r="D367" s="130">
        <v>317</v>
      </c>
      <c r="E367" s="141" t="s">
        <v>69</v>
      </c>
      <c r="F367" s="347" t="s">
        <v>281</v>
      </c>
      <c r="G367" s="193">
        <v>0</v>
      </c>
      <c r="H367" s="353">
        <v>225</v>
      </c>
      <c r="I367" s="353">
        <v>225</v>
      </c>
      <c r="J367" s="353">
        <v>225</v>
      </c>
      <c r="K367" s="193">
        <v>0</v>
      </c>
      <c r="L367" s="193">
        <v>0</v>
      </c>
      <c r="M367" s="193">
        <v>0</v>
      </c>
      <c r="N367" s="353">
        <f>225*2</f>
        <v>450</v>
      </c>
      <c r="O367" s="353">
        <v>225</v>
      </c>
      <c r="P367" s="353">
        <v>225</v>
      </c>
      <c r="Q367" s="353">
        <v>225</v>
      </c>
      <c r="R367" s="193">
        <v>0</v>
      </c>
      <c r="S367" s="193">
        <v>0</v>
      </c>
      <c r="T367" s="193">
        <f>SUM(H367:S367)</f>
        <v>1800</v>
      </c>
      <c r="U367"/>
      <c r="V367">
        <f>+PRESUPUESTO22[[#This Row],[EJECUTADO ]]-SUM(PRESUPUESTO22[[#This Row],[   ENERO ]:[DIC]])</f>
        <v>0</v>
      </c>
      <c r="W367"/>
      <c r="X367"/>
    </row>
    <row r="368" spans="1:24" ht="15.95" customHeight="1" x14ac:dyDescent="0.25">
      <c r="A368" s="112">
        <f>SUM(A369:A371)</f>
        <v>10</v>
      </c>
      <c r="B368" s="152">
        <v>702020202</v>
      </c>
      <c r="C368" s="130" t="str">
        <f t="shared" si="148"/>
        <v>E-0702020202</v>
      </c>
      <c r="D368" s="130">
        <v>318</v>
      </c>
      <c r="E368" s="146" t="s">
        <v>69</v>
      </c>
      <c r="F368" s="202" t="s">
        <v>282</v>
      </c>
      <c r="G368" s="203">
        <f t="shared" ref="G368:T368" si="162">SUM(G369:G371)</f>
        <v>0</v>
      </c>
      <c r="H368" s="203">
        <f t="shared" si="162"/>
        <v>460</v>
      </c>
      <c r="I368" s="203">
        <f t="shared" si="162"/>
        <v>460</v>
      </c>
      <c r="J368" s="203">
        <f t="shared" si="162"/>
        <v>460</v>
      </c>
      <c r="K368" s="203">
        <f t="shared" si="162"/>
        <v>0</v>
      </c>
      <c r="L368" s="203">
        <f t="shared" si="162"/>
        <v>0</v>
      </c>
      <c r="M368" s="203">
        <f t="shared" si="162"/>
        <v>0</v>
      </c>
      <c r="N368" s="203">
        <f t="shared" si="162"/>
        <v>920</v>
      </c>
      <c r="O368" s="203">
        <f t="shared" si="162"/>
        <v>460</v>
      </c>
      <c r="P368" s="203">
        <f t="shared" si="162"/>
        <v>460</v>
      </c>
      <c r="Q368" s="203">
        <f t="shared" si="162"/>
        <v>460</v>
      </c>
      <c r="R368" s="120">
        <f t="shared" si="162"/>
        <v>0</v>
      </c>
      <c r="S368" s="120">
        <f t="shared" si="162"/>
        <v>0</v>
      </c>
      <c r="T368" s="120">
        <f t="shared" si="162"/>
        <v>3680</v>
      </c>
      <c r="U368"/>
      <c r="V368">
        <f>+PRESUPUESTO22[[#This Row],[EJECUTADO ]]-SUM(PRESUPUESTO22[[#This Row],[   ENERO ]:[DIC]])</f>
        <v>0</v>
      </c>
      <c r="W368"/>
      <c r="X368"/>
    </row>
    <row r="369" spans="1:26" ht="15.95" customHeight="1" x14ac:dyDescent="0.25">
      <c r="A369" s="52">
        <v>5</v>
      </c>
      <c r="B369" s="141">
        <v>70202020201</v>
      </c>
      <c r="C369" s="130" t="str">
        <f t="shared" si="148"/>
        <v>E-070202020201</v>
      </c>
      <c r="D369" s="130">
        <v>319</v>
      </c>
      <c r="E369" s="141" t="s">
        <v>69</v>
      </c>
      <c r="F369" s="347" t="s">
        <v>283</v>
      </c>
      <c r="G369" s="193">
        <v>0</v>
      </c>
      <c r="H369" s="122">
        <v>225</v>
      </c>
      <c r="I369" s="122">
        <v>225</v>
      </c>
      <c r="J369" s="122">
        <v>225</v>
      </c>
      <c r="K369" s="193">
        <v>0</v>
      </c>
      <c r="L369" s="193">
        <v>0</v>
      </c>
      <c r="M369" s="193">
        <v>0</v>
      </c>
      <c r="N369" s="122">
        <f>225*2</f>
        <v>450</v>
      </c>
      <c r="O369" s="122">
        <v>225</v>
      </c>
      <c r="P369" s="122">
        <v>225</v>
      </c>
      <c r="Q369" s="122">
        <v>225</v>
      </c>
      <c r="R369" s="193">
        <v>0</v>
      </c>
      <c r="S369" s="193">
        <v>0</v>
      </c>
      <c r="T369" s="193">
        <f>SUM(H369:S369)</f>
        <v>1800</v>
      </c>
      <c r="U369"/>
      <c r="V369">
        <f>+PRESUPUESTO22[[#This Row],[EJECUTADO ]]-SUM(PRESUPUESTO22[[#This Row],[   ENERO ]:[DIC]])</f>
        <v>0</v>
      </c>
      <c r="W369"/>
      <c r="X369"/>
    </row>
    <row r="370" spans="1:26" ht="15.95" customHeight="1" x14ac:dyDescent="0.25">
      <c r="A370" s="52">
        <v>2</v>
      </c>
      <c r="B370" s="141">
        <v>70202020202</v>
      </c>
      <c r="C370" s="130" t="str">
        <f t="shared" si="148"/>
        <v>E-070202020202</v>
      </c>
      <c r="D370" s="130">
        <v>320</v>
      </c>
      <c r="E370" s="141" t="s">
        <v>69</v>
      </c>
      <c r="F370" s="347" t="s">
        <v>284</v>
      </c>
      <c r="G370" s="193">
        <v>0</v>
      </c>
      <c r="H370" s="122">
        <v>100</v>
      </c>
      <c r="I370" s="122">
        <v>100</v>
      </c>
      <c r="J370" s="122">
        <v>100</v>
      </c>
      <c r="K370" s="193">
        <v>0</v>
      </c>
      <c r="L370" s="193">
        <v>0</v>
      </c>
      <c r="M370" s="193">
        <v>0</v>
      </c>
      <c r="N370" s="122">
        <f>100*2</f>
        <v>200</v>
      </c>
      <c r="O370" s="122">
        <v>100</v>
      </c>
      <c r="P370" s="122">
        <v>100</v>
      </c>
      <c r="Q370" s="122">
        <v>100</v>
      </c>
      <c r="R370" s="193">
        <v>0</v>
      </c>
      <c r="S370" s="193">
        <v>0</v>
      </c>
      <c r="T370" s="193">
        <f>SUM(H370:S370)</f>
        <v>800</v>
      </c>
      <c r="U370"/>
      <c r="V370">
        <f>+PRESUPUESTO22[[#This Row],[EJECUTADO ]]-SUM(PRESUPUESTO22[[#This Row],[   ENERO ]:[DIC]])</f>
        <v>0</v>
      </c>
      <c r="W370"/>
      <c r="X370"/>
    </row>
    <row r="371" spans="1:26" ht="15.95" customHeight="1" x14ac:dyDescent="0.25">
      <c r="A371" s="52">
        <v>3</v>
      </c>
      <c r="B371" s="141">
        <v>70202020203</v>
      </c>
      <c r="C371" s="130" t="str">
        <f t="shared" si="148"/>
        <v>E-070202020203</v>
      </c>
      <c r="D371" s="130">
        <v>321</v>
      </c>
      <c r="E371" s="141" t="s">
        <v>69</v>
      </c>
      <c r="F371" s="347" t="s">
        <v>285</v>
      </c>
      <c r="G371" s="193">
        <v>0</v>
      </c>
      <c r="H371" s="122">
        <v>135</v>
      </c>
      <c r="I371" s="122">
        <v>135</v>
      </c>
      <c r="J371" s="122">
        <v>135</v>
      </c>
      <c r="K371" s="193">
        <v>0</v>
      </c>
      <c r="L371" s="193">
        <v>0</v>
      </c>
      <c r="M371" s="193">
        <v>0</v>
      </c>
      <c r="N371" s="122">
        <f>135*2</f>
        <v>270</v>
      </c>
      <c r="O371" s="122">
        <v>135</v>
      </c>
      <c r="P371" s="122">
        <v>135</v>
      </c>
      <c r="Q371" s="122">
        <v>135</v>
      </c>
      <c r="R371" s="193">
        <v>0</v>
      </c>
      <c r="S371" s="193">
        <v>0</v>
      </c>
      <c r="T371" s="193">
        <f>SUM(H371:S371)</f>
        <v>1080</v>
      </c>
      <c r="U371"/>
      <c r="V371">
        <f>+PRESUPUESTO22[[#This Row],[EJECUTADO ]]-SUM(PRESUPUESTO22[[#This Row],[   ENERO ]:[DIC]])</f>
        <v>0</v>
      </c>
      <c r="W371"/>
      <c r="X371"/>
      <c r="Z371" s="7" t="s">
        <v>1</v>
      </c>
    </row>
    <row r="372" spans="1:26" ht="15.95" customHeight="1" x14ac:dyDescent="0.25">
      <c r="A372" s="112">
        <f>SUM(A373:A377)</f>
        <v>11</v>
      </c>
      <c r="B372" s="152">
        <v>702020203</v>
      </c>
      <c r="C372" s="130" t="str">
        <f t="shared" si="148"/>
        <v>E-0702020203</v>
      </c>
      <c r="D372" s="130">
        <v>322</v>
      </c>
      <c r="E372" s="146" t="s">
        <v>69</v>
      </c>
      <c r="F372" s="202" t="s">
        <v>171</v>
      </c>
      <c r="G372" s="203">
        <f t="shared" ref="G372:T372" si="163">SUM(G373:G377)</f>
        <v>0</v>
      </c>
      <c r="H372" s="203">
        <f t="shared" si="163"/>
        <v>450</v>
      </c>
      <c r="I372" s="203">
        <f t="shared" si="163"/>
        <v>450</v>
      </c>
      <c r="J372" s="203">
        <f t="shared" si="163"/>
        <v>450</v>
      </c>
      <c r="K372" s="203">
        <f t="shared" si="163"/>
        <v>0</v>
      </c>
      <c r="L372" s="203">
        <f t="shared" si="163"/>
        <v>0</v>
      </c>
      <c r="M372" s="203">
        <f t="shared" si="163"/>
        <v>0</v>
      </c>
      <c r="N372" s="203">
        <f t="shared" si="163"/>
        <v>900</v>
      </c>
      <c r="O372" s="203">
        <f t="shared" si="163"/>
        <v>450</v>
      </c>
      <c r="P372" s="203">
        <f t="shared" si="163"/>
        <v>450</v>
      </c>
      <c r="Q372" s="203">
        <f t="shared" si="163"/>
        <v>450</v>
      </c>
      <c r="R372" s="120">
        <f t="shared" si="163"/>
        <v>0</v>
      </c>
      <c r="S372" s="120">
        <f t="shared" si="163"/>
        <v>0</v>
      </c>
      <c r="T372" s="120">
        <f t="shared" si="163"/>
        <v>3600</v>
      </c>
      <c r="U372"/>
      <c r="V372">
        <f>+PRESUPUESTO22[[#This Row],[EJECUTADO ]]-SUM(PRESUPUESTO22[[#This Row],[   ENERO ]:[DIC]])</f>
        <v>0</v>
      </c>
      <c r="W372"/>
      <c r="X372"/>
    </row>
    <row r="373" spans="1:26" ht="15.95" customHeight="1" x14ac:dyDescent="0.25">
      <c r="A373" s="52">
        <v>1</v>
      </c>
      <c r="B373" s="141">
        <v>70202020301</v>
      </c>
      <c r="C373" s="130" t="str">
        <f t="shared" si="148"/>
        <v>E-070202020301</v>
      </c>
      <c r="D373" s="130">
        <v>323</v>
      </c>
      <c r="E373" s="141" t="s">
        <v>69</v>
      </c>
      <c r="F373" s="347" t="s">
        <v>286</v>
      </c>
      <c r="G373" s="193">
        <v>0</v>
      </c>
      <c r="H373" s="122">
        <v>45</v>
      </c>
      <c r="I373" s="122">
        <v>45</v>
      </c>
      <c r="J373" s="122">
        <v>45</v>
      </c>
      <c r="K373" s="193">
        <v>0</v>
      </c>
      <c r="L373" s="193">
        <v>0</v>
      </c>
      <c r="M373" s="193">
        <v>0</v>
      </c>
      <c r="N373" s="122">
        <f>45*2</f>
        <v>90</v>
      </c>
      <c r="O373" s="122">
        <v>45</v>
      </c>
      <c r="P373" s="122">
        <v>45</v>
      </c>
      <c r="Q373" s="122">
        <v>45</v>
      </c>
      <c r="R373" s="193">
        <v>0</v>
      </c>
      <c r="S373" s="193">
        <v>0</v>
      </c>
      <c r="T373" s="193">
        <f>SUM(H373:S373)</f>
        <v>360</v>
      </c>
      <c r="U373"/>
      <c r="V373">
        <f>+PRESUPUESTO22[[#This Row],[EJECUTADO ]]-SUM(PRESUPUESTO22[[#This Row],[   ENERO ]:[DIC]])</f>
        <v>0</v>
      </c>
      <c r="W373"/>
      <c r="X373"/>
    </row>
    <row r="374" spans="1:26" ht="15.95" customHeight="1" x14ac:dyDescent="0.25">
      <c r="A374" s="52">
        <v>2</v>
      </c>
      <c r="B374" s="141">
        <v>70202020302</v>
      </c>
      <c r="C374" s="130" t="str">
        <f t="shared" si="148"/>
        <v>E-070202020302</v>
      </c>
      <c r="D374" s="130">
        <v>324</v>
      </c>
      <c r="E374" s="141" t="s">
        <v>69</v>
      </c>
      <c r="F374" s="347" t="s">
        <v>287</v>
      </c>
      <c r="G374" s="193">
        <v>0</v>
      </c>
      <c r="H374" s="122">
        <v>45</v>
      </c>
      <c r="I374" s="122">
        <v>45</v>
      </c>
      <c r="J374" s="122">
        <v>45</v>
      </c>
      <c r="K374" s="193">
        <v>0</v>
      </c>
      <c r="L374" s="193">
        <v>0</v>
      </c>
      <c r="M374" s="193">
        <v>0</v>
      </c>
      <c r="N374" s="122">
        <f>45*2</f>
        <v>90</v>
      </c>
      <c r="O374" s="122">
        <v>45</v>
      </c>
      <c r="P374" s="122">
        <v>45</v>
      </c>
      <c r="Q374" s="122">
        <v>45</v>
      </c>
      <c r="R374" s="193">
        <v>0</v>
      </c>
      <c r="S374" s="193">
        <v>0</v>
      </c>
      <c r="T374" s="193">
        <f>SUM(H374:S374)</f>
        <v>360</v>
      </c>
      <c r="U374"/>
      <c r="V374">
        <f>+PRESUPUESTO22[[#This Row],[EJECUTADO ]]-SUM(PRESUPUESTO22[[#This Row],[   ENERO ]:[DIC]])</f>
        <v>0</v>
      </c>
      <c r="W374"/>
      <c r="X374"/>
    </row>
    <row r="375" spans="1:26" ht="15.95" customHeight="1" x14ac:dyDescent="0.25">
      <c r="A375" s="52">
        <v>1</v>
      </c>
      <c r="B375" s="141">
        <v>70202020303</v>
      </c>
      <c r="C375" s="130" t="str">
        <f t="shared" si="148"/>
        <v>E-070202020303</v>
      </c>
      <c r="D375" s="130">
        <v>325</v>
      </c>
      <c r="E375" s="141" t="s">
        <v>69</v>
      </c>
      <c r="F375" s="347" t="s">
        <v>288</v>
      </c>
      <c r="G375" s="193">
        <v>0</v>
      </c>
      <c r="H375" s="122">
        <v>45</v>
      </c>
      <c r="I375" s="122">
        <v>45</v>
      </c>
      <c r="J375" s="122">
        <v>45</v>
      </c>
      <c r="K375" s="193">
        <v>0</v>
      </c>
      <c r="L375" s="193">
        <v>0</v>
      </c>
      <c r="M375" s="193">
        <v>0</v>
      </c>
      <c r="N375" s="122">
        <f>45*2</f>
        <v>90</v>
      </c>
      <c r="O375" s="122">
        <v>45</v>
      </c>
      <c r="P375" s="122">
        <v>45</v>
      </c>
      <c r="Q375" s="122">
        <v>45</v>
      </c>
      <c r="R375" s="193">
        <v>0</v>
      </c>
      <c r="S375" s="193">
        <v>0</v>
      </c>
      <c r="T375" s="193">
        <f>SUM(H375:S375)</f>
        <v>360</v>
      </c>
      <c r="U375"/>
      <c r="V375">
        <f>+PRESUPUESTO22[[#This Row],[EJECUTADO ]]-SUM(PRESUPUESTO22[[#This Row],[   ENERO ]:[DIC]])</f>
        <v>0</v>
      </c>
      <c r="W375"/>
      <c r="X375"/>
    </row>
    <row r="376" spans="1:26" ht="15.95" customHeight="1" x14ac:dyDescent="0.25">
      <c r="A376" s="52">
        <v>2</v>
      </c>
      <c r="B376" s="141">
        <v>70202020304</v>
      </c>
      <c r="C376" s="130" t="str">
        <f t="shared" si="148"/>
        <v>E-070202020304</v>
      </c>
      <c r="D376" s="130">
        <v>326</v>
      </c>
      <c r="E376" s="141" t="s">
        <v>69</v>
      </c>
      <c r="F376" s="347" t="s">
        <v>289</v>
      </c>
      <c r="G376" s="193">
        <v>0</v>
      </c>
      <c r="H376" s="122">
        <v>90</v>
      </c>
      <c r="I376" s="122">
        <v>90</v>
      </c>
      <c r="J376" s="122">
        <v>90</v>
      </c>
      <c r="K376" s="193">
        <v>0</v>
      </c>
      <c r="L376" s="193">
        <v>0</v>
      </c>
      <c r="M376" s="193">
        <v>0</v>
      </c>
      <c r="N376" s="122">
        <f>90*2</f>
        <v>180</v>
      </c>
      <c r="O376" s="122">
        <v>90</v>
      </c>
      <c r="P376" s="122">
        <v>90</v>
      </c>
      <c r="Q376" s="122">
        <v>90</v>
      </c>
      <c r="R376" s="193">
        <v>0</v>
      </c>
      <c r="S376" s="193">
        <v>0</v>
      </c>
      <c r="T376" s="193">
        <f>SUM(H376:S376)</f>
        <v>720</v>
      </c>
      <c r="U376"/>
      <c r="V376">
        <f>+PRESUPUESTO22[[#This Row],[EJECUTADO ]]-SUM(PRESUPUESTO22[[#This Row],[   ENERO ]:[DIC]])</f>
        <v>0</v>
      </c>
      <c r="W376"/>
      <c r="X376"/>
    </row>
    <row r="377" spans="1:26" ht="15.95" customHeight="1" x14ac:dyDescent="0.25">
      <c r="A377" s="52">
        <v>5</v>
      </c>
      <c r="B377" s="141">
        <v>70202020305</v>
      </c>
      <c r="C377" s="130" t="str">
        <f t="shared" si="148"/>
        <v>E-070202020305</v>
      </c>
      <c r="D377" s="130">
        <v>327</v>
      </c>
      <c r="E377" s="141" t="s">
        <v>69</v>
      </c>
      <c r="F377" s="347" t="s">
        <v>290</v>
      </c>
      <c r="G377" s="193">
        <v>0</v>
      </c>
      <c r="H377" s="122">
        <v>225</v>
      </c>
      <c r="I377" s="122">
        <v>225</v>
      </c>
      <c r="J377" s="122">
        <v>225</v>
      </c>
      <c r="K377" s="193">
        <v>0</v>
      </c>
      <c r="L377" s="193">
        <v>0</v>
      </c>
      <c r="M377" s="193">
        <v>0</v>
      </c>
      <c r="N377" s="122">
        <f>225*2</f>
        <v>450</v>
      </c>
      <c r="O377" s="122">
        <v>225</v>
      </c>
      <c r="P377" s="122">
        <v>225</v>
      </c>
      <c r="Q377" s="122">
        <v>225</v>
      </c>
      <c r="R377" s="193">
        <v>0</v>
      </c>
      <c r="S377" s="193">
        <v>0</v>
      </c>
      <c r="T377" s="193">
        <f>SUM(H377:S377)</f>
        <v>1800</v>
      </c>
      <c r="U377"/>
      <c r="V377">
        <f>+PRESUPUESTO22[[#This Row],[EJECUTADO ]]-SUM(PRESUPUESTO22[[#This Row],[   ENERO ]:[DIC]])</f>
        <v>0</v>
      </c>
      <c r="W377"/>
      <c r="X377"/>
    </row>
    <row r="378" spans="1:26" ht="15.95" customHeight="1" x14ac:dyDescent="0.25">
      <c r="A378" s="114">
        <v>3</v>
      </c>
      <c r="B378" s="141">
        <v>70202020306</v>
      </c>
      <c r="C378" s="130" t="str">
        <f t="shared" si="148"/>
        <v>E-070202020306</v>
      </c>
      <c r="D378" s="130">
        <v>328</v>
      </c>
      <c r="E378" s="140" t="s">
        <v>69</v>
      </c>
      <c r="F378" s="199" t="s">
        <v>1403</v>
      </c>
      <c r="G378" s="192">
        <f t="shared" ref="G378:T378" si="164">+G379</f>
        <v>0</v>
      </c>
      <c r="H378" s="192">
        <f t="shared" si="164"/>
        <v>1231</v>
      </c>
      <c r="I378" s="192">
        <f t="shared" si="164"/>
        <v>1231</v>
      </c>
      <c r="J378" s="192">
        <f t="shared" si="164"/>
        <v>1231</v>
      </c>
      <c r="K378" s="192">
        <f t="shared" si="164"/>
        <v>0</v>
      </c>
      <c r="L378" s="192">
        <f t="shared" si="164"/>
        <v>0</v>
      </c>
      <c r="M378" s="192">
        <f t="shared" si="164"/>
        <v>0</v>
      </c>
      <c r="N378" s="192">
        <f t="shared" si="164"/>
        <v>2462</v>
      </c>
      <c r="O378" s="192">
        <f t="shared" si="164"/>
        <v>1231</v>
      </c>
      <c r="P378" s="192">
        <f t="shared" si="164"/>
        <v>1231</v>
      </c>
      <c r="Q378" s="192">
        <f t="shared" si="164"/>
        <v>1231</v>
      </c>
      <c r="R378" s="192">
        <f t="shared" si="164"/>
        <v>0</v>
      </c>
      <c r="S378" s="192">
        <f t="shared" si="164"/>
        <v>0</v>
      </c>
      <c r="T378" s="192">
        <f t="shared" si="164"/>
        <v>9848</v>
      </c>
      <c r="U378"/>
      <c r="V378">
        <f>+PRESUPUESTO22[[#This Row],[EJECUTADO ]]-SUM(PRESUPUESTO22[[#This Row],[   ENERO ]:[DIC]])</f>
        <v>0</v>
      </c>
      <c r="W378"/>
      <c r="X378"/>
    </row>
    <row r="379" spans="1:26" ht="15.95" customHeight="1" x14ac:dyDescent="0.25">
      <c r="A379" s="115">
        <f>SUM(A380:A385)</f>
        <v>18</v>
      </c>
      <c r="B379" s="152">
        <v>702020204</v>
      </c>
      <c r="C379" s="130" t="str">
        <f t="shared" si="148"/>
        <v>E-0702020204</v>
      </c>
      <c r="D379" s="130">
        <v>329</v>
      </c>
      <c r="E379" s="146" t="s">
        <v>69</v>
      </c>
      <c r="F379" s="202" t="s">
        <v>291</v>
      </c>
      <c r="G379" s="203">
        <f t="shared" ref="G379:T379" si="165">SUM(G380:G385)</f>
        <v>0</v>
      </c>
      <c r="H379" s="203">
        <f t="shared" si="165"/>
        <v>1231</v>
      </c>
      <c r="I379" s="203">
        <f t="shared" si="165"/>
        <v>1231</v>
      </c>
      <c r="J379" s="203">
        <f t="shared" si="165"/>
        <v>1231</v>
      </c>
      <c r="K379" s="203">
        <f t="shared" si="165"/>
        <v>0</v>
      </c>
      <c r="L379" s="203">
        <f t="shared" si="165"/>
        <v>0</v>
      </c>
      <c r="M379" s="203">
        <f t="shared" si="165"/>
        <v>0</v>
      </c>
      <c r="N379" s="203">
        <f t="shared" si="165"/>
        <v>2462</v>
      </c>
      <c r="O379" s="203">
        <f t="shared" si="165"/>
        <v>1231</v>
      </c>
      <c r="P379" s="203">
        <f t="shared" si="165"/>
        <v>1231</v>
      </c>
      <c r="Q379" s="203">
        <f t="shared" si="165"/>
        <v>1231</v>
      </c>
      <c r="R379" s="203">
        <f t="shared" si="165"/>
        <v>0</v>
      </c>
      <c r="S379" s="203">
        <f t="shared" si="165"/>
        <v>0</v>
      </c>
      <c r="T379" s="203">
        <f t="shared" si="165"/>
        <v>9848</v>
      </c>
      <c r="U379"/>
      <c r="V379">
        <f>+PRESUPUESTO22[[#This Row],[EJECUTADO ]]-SUM(PRESUPUESTO22[[#This Row],[   ENERO ]:[DIC]])</f>
        <v>0</v>
      </c>
      <c r="W379"/>
      <c r="X379"/>
    </row>
    <row r="380" spans="1:26" ht="28.5" customHeight="1" x14ac:dyDescent="0.25">
      <c r="A380" s="52">
        <v>4</v>
      </c>
      <c r="B380" s="141">
        <v>70202020401</v>
      </c>
      <c r="C380" s="130" t="str">
        <f t="shared" si="148"/>
        <v>E-070202020401</v>
      </c>
      <c r="D380" s="130">
        <v>330</v>
      </c>
      <c r="E380" s="141" t="s">
        <v>69</v>
      </c>
      <c r="F380" s="347" t="s">
        <v>292</v>
      </c>
      <c r="G380" s="193">
        <v>0</v>
      </c>
      <c r="H380" s="193">
        <v>220</v>
      </c>
      <c r="I380" s="193">
        <v>220</v>
      </c>
      <c r="J380" s="193">
        <v>220</v>
      </c>
      <c r="K380" s="193">
        <v>0</v>
      </c>
      <c r="L380" s="193">
        <v>0</v>
      </c>
      <c r="M380" s="193">
        <v>0</v>
      </c>
      <c r="N380" s="193">
        <f>220*2</f>
        <v>440</v>
      </c>
      <c r="O380" s="193">
        <v>220</v>
      </c>
      <c r="P380" s="193">
        <v>220</v>
      </c>
      <c r="Q380" s="193">
        <v>220</v>
      </c>
      <c r="R380" s="193">
        <v>0</v>
      </c>
      <c r="S380" s="193">
        <v>0</v>
      </c>
      <c r="T380" s="193">
        <f t="shared" ref="T380:T385" si="166">SUM(H380:S380)</f>
        <v>1760</v>
      </c>
      <c r="U380"/>
      <c r="V380">
        <f>+PRESUPUESTO22[[#This Row],[EJECUTADO ]]-SUM(PRESUPUESTO22[[#This Row],[   ENERO ]:[DIC]])</f>
        <v>0</v>
      </c>
      <c r="W380"/>
      <c r="X380"/>
    </row>
    <row r="381" spans="1:26" ht="27.75" customHeight="1" x14ac:dyDescent="0.25">
      <c r="A381" s="52">
        <v>4</v>
      </c>
      <c r="B381" s="141">
        <v>70202020402</v>
      </c>
      <c r="C381" s="130" t="str">
        <f t="shared" si="148"/>
        <v>E-070202020402</v>
      </c>
      <c r="D381" s="130">
        <v>331</v>
      </c>
      <c r="E381" s="141" t="s">
        <v>69</v>
      </c>
      <c r="F381" s="347" t="s">
        <v>293</v>
      </c>
      <c r="G381" s="193">
        <v>0</v>
      </c>
      <c r="H381" s="193">
        <v>220</v>
      </c>
      <c r="I381" s="193">
        <v>220</v>
      </c>
      <c r="J381" s="193">
        <v>220</v>
      </c>
      <c r="K381" s="193">
        <v>0</v>
      </c>
      <c r="L381" s="193">
        <v>0</v>
      </c>
      <c r="M381" s="193">
        <v>0</v>
      </c>
      <c r="N381" s="193">
        <f>220*2</f>
        <v>440</v>
      </c>
      <c r="O381" s="193">
        <v>220</v>
      </c>
      <c r="P381" s="193">
        <v>220</v>
      </c>
      <c r="Q381" s="193">
        <v>220</v>
      </c>
      <c r="R381" s="193">
        <v>0</v>
      </c>
      <c r="S381" s="193">
        <v>0</v>
      </c>
      <c r="T381" s="193">
        <f t="shared" si="166"/>
        <v>1760</v>
      </c>
      <c r="U381"/>
      <c r="V381">
        <f>+PRESUPUESTO22[[#This Row],[EJECUTADO ]]-SUM(PRESUPUESTO22[[#This Row],[   ENERO ]:[DIC]])</f>
        <v>0</v>
      </c>
      <c r="W381"/>
      <c r="X381"/>
    </row>
    <row r="382" spans="1:26" ht="18.75" customHeight="1" x14ac:dyDescent="0.25">
      <c r="A382" s="52">
        <v>1</v>
      </c>
      <c r="B382" s="141">
        <v>70202020403</v>
      </c>
      <c r="C382" s="130" t="str">
        <f t="shared" si="148"/>
        <v>E-070202020403</v>
      </c>
      <c r="D382" s="130">
        <v>332</v>
      </c>
      <c r="E382" s="141" t="s">
        <v>69</v>
      </c>
      <c r="F382" s="347" t="s">
        <v>294</v>
      </c>
      <c r="G382" s="193">
        <v>0</v>
      </c>
      <c r="H382" s="193">
        <v>112</v>
      </c>
      <c r="I382" s="193">
        <v>112</v>
      </c>
      <c r="J382" s="193">
        <v>112</v>
      </c>
      <c r="K382" s="193">
        <v>0</v>
      </c>
      <c r="L382" s="193">
        <v>0</v>
      </c>
      <c r="M382" s="193">
        <v>0</v>
      </c>
      <c r="N382" s="193">
        <f>112*2</f>
        <v>224</v>
      </c>
      <c r="O382" s="193">
        <v>112</v>
      </c>
      <c r="P382" s="193">
        <v>112</v>
      </c>
      <c r="Q382" s="193">
        <v>112</v>
      </c>
      <c r="R382" s="193">
        <v>0</v>
      </c>
      <c r="S382" s="193">
        <v>0</v>
      </c>
      <c r="T382" s="193">
        <f t="shared" si="166"/>
        <v>896</v>
      </c>
      <c r="U382"/>
      <c r="V382">
        <f>+PRESUPUESTO22[[#This Row],[EJECUTADO ]]-SUM(PRESUPUESTO22[[#This Row],[   ENERO ]:[DIC]])</f>
        <v>0</v>
      </c>
      <c r="W382"/>
      <c r="X382"/>
    </row>
    <row r="383" spans="1:26" ht="29.25" customHeight="1" x14ac:dyDescent="0.25">
      <c r="A383" s="52">
        <v>4</v>
      </c>
      <c r="B383" s="141">
        <v>70202020404</v>
      </c>
      <c r="C383" s="130" t="str">
        <f t="shared" si="148"/>
        <v>E-070202020404</v>
      </c>
      <c r="D383" s="130">
        <v>333</v>
      </c>
      <c r="E383" s="141" t="s">
        <v>69</v>
      </c>
      <c r="F383" s="347" t="s">
        <v>295</v>
      </c>
      <c r="G383" s="193">
        <v>0</v>
      </c>
      <c r="H383" s="193">
        <v>220</v>
      </c>
      <c r="I383" s="193">
        <v>220</v>
      </c>
      <c r="J383" s="193">
        <v>220</v>
      </c>
      <c r="K383" s="193">
        <v>0</v>
      </c>
      <c r="L383" s="193">
        <v>0</v>
      </c>
      <c r="M383" s="193">
        <v>0</v>
      </c>
      <c r="N383" s="193">
        <f>220*2</f>
        <v>440</v>
      </c>
      <c r="O383" s="193">
        <v>220</v>
      </c>
      <c r="P383" s="193">
        <v>220</v>
      </c>
      <c r="Q383" s="193">
        <v>220</v>
      </c>
      <c r="R383" s="193">
        <v>0</v>
      </c>
      <c r="S383" s="193">
        <v>0</v>
      </c>
      <c r="T383" s="193">
        <f t="shared" si="166"/>
        <v>1760</v>
      </c>
      <c r="U383"/>
      <c r="V383">
        <f>+PRESUPUESTO22[[#This Row],[EJECUTADO ]]-SUM(PRESUPUESTO22[[#This Row],[   ENERO ]:[DIC]])</f>
        <v>0</v>
      </c>
      <c r="W383"/>
      <c r="X383"/>
    </row>
    <row r="384" spans="1:26" ht="17.25" customHeight="1" x14ac:dyDescent="0.25">
      <c r="A384" s="52">
        <v>1</v>
      </c>
      <c r="B384" s="141">
        <v>70202020405</v>
      </c>
      <c r="C384" s="130" t="str">
        <f t="shared" si="148"/>
        <v>E-070202020405</v>
      </c>
      <c r="D384" s="130">
        <v>334</v>
      </c>
      <c r="E384" s="141" t="s">
        <v>69</v>
      </c>
      <c r="F384" s="347" t="s">
        <v>296</v>
      </c>
      <c r="G384" s="193">
        <v>0</v>
      </c>
      <c r="H384" s="193">
        <v>55</v>
      </c>
      <c r="I384" s="193">
        <v>55</v>
      </c>
      <c r="J384" s="193">
        <v>55</v>
      </c>
      <c r="K384" s="193">
        <v>0</v>
      </c>
      <c r="L384" s="193">
        <v>0</v>
      </c>
      <c r="M384" s="193">
        <v>0</v>
      </c>
      <c r="N384" s="193">
        <f>55*2</f>
        <v>110</v>
      </c>
      <c r="O384" s="193">
        <v>55</v>
      </c>
      <c r="P384" s="193">
        <v>55</v>
      </c>
      <c r="Q384" s="193">
        <v>55</v>
      </c>
      <c r="R384" s="193">
        <v>0</v>
      </c>
      <c r="S384" s="193">
        <v>0</v>
      </c>
      <c r="T384" s="193">
        <f t="shared" si="166"/>
        <v>440</v>
      </c>
      <c r="U384"/>
      <c r="V384">
        <f>+PRESUPUESTO22[[#This Row],[EJECUTADO ]]-SUM(PRESUPUESTO22[[#This Row],[   ENERO ]:[DIC]])</f>
        <v>0</v>
      </c>
      <c r="W384"/>
      <c r="X384"/>
    </row>
    <row r="385" spans="1:24" ht="16.5" customHeight="1" x14ac:dyDescent="0.25">
      <c r="A385" s="52">
        <v>4</v>
      </c>
      <c r="B385" s="141">
        <v>70202020406</v>
      </c>
      <c r="C385" s="130" t="str">
        <f t="shared" si="148"/>
        <v>E-070202020406</v>
      </c>
      <c r="D385" s="130">
        <v>335</v>
      </c>
      <c r="E385" s="141" t="s">
        <v>69</v>
      </c>
      <c r="F385" s="347" t="s">
        <v>297</v>
      </c>
      <c r="G385" s="193">
        <v>0</v>
      </c>
      <c r="H385" s="193">
        <v>404</v>
      </c>
      <c r="I385" s="193">
        <v>404</v>
      </c>
      <c r="J385" s="193">
        <v>404</v>
      </c>
      <c r="K385" s="193">
        <v>0</v>
      </c>
      <c r="L385" s="193">
        <v>0</v>
      </c>
      <c r="M385" s="193">
        <v>0</v>
      </c>
      <c r="N385" s="193">
        <f>404*2</f>
        <v>808</v>
      </c>
      <c r="O385" s="193">
        <v>404</v>
      </c>
      <c r="P385" s="193">
        <v>404</v>
      </c>
      <c r="Q385" s="193">
        <v>404</v>
      </c>
      <c r="R385" s="193">
        <v>0</v>
      </c>
      <c r="S385" s="193">
        <v>0</v>
      </c>
      <c r="T385" s="193">
        <f t="shared" si="166"/>
        <v>3232</v>
      </c>
      <c r="U385"/>
      <c r="V385">
        <f>+PRESUPUESTO22[[#This Row],[EJECUTADO ]]-SUM(PRESUPUESTO22[[#This Row],[   ENERO ]:[DIC]])</f>
        <v>0</v>
      </c>
      <c r="W385"/>
      <c r="X385"/>
    </row>
    <row r="386" spans="1:24" ht="15.95" customHeight="1" x14ac:dyDescent="0.25">
      <c r="A386" s="114">
        <v>4</v>
      </c>
      <c r="B386" s="141">
        <v>70203</v>
      </c>
      <c r="C386" s="130" t="str">
        <f t="shared" si="148"/>
        <v>E-070203</v>
      </c>
      <c r="D386" s="130">
        <v>336</v>
      </c>
      <c r="E386" s="140" t="s">
        <v>69</v>
      </c>
      <c r="F386" s="199" t="s">
        <v>298</v>
      </c>
      <c r="G386" s="192">
        <f t="shared" ref="G386:S386" si="167">+G387+G393+G406+G419+G426+G432+G434+G438</f>
        <v>0</v>
      </c>
      <c r="H386" s="192">
        <f t="shared" si="167"/>
        <v>22159</v>
      </c>
      <c r="I386" s="192">
        <f t="shared" si="167"/>
        <v>22159</v>
      </c>
      <c r="J386" s="192">
        <f t="shared" si="167"/>
        <v>22159</v>
      </c>
      <c r="K386" s="192">
        <f t="shared" si="167"/>
        <v>0</v>
      </c>
      <c r="L386" s="192">
        <f t="shared" si="167"/>
        <v>0</v>
      </c>
      <c r="M386" s="192">
        <f t="shared" si="167"/>
        <v>0</v>
      </c>
      <c r="N386" s="192">
        <f t="shared" si="167"/>
        <v>44318</v>
      </c>
      <c r="O386" s="192">
        <f t="shared" si="167"/>
        <v>22159</v>
      </c>
      <c r="P386" s="192">
        <f t="shared" si="167"/>
        <v>22159</v>
      </c>
      <c r="Q386" s="192">
        <f t="shared" si="167"/>
        <v>22159</v>
      </c>
      <c r="R386" s="192">
        <f t="shared" si="167"/>
        <v>0</v>
      </c>
      <c r="S386" s="192">
        <f t="shared" si="167"/>
        <v>0</v>
      </c>
      <c r="T386" s="192">
        <f>+T387+T393+T406+T419+T426+T432+T434+T438</f>
        <v>177272</v>
      </c>
      <c r="U386"/>
      <c r="V386">
        <f>+PRESUPUESTO22[[#This Row],[EJECUTADO ]]-SUM(PRESUPUESTO22[[#This Row],[   ENERO ]:[DIC]])</f>
        <v>0</v>
      </c>
      <c r="W386"/>
      <c r="X386"/>
    </row>
    <row r="387" spans="1:24" ht="15.95" customHeight="1" x14ac:dyDescent="0.25">
      <c r="A387" s="115">
        <f>SUM(A388:A392)</f>
        <v>28</v>
      </c>
      <c r="B387" s="152">
        <v>7020301</v>
      </c>
      <c r="C387" s="130" t="str">
        <f t="shared" si="148"/>
        <v>E-07020301</v>
      </c>
      <c r="D387" s="130">
        <v>337</v>
      </c>
      <c r="E387" s="146" t="s">
        <v>69</v>
      </c>
      <c r="F387" s="202" t="s">
        <v>299</v>
      </c>
      <c r="G387" s="203">
        <f t="shared" ref="G387:T387" si="168">SUM(G388:G392)</f>
        <v>0</v>
      </c>
      <c r="H387" s="203">
        <f t="shared" si="168"/>
        <v>4220</v>
      </c>
      <c r="I387" s="203">
        <f t="shared" si="168"/>
        <v>4220</v>
      </c>
      <c r="J387" s="203">
        <f t="shared" si="168"/>
        <v>4220</v>
      </c>
      <c r="K387" s="203">
        <f t="shared" si="168"/>
        <v>0</v>
      </c>
      <c r="L387" s="203">
        <f t="shared" si="168"/>
        <v>0</v>
      </c>
      <c r="M387" s="203">
        <f t="shared" si="168"/>
        <v>0</v>
      </c>
      <c r="N387" s="203">
        <f t="shared" si="168"/>
        <v>8440</v>
      </c>
      <c r="O387" s="203">
        <f t="shared" si="168"/>
        <v>4220</v>
      </c>
      <c r="P387" s="203">
        <f t="shared" si="168"/>
        <v>4220</v>
      </c>
      <c r="Q387" s="203">
        <f t="shared" si="168"/>
        <v>4220</v>
      </c>
      <c r="R387" s="203">
        <f t="shared" si="168"/>
        <v>0</v>
      </c>
      <c r="S387" s="203">
        <f t="shared" si="168"/>
        <v>0</v>
      </c>
      <c r="T387" s="203">
        <f t="shared" si="168"/>
        <v>33760</v>
      </c>
      <c r="U387"/>
      <c r="V387">
        <f>+PRESUPUESTO22[[#This Row],[EJECUTADO ]]-SUM(PRESUPUESTO22[[#This Row],[   ENERO ]:[DIC]])</f>
        <v>0</v>
      </c>
      <c r="W387"/>
      <c r="X387"/>
    </row>
    <row r="388" spans="1:24" ht="35.25" customHeight="1" x14ac:dyDescent="0.25">
      <c r="A388" s="52">
        <v>8</v>
      </c>
      <c r="B388" s="141">
        <v>702030101</v>
      </c>
      <c r="C388" s="130" t="str">
        <f t="shared" si="148"/>
        <v>E-0702030101</v>
      </c>
      <c r="D388" s="130">
        <v>338</v>
      </c>
      <c r="E388" s="141" t="s">
        <v>69</v>
      </c>
      <c r="F388" s="347" t="s">
        <v>300</v>
      </c>
      <c r="G388" s="193">
        <v>0</v>
      </c>
      <c r="H388" s="193">
        <v>1160</v>
      </c>
      <c r="I388" s="193">
        <v>1160</v>
      </c>
      <c r="J388" s="193">
        <v>1160</v>
      </c>
      <c r="K388" s="193">
        <v>0</v>
      </c>
      <c r="L388" s="193">
        <v>0</v>
      </c>
      <c r="M388" s="193">
        <v>0</v>
      </c>
      <c r="N388" s="193">
        <f>1160*2</f>
        <v>2320</v>
      </c>
      <c r="O388" s="193">
        <v>1160</v>
      </c>
      <c r="P388" s="193">
        <v>1160</v>
      </c>
      <c r="Q388" s="193">
        <v>1160</v>
      </c>
      <c r="R388" s="193">
        <v>0</v>
      </c>
      <c r="S388" s="193">
        <v>0</v>
      </c>
      <c r="T388" s="193">
        <f t="shared" ref="T388:T393" si="169">SUM(H388:S388)</f>
        <v>9280</v>
      </c>
      <c r="U388"/>
      <c r="V388">
        <f>+PRESUPUESTO22[[#This Row],[EJECUTADO ]]-SUM(PRESUPUESTO22[[#This Row],[   ENERO ]:[DIC]])</f>
        <v>0</v>
      </c>
      <c r="W388"/>
      <c r="X388"/>
    </row>
    <row r="389" spans="1:24" ht="26.25" customHeight="1" x14ac:dyDescent="0.25">
      <c r="A389" s="52">
        <v>2</v>
      </c>
      <c r="B389" s="141">
        <v>702030102</v>
      </c>
      <c r="C389" s="130" t="str">
        <f t="shared" si="148"/>
        <v>E-0702030102</v>
      </c>
      <c r="D389" s="130">
        <v>339</v>
      </c>
      <c r="E389" s="141" t="s">
        <v>69</v>
      </c>
      <c r="F389" s="347" t="s">
        <v>301</v>
      </c>
      <c r="G389" s="193">
        <v>0</v>
      </c>
      <c r="H389" s="193">
        <v>290</v>
      </c>
      <c r="I389" s="193">
        <v>290</v>
      </c>
      <c r="J389" s="193">
        <v>290</v>
      </c>
      <c r="K389" s="193">
        <v>0</v>
      </c>
      <c r="L389" s="193">
        <v>0</v>
      </c>
      <c r="M389" s="193">
        <v>0</v>
      </c>
      <c r="N389" s="193">
        <f>290*2</f>
        <v>580</v>
      </c>
      <c r="O389" s="193">
        <v>290</v>
      </c>
      <c r="P389" s="193">
        <v>290</v>
      </c>
      <c r="Q389" s="193">
        <v>290</v>
      </c>
      <c r="R389" s="193">
        <v>0</v>
      </c>
      <c r="S389" s="193">
        <v>0</v>
      </c>
      <c r="T389" s="193">
        <f t="shared" si="169"/>
        <v>2320</v>
      </c>
      <c r="U389"/>
      <c r="V389">
        <f>+PRESUPUESTO22[[#This Row],[EJECUTADO ]]-SUM(PRESUPUESTO22[[#This Row],[   ENERO ]:[DIC]])</f>
        <v>0</v>
      </c>
      <c r="W389"/>
      <c r="X389"/>
    </row>
    <row r="390" spans="1:24" ht="21" customHeight="1" x14ac:dyDescent="0.25">
      <c r="A390" s="52">
        <v>11</v>
      </c>
      <c r="B390" s="141">
        <v>702030103</v>
      </c>
      <c r="C390" s="130" t="str">
        <f t="shared" si="148"/>
        <v>E-0702030103</v>
      </c>
      <c r="D390" s="130">
        <v>340</v>
      </c>
      <c r="E390" s="141" t="s">
        <v>69</v>
      </c>
      <c r="F390" s="347" t="s">
        <v>302</v>
      </c>
      <c r="G390" s="193">
        <v>0</v>
      </c>
      <c r="H390" s="193">
        <v>1595</v>
      </c>
      <c r="I390" s="193">
        <v>1595</v>
      </c>
      <c r="J390" s="193">
        <v>1595</v>
      </c>
      <c r="K390" s="193">
        <v>0</v>
      </c>
      <c r="L390" s="193">
        <v>0</v>
      </c>
      <c r="M390" s="193">
        <v>0</v>
      </c>
      <c r="N390" s="193">
        <f>1595*2</f>
        <v>3190</v>
      </c>
      <c r="O390" s="193">
        <v>1595</v>
      </c>
      <c r="P390" s="193">
        <v>1595</v>
      </c>
      <c r="Q390" s="193">
        <v>1595</v>
      </c>
      <c r="R390" s="193">
        <v>0</v>
      </c>
      <c r="S390" s="193">
        <v>0</v>
      </c>
      <c r="T390" s="193">
        <f t="shared" si="169"/>
        <v>12760</v>
      </c>
      <c r="U390"/>
      <c r="V390">
        <f>+PRESUPUESTO22[[#This Row],[EJECUTADO ]]-SUM(PRESUPUESTO22[[#This Row],[   ENERO ]:[DIC]])</f>
        <v>0</v>
      </c>
      <c r="W390"/>
      <c r="X390"/>
    </row>
    <row r="391" spans="1:24" ht="27" customHeight="1" x14ac:dyDescent="0.25">
      <c r="A391" s="52">
        <v>2</v>
      </c>
      <c r="B391" s="141">
        <v>702030104</v>
      </c>
      <c r="C391" s="130" t="str">
        <f t="shared" si="148"/>
        <v>E-0702030104</v>
      </c>
      <c r="D391" s="130">
        <v>341</v>
      </c>
      <c r="E391" s="141" t="s">
        <v>69</v>
      </c>
      <c r="F391" s="347" t="s">
        <v>303</v>
      </c>
      <c r="G391" s="193">
        <v>0</v>
      </c>
      <c r="H391" s="193">
        <v>350</v>
      </c>
      <c r="I391" s="193">
        <v>350</v>
      </c>
      <c r="J391" s="193">
        <v>350</v>
      </c>
      <c r="K391" s="193">
        <v>0</v>
      </c>
      <c r="L391" s="193">
        <v>0</v>
      </c>
      <c r="M391" s="193">
        <v>0</v>
      </c>
      <c r="N391" s="193">
        <f>350*2</f>
        <v>700</v>
      </c>
      <c r="O391" s="193">
        <v>350</v>
      </c>
      <c r="P391" s="193">
        <v>350</v>
      </c>
      <c r="Q391" s="193">
        <v>350</v>
      </c>
      <c r="R391" s="193">
        <v>0</v>
      </c>
      <c r="S391" s="193">
        <v>0</v>
      </c>
      <c r="T391" s="193">
        <f t="shared" si="169"/>
        <v>2800</v>
      </c>
      <c r="U391"/>
      <c r="V391">
        <f>+PRESUPUESTO22[[#This Row],[EJECUTADO ]]-SUM(PRESUPUESTO22[[#This Row],[   ENERO ]:[DIC]])</f>
        <v>0</v>
      </c>
      <c r="W391"/>
      <c r="X391"/>
    </row>
    <row r="392" spans="1:24" ht="29.25" customHeight="1" x14ac:dyDescent="0.25">
      <c r="A392" s="52">
        <v>5</v>
      </c>
      <c r="B392" s="141">
        <v>702030105</v>
      </c>
      <c r="C392" s="130" t="str">
        <f t="shared" si="148"/>
        <v>E-0702030105</v>
      </c>
      <c r="D392" s="130">
        <v>342</v>
      </c>
      <c r="E392" s="141" t="s">
        <v>69</v>
      </c>
      <c r="F392" s="347" t="s">
        <v>304</v>
      </c>
      <c r="G392" s="193">
        <v>0</v>
      </c>
      <c r="H392" s="193">
        <v>825</v>
      </c>
      <c r="I392" s="193">
        <v>825</v>
      </c>
      <c r="J392" s="193">
        <v>825</v>
      </c>
      <c r="K392" s="193">
        <v>0</v>
      </c>
      <c r="L392" s="193">
        <v>0</v>
      </c>
      <c r="M392" s="193">
        <v>0</v>
      </c>
      <c r="N392" s="193">
        <f>825*2</f>
        <v>1650</v>
      </c>
      <c r="O392" s="193">
        <v>825</v>
      </c>
      <c r="P392" s="193">
        <v>825</v>
      </c>
      <c r="Q392" s="193">
        <v>825</v>
      </c>
      <c r="R392" s="193">
        <v>0</v>
      </c>
      <c r="S392" s="193">
        <v>0</v>
      </c>
      <c r="T392" s="193">
        <f t="shared" si="169"/>
        <v>6600</v>
      </c>
      <c r="U392"/>
      <c r="V392">
        <f>+PRESUPUESTO22[[#This Row],[EJECUTADO ]]-SUM(PRESUPUESTO22[[#This Row],[   ENERO ]:[DIC]])</f>
        <v>0</v>
      </c>
      <c r="W392"/>
      <c r="X392"/>
    </row>
    <row r="393" spans="1:24" ht="15.95" customHeight="1" x14ac:dyDescent="0.25">
      <c r="A393" s="115">
        <f>SUM(A394:A405)</f>
        <v>40</v>
      </c>
      <c r="B393" s="152">
        <v>7020302</v>
      </c>
      <c r="C393" s="130" t="str">
        <f t="shared" si="148"/>
        <v>E-07020302</v>
      </c>
      <c r="D393" s="130">
        <v>343</v>
      </c>
      <c r="E393" s="146" t="s">
        <v>69</v>
      </c>
      <c r="F393" s="202" t="s">
        <v>1404</v>
      </c>
      <c r="G393" s="203">
        <f t="shared" ref="G393:S393" si="170">SUM(G394:G405)</f>
        <v>0</v>
      </c>
      <c r="H393" s="203">
        <f t="shared" si="170"/>
        <v>6190</v>
      </c>
      <c r="I393" s="203">
        <f t="shared" si="170"/>
        <v>6190</v>
      </c>
      <c r="J393" s="203">
        <f t="shared" si="170"/>
        <v>6190</v>
      </c>
      <c r="K393" s="203">
        <f t="shared" si="170"/>
        <v>0</v>
      </c>
      <c r="L393" s="203">
        <f t="shared" si="170"/>
        <v>0</v>
      </c>
      <c r="M393" s="203">
        <f t="shared" si="170"/>
        <v>0</v>
      </c>
      <c r="N393" s="203">
        <f t="shared" si="170"/>
        <v>12380</v>
      </c>
      <c r="O393" s="203">
        <f t="shared" si="170"/>
        <v>6190</v>
      </c>
      <c r="P393" s="203">
        <f t="shared" si="170"/>
        <v>6190</v>
      </c>
      <c r="Q393" s="203">
        <f t="shared" si="170"/>
        <v>6190</v>
      </c>
      <c r="R393" s="203">
        <f t="shared" si="170"/>
        <v>0</v>
      </c>
      <c r="S393" s="203">
        <f t="shared" si="170"/>
        <v>0</v>
      </c>
      <c r="T393" s="193">
        <f t="shared" si="169"/>
        <v>49520</v>
      </c>
      <c r="U393"/>
      <c r="V393">
        <f>+PRESUPUESTO22[[#This Row],[EJECUTADO ]]-SUM(PRESUPUESTO22[[#This Row],[   ENERO ]:[DIC]])</f>
        <v>0</v>
      </c>
      <c r="W393"/>
      <c r="X393"/>
    </row>
    <row r="394" spans="1:24" ht="15" x14ac:dyDescent="0.25">
      <c r="A394" s="52">
        <v>6</v>
      </c>
      <c r="B394" s="141">
        <v>702030201</v>
      </c>
      <c r="C394" s="130" t="str">
        <f t="shared" si="148"/>
        <v>E-0702030201</v>
      </c>
      <c r="D394" s="130">
        <v>344</v>
      </c>
      <c r="E394" s="141" t="s">
        <v>69</v>
      </c>
      <c r="F394" s="347" t="s">
        <v>305</v>
      </c>
      <c r="G394" s="193">
        <v>0</v>
      </c>
      <c r="H394" s="193">
        <v>870</v>
      </c>
      <c r="I394" s="193">
        <v>870</v>
      </c>
      <c r="J394" s="193">
        <v>870</v>
      </c>
      <c r="K394" s="193">
        <v>0</v>
      </c>
      <c r="L394" s="193">
        <v>0</v>
      </c>
      <c r="M394" s="193">
        <v>0</v>
      </c>
      <c r="N394" s="193">
        <f>870*2</f>
        <v>1740</v>
      </c>
      <c r="O394" s="193">
        <v>870</v>
      </c>
      <c r="P394" s="193">
        <v>870</v>
      </c>
      <c r="Q394" s="193">
        <v>870</v>
      </c>
      <c r="R394" s="193">
        <v>0</v>
      </c>
      <c r="S394" s="193">
        <v>0</v>
      </c>
      <c r="T394" s="193">
        <f t="shared" ref="T394:T405" si="171">SUM(H394:S394)</f>
        <v>6960</v>
      </c>
      <c r="U394"/>
      <c r="V394">
        <f>+PRESUPUESTO22[[#This Row],[EJECUTADO ]]-SUM(PRESUPUESTO22[[#This Row],[   ENERO ]:[DIC]])</f>
        <v>0</v>
      </c>
      <c r="W394"/>
      <c r="X394"/>
    </row>
    <row r="395" spans="1:24" ht="15" x14ac:dyDescent="0.25">
      <c r="A395" s="52">
        <v>5</v>
      </c>
      <c r="B395" s="141">
        <v>702030202</v>
      </c>
      <c r="C395" s="130" t="str">
        <f t="shared" si="148"/>
        <v>E-0702030202</v>
      </c>
      <c r="D395" s="130">
        <v>345</v>
      </c>
      <c r="E395" s="141" t="s">
        <v>69</v>
      </c>
      <c r="F395" s="347" t="s">
        <v>306</v>
      </c>
      <c r="G395" s="193">
        <v>0</v>
      </c>
      <c r="H395" s="193">
        <v>725</v>
      </c>
      <c r="I395" s="193">
        <v>725</v>
      </c>
      <c r="J395" s="193">
        <v>725</v>
      </c>
      <c r="K395" s="193">
        <v>0</v>
      </c>
      <c r="L395" s="193">
        <v>0</v>
      </c>
      <c r="M395" s="193">
        <v>0</v>
      </c>
      <c r="N395" s="193">
        <f>725*2</f>
        <v>1450</v>
      </c>
      <c r="O395" s="193">
        <v>725</v>
      </c>
      <c r="P395" s="193">
        <v>725</v>
      </c>
      <c r="Q395" s="193">
        <v>725</v>
      </c>
      <c r="R395" s="193">
        <v>0</v>
      </c>
      <c r="S395" s="193">
        <v>0</v>
      </c>
      <c r="T395" s="193">
        <f t="shared" si="171"/>
        <v>5800</v>
      </c>
      <c r="U395"/>
      <c r="V395">
        <f>+PRESUPUESTO22[[#This Row],[EJECUTADO ]]-SUM(PRESUPUESTO22[[#This Row],[   ENERO ]:[DIC]])</f>
        <v>0</v>
      </c>
      <c r="W395"/>
      <c r="X395"/>
    </row>
    <row r="396" spans="1:24" ht="24.75" customHeight="1" x14ac:dyDescent="0.25">
      <c r="A396" s="52">
        <v>3</v>
      </c>
      <c r="B396" s="141">
        <v>702030203</v>
      </c>
      <c r="C396" s="130" t="str">
        <f t="shared" si="148"/>
        <v>E-0702030203</v>
      </c>
      <c r="D396" s="130">
        <v>346</v>
      </c>
      <c r="E396" s="141" t="s">
        <v>69</v>
      </c>
      <c r="F396" s="347" t="s">
        <v>307</v>
      </c>
      <c r="G396" s="193">
        <v>0</v>
      </c>
      <c r="H396" s="193">
        <v>435</v>
      </c>
      <c r="I396" s="193">
        <v>435</v>
      </c>
      <c r="J396" s="193">
        <v>435</v>
      </c>
      <c r="K396" s="193">
        <v>0</v>
      </c>
      <c r="L396" s="193">
        <v>0</v>
      </c>
      <c r="M396" s="193">
        <v>0</v>
      </c>
      <c r="N396" s="193">
        <f>435*2</f>
        <v>870</v>
      </c>
      <c r="O396" s="193">
        <v>435</v>
      </c>
      <c r="P396" s="193">
        <v>435</v>
      </c>
      <c r="Q396" s="193">
        <v>435</v>
      </c>
      <c r="R396" s="193">
        <v>0</v>
      </c>
      <c r="S396" s="193">
        <v>0</v>
      </c>
      <c r="T396" s="193">
        <f t="shared" si="171"/>
        <v>3480</v>
      </c>
      <c r="U396"/>
      <c r="V396">
        <f>+PRESUPUESTO22[[#This Row],[EJECUTADO ]]-SUM(PRESUPUESTO22[[#This Row],[   ENERO ]:[DIC]])</f>
        <v>0</v>
      </c>
      <c r="W396"/>
      <c r="X396"/>
    </row>
    <row r="397" spans="1:24" ht="15" x14ac:dyDescent="0.25">
      <c r="A397" s="52">
        <v>1</v>
      </c>
      <c r="B397" s="141">
        <v>702030204</v>
      </c>
      <c r="C397" s="130" t="str">
        <f t="shared" si="148"/>
        <v>E-0702030204</v>
      </c>
      <c r="D397" s="130">
        <v>347</v>
      </c>
      <c r="E397" s="141" t="s">
        <v>69</v>
      </c>
      <c r="F397" s="347" t="s">
        <v>308</v>
      </c>
      <c r="G397" s="193">
        <v>0</v>
      </c>
      <c r="H397" s="193">
        <v>145</v>
      </c>
      <c r="I397" s="193">
        <v>145</v>
      </c>
      <c r="J397" s="193">
        <v>145</v>
      </c>
      <c r="K397" s="193">
        <v>0</v>
      </c>
      <c r="L397" s="193">
        <v>0</v>
      </c>
      <c r="M397" s="193">
        <v>0</v>
      </c>
      <c r="N397" s="193">
        <f>145*2</f>
        <v>290</v>
      </c>
      <c r="O397" s="193">
        <v>145</v>
      </c>
      <c r="P397" s="193">
        <v>145</v>
      </c>
      <c r="Q397" s="193">
        <v>145</v>
      </c>
      <c r="R397" s="193">
        <v>0</v>
      </c>
      <c r="S397" s="193">
        <v>0</v>
      </c>
      <c r="T397" s="193">
        <f t="shared" si="171"/>
        <v>1160</v>
      </c>
      <c r="U397"/>
      <c r="V397">
        <f>+PRESUPUESTO22[[#This Row],[EJECUTADO ]]-SUM(PRESUPUESTO22[[#This Row],[   ENERO ]:[DIC]])</f>
        <v>0</v>
      </c>
      <c r="W397"/>
      <c r="X397"/>
    </row>
    <row r="398" spans="1:24" ht="15" x14ac:dyDescent="0.25">
      <c r="A398" s="52">
        <v>3</v>
      </c>
      <c r="B398" s="141">
        <v>702030205</v>
      </c>
      <c r="C398" s="130" t="str">
        <f t="shared" ref="C398:C461" si="172">"E"&amp;"-0"&amp;B398</f>
        <v>E-0702030205</v>
      </c>
      <c r="D398" s="130">
        <v>348</v>
      </c>
      <c r="E398" s="141" t="s">
        <v>69</v>
      </c>
      <c r="F398" s="347" t="s">
        <v>309</v>
      </c>
      <c r="G398" s="193">
        <v>0</v>
      </c>
      <c r="H398" s="193">
        <v>510</v>
      </c>
      <c r="I398" s="193">
        <v>510</v>
      </c>
      <c r="J398" s="193">
        <v>510</v>
      </c>
      <c r="K398" s="193">
        <v>0</v>
      </c>
      <c r="L398" s="193">
        <v>0</v>
      </c>
      <c r="M398" s="193">
        <v>0</v>
      </c>
      <c r="N398" s="193">
        <f>510*2</f>
        <v>1020</v>
      </c>
      <c r="O398" s="193">
        <v>510</v>
      </c>
      <c r="P398" s="193">
        <v>510</v>
      </c>
      <c r="Q398" s="193">
        <v>510</v>
      </c>
      <c r="R398" s="193">
        <v>0</v>
      </c>
      <c r="S398" s="193">
        <v>0</v>
      </c>
      <c r="T398" s="193">
        <f t="shared" si="171"/>
        <v>4080</v>
      </c>
      <c r="U398"/>
      <c r="V398">
        <f>+PRESUPUESTO22[[#This Row],[EJECUTADO ]]-SUM(PRESUPUESTO22[[#This Row],[   ENERO ]:[DIC]])</f>
        <v>0</v>
      </c>
      <c r="W398"/>
      <c r="X398"/>
    </row>
    <row r="399" spans="1:24" ht="27" customHeight="1" x14ac:dyDescent="0.25">
      <c r="A399" s="52">
        <v>3</v>
      </c>
      <c r="B399" s="141">
        <v>702030206</v>
      </c>
      <c r="C399" s="130" t="str">
        <f t="shared" si="172"/>
        <v>E-0702030206</v>
      </c>
      <c r="D399" s="130">
        <v>349</v>
      </c>
      <c r="E399" s="141" t="s">
        <v>69</v>
      </c>
      <c r="F399" s="347" t="s">
        <v>310</v>
      </c>
      <c r="G399" s="193">
        <v>0</v>
      </c>
      <c r="H399" s="193">
        <v>435</v>
      </c>
      <c r="I399" s="193">
        <v>435</v>
      </c>
      <c r="J399" s="193">
        <v>435</v>
      </c>
      <c r="K399" s="193">
        <v>0</v>
      </c>
      <c r="L399" s="193">
        <v>0</v>
      </c>
      <c r="M399" s="193">
        <v>0</v>
      </c>
      <c r="N399" s="193">
        <f>435*2</f>
        <v>870</v>
      </c>
      <c r="O399" s="193">
        <v>435</v>
      </c>
      <c r="P399" s="193">
        <v>435</v>
      </c>
      <c r="Q399" s="193">
        <v>435</v>
      </c>
      <c r="R399" s="193">
        <v>0</v>
      </c>
      <c r="S399" s="193">
        <v>0</v>
      </c>
      <c r="T399" s="193">
        <f t="shared" si="171"/>
        <v>3480</v>
      </c>
      <c r="U399"/>
      <c r="V399">
        <f>+PRESUPUESTO22[[#This Row],[EJECUTADO ]]-SUM(PRESUPUESTO22[[#This Row],[   ENERO ]:[DIC]])</f>
        <v>0</v>
      </c>
      <c r="W399"/>
      <c r="X399"/>
    </row>
    <row r="400" spans="1:24" ht="27" customHeight="1" x14ac:dyDescent="0.25">
      <c r="A400" s="52">
        <v>4</v>
      </c>
      <c r="B400" s="141">
        <v>702030207</v>
      </c>
      <c r="C400" s="130" t="str">
        <f t="shared" si="172"/>
        <v>E-0702030207</v>
      </c>
      <c r="D400" s="130">
        <v>350</v>
      </c>
      <c r="E400" s="141" t="s">
        <v>69</v>
      </c>
      <c r="F400" s="347" t="s">
        <v>311</v>
      </c>
      <c r="G400" s="193">
        <v>0</v>
      </c>
      <c r="H400" s="193">
        <v>700</v>
      </c>
      <c r="I400" s="193">
        <v>700</v>
      </c>
      <c r="J400" s="193">
        <v>700</v>
      </c>
      <c r="K400" s="193">
        <v>0</v>
      </c>
      <c r="L400" s="193">
        <v>0</v>
      </c>
      <c r="M400" s="193">
        <v>0</v>
      </c>
      <c r="N400" s="193">
        <f>700*2</f>
        <v>1400</v>
      </c>
      <c r="O400" s="193">
        <v>700</v>
      </c>
      <c r="P400" s="193">
        <v>700</v>
      </c>
      <c r="Q400" s="193">
        <v>700</v>
      </c>
      <c r="R400" s="193">
        <v>0</v>
      </c>
      <c r="S400" s="193">
        <v>0</v>
      </c>
      <c r="T400" s="193">
        <f t="shared" si="171"/>
        <v>5600</v>
      </c>
      <c r="U400"/>
      <c r="V400">
        <f>+PRESUPUESTO22[[#This Row],[EJECUTADO ]]-SUM(PRESUPUESTO22[[#This Row],[   ENERO ]:[DIC]])</f>
        <v>0</v>
      </c>
      <c r="W400"/>
      <c r="X400"/>
    </row>
    <row r="401" spans="1:26" ht="15" x14ac:dyDescent="0.25">
      <c r="A401" s="52">
        <v>1</v>
      </c>
      <c r="B401" s="141">
        <v>702030208</v>
      </c>
      <c r="C401" s="130" t="str">
        <f t="shared" si="172"/>
        <v>E-0702030208</v>
      </c>
      <c r="D401" s="130">
        <v>351</v>
      </c>
      <c r="E401" s="141" t="s">
        <v>69</v>
      </c>
      <c r="F401" s="347" t="s">
        <v>312</v>
      </c>
      <c r="G401" s="193">
        <v>0</v>
      </c>
      <c r="H401" s="193">
        <v>175</v>
      </c>
      <c r="I401" s="193">
        <v>175</v>
      </c>
      <c r="J401" s="193">
        <v>175</v>
      </c>
      <c r="K401" s="193">
        <v>0</v>
      </c>
      <c r="L401" s="193">
        <v>0</v>
      </c>
      <c r="M401" s="193">
        <v>0</v>
      </c>
      <c r="N401" s="193">
        <f>175*2</f>
        <v>350</v>
      </c>
      <c r="O401" s="193">
        <v>175</v>
      </c>
      <c r="P401" s="193">
        <v>175</v>
      </c>
      <c r="Q401" s="193">
        <v>175</v>
      </c>
      <c r="R401" s="193">
        <v>0</v>
      </c>
      <c r="S401" s="193">
        <v>0</v>
      </c>
      <c r="T401" s="193">
        <f t="shared" si="171"/>
        <v>1400</v>
      </c>
      <c r="U401"/>
      <c r="V401">
        <f>+PRESUPUESTO22[[#This Row],[EJECUTADO ]]-SUM(PRESUPUESTO22[[#This Row],[   ENERO ]:[DIC]])</f>
        <v>0</v>
      </c>
      <c r="W401"/>
      <c r="X401"/>
    </row>
    <row r="402" spans="1:26" ht="15" x14ac:dyDescent="0.25">
      <c r="A402" s="52">
        <v>2</v>
      </c>
      <c r="B402" s="141">
        <v>702030209</v>
      </c>
      <c r="C402" s="130" t="str">
        <f t="shared" si="172"/>
        <v>E-0702030209</v>
      </c>
      <c r="D402" s="130">
        <v>352</v>
      </c>
      <c r="E402" s="141" t="s">
        <v>69</v>
      </c>
      <c r="F402" s="347" t="s">
        <v>313</v>
      </c>
      <c r="G402" s="193">
        <v>0</v>
      </c>
      <c r="H402" s="193">
        <v>350</v>
      </c>
      <c r="I402" s="193">
        <v>350</v>
      </c>
      <c r="J402" s="193">
        <v>350</v>
      </c>
      <c r="K402" s="193">
        <v>0</v>
      </c>
      <c r="L402" s="193">
        <v>0</v>
      </c>
      <c r="M402" s="193">
        <v>0</v>
      </c>
      <c r="N402" s="193">
        <f>350*2</f>
        <v>700</v>
      </c>
      <c r="O402" s="193">
        <v>350</v>
      </c>
      <c r="P402" s="193">
        <v>350</v>
      </c>
      <c r="Q402" s="193">
        <v>350</v>
      </c>
      <c r="R402" s="193">
        <v>0</v>
      </c>
      <c r="S402" s="193">
        <v>0</v>
      </c>
      <c r="T402" s="193">
        <f t="shared" si="171"/>
        <v>2800</v>
      </c>
      <c r="U402"/>
      <c r="V402">
        <f>+PRESUPUESTO22[[#This Row],[EJECUTADO ]]-SUM(PRESUPUESTO22[[#This Row],[   ENERO ]:[DIC]])</f>
        <v>0</v>
      </c>
      <c r="W402"/>
      <c r="X402"/>
    </row>
    <row r="403" spans="1:26" ht="15" x14ac:dyDescent="0.25">
      <c r="A403" s="52">
        <v>3</v>
      </c>
      <c r="B403" s="141">
        <v>702030210</v>
      </c>
      <c r="C403" s="130" t="str">
        <f t="shared" si="172"/>
        <v>E-0702030210</v>
      </c>
      <c r="D403" s="130">
        <v>353</v>
      </c>
      <c r="E403" s="141" t="s">
        <v>69</v>
      </c>
      <c r="F403" s="347" t="s">
        <v>314</v>
      </c>
      <c r="G403" s="193">
        <v>0</v>
      </c>
      <c r="H403" s="193">
        <v>525</v>
      </c>
      <c r="I403" s="193">
        <v>525</v>
      </c>
      <c r="J403" s="193">
        <v>525</v>
      </c>
      <c r="K403" s="193">
        <v>0</v>
      </c>
      <c r="L403" s="193">
        <v>0</v>
      </c>
      <c r="M403" s="193">
        <v>0</v>
      </c>
      <c r="N403" s="193">
        <f>525*2</f>
        <v>1050</v>
      </c>
      <c r="O403" s="193">
        <v>525</v>
      </c>
      <c r="P403" s="193">
        <v>525</v>
      </c>
      <c r="Q403" s="193">
        <v>525</v>
      </c>
      <c r="R403" s="193">
        <v>0</v>
      </c>
      <c r="S403" s="193">
        <v>0</v>
      </c>
      <c r="T403" s="193">
        <f t="shared" si="171"/>
        <v>4200</v>
      </c>
      <c r="U403"/>
      <c r="V403">
        <f>+PRESUPUESTO22[[#This Row],[EJECUTADO ]]-SUM(PRESUPUESTO22[[#This Row],[   ENERO ]:[DIC]])</f>
        <v>0</v>
      </c>
      <c r="W403"/>
      <c r="X403"/>
    </row>
    <row r="404" spans="1:26" ht="29.25" customHeight="1" x14ac:dyDescent="0.25">
      <c r="A404" s="52">
        <v>8</v>
      </c>
      <c r="B404" s="141">
        <v>702030211</v>
      </c>
      <c r="C404" s="130" t="str">
        <f t="shared" si="172"/>
        <v>E-0702030211</v>
      </c>
      <c r="D404" s="130">
        <v>354</v>
      </c>
      <c r="E404" s="141" t="s">
        <v>69</v>
      </c>
      <c r="F404" s="347" t="s">
        <v>315</v>
      </c>
      <c r="G404" s="193">
        <v>0</v>
      </c>
      <c r="H404" s="193">
        <v>1155</v>
      </c>
      <c r="I404" s="193">
        <v>1155</v>
      </c>
      <c r="J404" s="193">
        <v>1155</v>
      </c>
      <c r="K404" s="193">
        <v>0</v>
      </c>
      <c r="L404" s="193">
        <v>0</v>
      </c>
      <c r="M404" s="193">
        <v>0</v>
      </c>
      <c r="N404" s="193">
        <f>1155*2</f>
        <v>2310</v>
      </c>
      <c r="O404" s="193">
        <v>1155</v>
      </c>
      <c r="P404" s="193">
        <v>1155</v>
      </c>
      <c r="Q404" s="193">
        <v>1155</v>
      </c>
      <c r="R404" s="193">
        <v>0</v>
      </c>
      <c r="S404" s="193">
        <v>0</v>
      </c>
      <c r="T404" s="193">
        <f t="shared" si="171"/>
        <v>9240</v>
      </c>
      <c r="U404"/>
      <c r="V404">
        <f>+PRESUPUESTO22[[#This Row],[EJECUTADO ]]-SUM(PRESUPUESTO22[[#This Row],[   ENERO ]:[DIC]])</f>
        <v>0</v>
      </c>
      <c r="W404"/>
      <c r="X404"/>
    </row>
    <row r="405" spans="1:26" ht="15" x14ac:dyDescent="0.25">
      <c r="A405" s="52">
        <v>1</v>
      </c>
      <c r="B405" s="141">
        <v>702030212</v>
      </c>
      <c r="C405" s="130" t="str">
        <f t="shared" si="172"/>
        <v>E-0702030212</v>
      </c>
      <c r="D405" s="130">
        <v>355</v>
      </c>
      <c r="E405" s="141" t="s">
        <v>69</v>
      </c>
      <c r="F405" s="347" t="s">
        <v>316</v>
      </c>
      <c r="G405" s="193">
        <v>0</v>
      </c>
      <c r="H405" s="193">
        <v>165</v>
      </c>
      <c r="I405" s="193">
        <v>165</v>
      </c>
      <c r="J405" s="193">
        <v>165</v>
      </c>
      <c r="K405" s="193">
        <v>0</v>
      </c>
      <c r="L405" s="193">
        <v>0</v>
      </c>
      <c r="M405" s="193">
        <v>0</v>
      </c>
      <c r="N405" s="193">
        <f>165*2</f>
        <v>330</v>
      </c>
      <c r="O405" s="193">
        <v>165</v>
      </c>
      <c r="P405" s="193">
        <v>165</v>
      </c>
      <c r="Q405" s="193">
        <v>165</v>
      </c>
      <c r="R405" s="193">
        <v>0</v>
      </c>
      <c r="S405" s="193">
        <v>0</v>
      </c>
      <c r="T405" s="193">
        <f t="shared" si="171"/>
        <v>1320</v>
      </c>
      <c r="U405"/>
      <c r="V405">
        <f>+PRESUPUESTO22[[#This Row],[EJECUTADO ]]-SUM(PRESUPUESTO22[[#This Row],[   ENERO ]:[DIC]])</f>
        <v>0</v>
      </c>
      <c r="W405"/>
      <c r="X405"/>
    </row>
    <row r="406" spans="1:26" ht="15.95" customHeight="1" x14ac:dyDescent="0.25">
      <c r="A406" s="115">
        <f>SUM(A407:A418)</f>
        <v>28</v>
      </c>
      <c r="B406" s="153">
        <v>7020303</v>
      </c>
      <c r="C406" s="130" t="str">
        <f t="shared" si="172"/>
        <v>E-07020303</v>
      </c>
      <c r="D406" s="130">
        <v>356</v>
      </c>
      <c r="E406" s="149" t="s">
        <v>69</v>
      </c>
      <c r="F406" s="206" t="s">
        <v>317</v>
      </c>
      <c r="G406" s="203">
        <f t="shared" ref="G406:T406" si="173">SUM(G407:G418)</f>
        <v>0</v>
      </c>
      <c r="H406" s="203">
        <f t="shared" si="173"/>
        <v>4405</v>
      </c>
      <c r="I406" s="203">
        <f t="shared" si="173"/>
        <v>4405</v>
      </c>
      <c r="J406" s="203">
        <f t="shared" si="173"/>
        <v>4405</v>
      </c>
      <c r="K406" s="203">
        <f t="shared" si="173"/>
        <v>0</v>
      </c>
      <c r="L406" s="203">
        <f t="shared" si="173"/>
        <v>0</v>
      </c>
      <c r="M406" s="203">
        <f t="shared" si="173"/>
        <v>0</v>
      </c>
      <c r="N406" s="203">
        <f t="shared" si="173"/>
        <v>8810</v>
      </c>
      <c r="O406" s="203">
        <f t="shared" si="173"/>
        <v>4405</v>
      </c>
      <c r="P406" s="203">
        <f t="shared" si="173"/>
        <v>4405</v>
      </c>
      <c r="Q406" s="203">
        <f t="shared" si="173"/>
        <v>4405</v>
      </c>
      <c r="R406" s="203">
        <f t="shared" si="173"/>
        <v>0</v>
      </c>
      <c r="S406" s="203">
        <f t="shared" si="173"/>
        <v>0</v>
      </c>
      <c r="T406" s="203">
        <f t="shared" si="173"/>
        <v>35240</v>
      </c>
      <c r="U406"/>
      <c r="V406">
        <f>+PRESUPUESTO22[[#This Row],[EJECUTADO ]]-SUM(PRESUPUESTO22[[#This Row],[   ENERO ]:[DIC]])</f>
        <v>0</v>
      </c>
      <c r="W406"/>
      <c r="X406"/>
    </row>
    <row r="407" spans="1:26" ht="29.25" customHeight="1" x14ac:dyDescent="0.25">
      <c r="A407" s="52">
        <v>2</v>
      </c>
      <c r="B407" s="141">
        <v>702030301</v>
      </c>
      <c r="C407" s="130" t="str">
        <f t="shared" si="172"/>
        <v>E-0702030301</v>
      </c>
      <c r="D407" s="130">
        <v>357</v>
      </c>
      <c r="E407" s="141" t="s">
        <v>69</v>
      </c>
      <c r="F407" s="347" t="s">
        <v>318</v>
      </c>
      <c r="G407" s="193">
        <v>0</v>
      </c>
      <c r="H407" s="193">
        <v>290</v>
      </c>
      <c r="I407" s="193">
        <v>290</v>
      </c>
      <c r="J407" s="193">
        <v>290</v>
      </c>
      <c r="K407" s="193">
        <v>0</v>
      </c>
      <c r="L407" s="193">
        <v>0</v>
      </c>
      <c r="M407" s="193">
        <v>0</v>
      </c>
      <c r="N407" s="193">
        <f>290*2</f>
        <v>580</v>
      </c>
      <c r="O407" s="193">
        <v>290</v>
      </c>
      <c r="P407" s="193">
        <v>290</v>
      </c>
      <c r="Q407" s="193">
        <v>290</v>
      </c>
      <c r="R407" s="193">
        <v>0</v>
      </c>
      <c r="S407" s="193">
        <v>0</v>
      </c>
      <c r="T407" s="193">
        <f t="shared" ref="T407:T418" si="174">SUM(H407:S407)</f>
        <v>2320</v>
      </c>
      <c r="U407"/>
      <c r="V407">
        <f>+PRESUPUESTO22[[#This Row],[EJECUTADO ]]-SUM(PRESUPUESTO22[[#This Row],[   ENERO ]:[DIC]])</f>
        <v>0</v>
      </c>
      <c r="W407"/>
      <c r="X407"/>
    </row>
    <row r="408" spans="1:26" ht="15" x14ac:dyDescent="0.25">
      <c r="A408" s="52">
        <v>1</v>
      </c>
      <c r="B408" s="141">
        <v>702030302</v>
      </c>
      <c r="C408" s="130" t="str">
        <f t="shared" si="172"/>
        <v>E-0702030302</v>
      </c>
      <c r="D408" s="130">
        <v>358</v>
      </c>
      <c r="E408" s="141" t="s">
        <v>69</v>
      </c>
      <c r="F408" s="347" t="s">
        <v>319</v>
      </c>
      <c r="G408" s="193">
        <v>0</v>
      </c>
      <c r="H408" s="193">
        <v>145</v>
      </c>
      <c r="I408" s="193">
        <v>145</v>
      </c>
      <c r="J408" s="193">
        <v>145</v>
      </c>
      <c r="K408" s="193">
        <v>0</v>
      </c>
      <c r="L408" s="193">
        <v>0</v>
      </c>
      <c r="M408" s="193">
        <v>0</v>
      </c>
      <c r="N408" s="193">
        <f>145*2</f>
        <v>290</v>
      </c>
      <c r="O408" s="193">
        <v>145</v>
      </c>
      <c r="P408" s="193">
        <v>145</v>
      </c>
      <c r="Q408" s="193">
        <v>145</v>
      </c>
      <c r="R408" s="193">
        <v>0</v>
      </c>
      <c r="S408" s="193">
        <v>0</v>
      </c>
      <c r="T408" s="193">
        <f t="shared" si="174"/>
        <v>1160</v>
      </c>
      <c r="U408"/>
      <c r="V408">
        <f>+PRESUPUESTO22[[#This Row],[EJECUTADO ]]-SUM(PRESUPUESTO22[[#This Row],[   ENERO ]:[DIC]])</f>
        <v>0</v>
      </c>
      <c r="W408"/>
      <c r="X408"/>
    </row>
    <row r="409" spans="1:26" ht="15" x14ac:dyDescent="0.25">
      <c r="A409" s="52">
        <v>1</v>
      </c>
      <c r="B409" s="141">
        <v>702030303</v>
      </c>
      <c r="C409" s="130" t="str">
        <f t="shared" si="172"/>
        <v>E-0702030303</v>
      </c>
      <c r="D409" s="130">
        <v>359</v>
      </c>
      <c r="E409" s="141" t="s">
        <v>69</v>
      </c>
      <c r="F409" s="347" t="s">
        <v>320</v>
      </c>
      <c r="G409" s="193">
        <v>0</v>
      </c>
      <c r="H409" s="193">
        <v>145</v>
      </c>
      <c r="I409" s="193">
        <v>145</v>
      </c>
      <c r="J409" s="193">
        <v>145</v>
      </c>
      <c r="K409" s="193">
        <v>0</v>
      </c>
      <c r="L409" s="193">
        <v>0</v>
      </c>
      <c r="M409" s="193">
        <v>0</v>
      </c>
      <c r="N409" s="193">
        <f>145*2</f>
        <v>290</v>
      </c>
      <c r="O409" s="193">
        <v>145</v>
      </c>
      <c r="P409" s="193">
        <v>145</v>
      </c>
      <c r="Q409" s="193">
        <v>145</v>
      </c>
      <c r="R409" s="193">
        <v>0</v>
      </c>
      <c r="S409" s="193">
        <v>0</v>
      </c>
      <c r="T409" s="193">
        <f t="shared" si="174"/>
        <v>1160</v>
      </c>
      <c r="U409"/>
      <c r="V409">
        <f>+PRESUPUESTO22[[#This Row],[EJECUTADO ]]-SUM(PRESUPUESTO22[[#This Row],[   ENERO ]:[DIC]])</f>
        <v>0</v>
      </c>
      <c r="W409"/>
      <c r="X409"/>
    </row>
    <row r="410" spans="1:26" ht="15" x14ac:dyDescent="0.25">
      <c r="A410" s="52">
        <v>1</v>
      </c>
      <c r="B410" s="141">
        <v>702030304</v>
      </c>
      <c r="C410" s="130" t="str">
        <f t="shared" si="172"/>
        <v>E-0702030304</v>
      </c>
      <c r="D410" s="130">
        <v>360</v>
      </c>
      <c r="E410" s="141" t="s">
        <v>69</v>
      </c>
      <c r="F410" s="347" t="s">
        <v>321</v>
      </c>
      <c r="G410" s="193">
        <v>0</v>
      </c>
      <c r="H410" s="193">
        <v>145</v>
      </c>
      <c r="I410" s="193">
        <v>145</v>
      </c>
      <c r="J410" s="193">
        <v>145</v>
      </c>
      <c r="K410" s="193">
        <v>0</v>
      </c>
      <c r="L410" s="193">
        <v>0</v>
      </c>
      <c r="M410" s="193">
        <v>0</v>
      </c>
      <c r="N410" s="193">
        <f>145*2</f>
        <v>290</v>
      </c>
      <c r="O410" s="193">
        <v>145</v>
      </c>
      <c r="P410" s="193">
        <v>145</v>
      </c>
      <c r="Q410" s="193">
        <v>145</v>
      </c>
      <c r="R410" s="193">
        <v>0</v>
      </c>
      <c r="S410" s="193">
        <v>0</v>
      </c>
      <c r="T410" s="193">
        <f t="shared" si="174"/>
        <v>1160</v>
      </c>
      <c r="U410"/>
      <c r="V410">
        <f>+PRESUPUESTO22[[#This Row],[EJECUTADO ]]-SUM(PRESUPUESTO22[[#This Row],[   ENERO ]:[DIC]])</f>
        <v>0</v>
      </c>
      <c r="W410"/>
      <c r="X410"/>
    </row>
    <row r="411" spans="1:26" ht="15" x14ac:dyDescent="0.25">
      <c r="A411" s="52">
        <v>1</v>
      </c>
      <c r="B411" s="141">
        <v>702030305</v>
      </c>
      <c r="C411" s="130" t="str">
        <f t="shared" si="172"/>
        <v>E-0702030305</v>
      </c>
      <c r="D411" s="130">
        <v>361</v>
      </c>
      <c r="E411" s="141" t="s">
        <v>69</v>
      </c>
      <c r="F411" s="347" t="s">
        <v>322</v>
      </c>
      <c r="G411" s="193">
        <v>0</v>
      </c>
      <c r="H411" s="193">
        <v>145</v>
      </c>
      <c r="I411" s="193">
        <v>145</v>
      </c>
      <c r="J411" s="193">
        <v>145</v>
      </c>
      <c r="K411" s="193">
        <v>0</v>
      </c>
      <c r="L411" s="193">
        <v>0</v>
      </c>
      <c r="M411" s="193">
        <v>0</v>
      </c>
      <c r="N411" s="193">
        <f>145*2</f>
        <v>290</v>
      </c>
      <c r="O411" s="193">
        <v>145</v>
      </c>
      <c r="P411" s="193">
        <v>145</v>
      </c>
      <c r="Q411" s="193">
        <v>145</v>
      </c>
      <c r="R411" s="193">
        <v>0</v>
      </c>
      <c r="S411" s="193">
        <v>0</v>
      </c>
      <c r="T411" s="193">
        <f t="shared" si="174"/>
        <v>1160</v>
      </c>
      <c r="U411"/>
      <c r="V411">
        <f>+PRESUPUESTO22[[#This Row],[EJECUTADO ]]-SUM(PRESUPUESTO22[[#This Row],[   ENERO ]:[DIC]])</f>
        <v>0</v>
      </c>
      <c r="W411"/>
      <c r="X411"/>
    </row>
    <row r="412" spans="1:26" ht="15" x14ac:dyDescent="0.25">
      <c r="A412" s="52">
        <v>1</v>
      </c>
      <c r="B412" s="141">
        <v>702030306</v>
      </c>
      <c r="C412" s="130" t="str">
        <f t="shared" si="172"/>
        <v>E-0702030306</v>
      </c>
      <c r="D412" s="130">
        <v>362</v>
      </c>
      <c r="E412" s="141" t="s">
        <v>69</v>
      </c>
      <c r="F412" s="347" t="s">
        <v>323</v>
      </c>
      <c r="G412" s="193">
        <v>0</v>
      </c>
      <c r="H412" s="193">
        <v>145</v>
      </c>
      <c r="I412" s="193">
        <v>145</v>
      </c>
      <c r="J412" s="193">
        <v>145</v>
      </c>
      <c r="K412" s="193">
        <v>0</v>
      </c>
      <c r="L412" s="193">
        <v>0</v>
      </c>
      <c r="M412" s="193">
        <v>0</v>
      </c>
      <c r="N412" s="193">
        <f>145*2</f>
        <v>290</v>
      </c>
      <c r="O412" s="193">
        <v>145</v>
      </c>
      <c r="P412" s="193">
        <v>145</v>
      </c>
      <c r="Q412" s="193">
        <v>145</v>
      </c>
      <c r="R412" s="193">
        <v>0</v>
      </c>
      <c r="S412" s="193">
        <v>0</v>
      </c>
      <c r="T412" s="193">
        <f t="shared" si="174"/>
        <v>1160</v>
      </c>
      <c r="U412"/>
      <c r="V412">
        <f>+PRESUPUESTO22[[#This Row],[EJECUTADO ]]-SUM(PRESUPUESTO22[[#This Row],[   ENERO ]:[DIC]])</f>
        <v>0</v>
      </c>
      <c r="W412"/>
      <c r="X412"/>
    </row>
    <row r="413" spans="1:26" ht="15" x14ac:dyDescent="0.25">
      <c r="A413" s="52">
        <v>2</v>
      </c>
      <c r="B413" s="141">
        <v>702030307</v>
      </c>
      <c r="C413" s="130" t="str">
        <f t="shared" si="172"/>
        <v>E-0702030307</v>
      </c>
      <c r="D413" s="130">
        <v>363</v>
      </c>
      <c r="E413" s="141" t="s">
        <v>69</v>
      </c>
      <c r="F413" s="347" t="s">
        <v>324</v>
      </c>
      <c r="G413" s="193">
        <v>0</v>
      </c>
      <c r="H413" s="193">
        <v>290</v>
      </c>
      <c r="I413" s="193">
        <v>290</v>
      </c>
      <c r="J413" s="193">
        <v>290</v>
      </c>
      <c r="K413" s="193">
        <v>0</v>
      </c>
      <c r="L413" s="193">
        <v>0</v>
      </c>
      <c r="M413" s="193">
        <v>0</v>
      </c>
      <c r="N413" s="193">
        <f>290*2</f>
        <v>580</v>
      </c>
      <c r="O413" s="193">
        <v>290</v>
      </c>
      <c r="P413" s="193">
        <v>290</v>
      </c>
      <c r="Q413" s="193">
        <v>290</v>
      </c>
      <c r="R413" s="193">
        <v>0</v>
      </c>
      <c r="S413" s="193">
        <v>0</v>
      </c>
      <c r="T413" s="193">
        <f t="shared" si="174"/>
        <v>2320</v>
      </c>
      <c r="U413"/>
      <c r="V413">
        <f>+PRESUPUESTO22[[#This Row],[EJECUTADO ]]-SUM(PRESUPUESTO22[[#This Row],[   ENERO ]:[DIC]])</f>
        <v>0</v>
      </c>
      <c r="W413"/>
      <c r="X413"/>
    </row>
    <row r="414" spans="1:26" ht="15" x14ac:dyDescent="0.25">
      <c r="A414" s="52">
        <v>5</v>
      </c>
      <c r="B414" s="141">
        <v>702030308</v>
      </c>
      <c r="C414" s="130" t="str">
        <f t="shared" si="172"/>
        <v>E-0702030308</v>
      </c>
      <c r="D414" s="130">
        <v>364</v>
      </c>
      <c r="E414" s="141" t="s">
        <v>69</v>
      </c>
      <c r="F414" s="347" t="s">
        <v>325</v>
      </c>
      <c r="G414" s="193">
        <v>0</v>
      </c>
      <c r="H414" s="193">
        <v>725</v>
      </c>
      <c r="I414" s="193">
        <v>725</v>
      </c>
      <c r="J414" s="193">
        <v>725</v>
      </c>
      <c r="K414" s="193">
        <v>0</v>
      </c>
      <c r="L414" s="193">
        <v>0</v>
      </c>
      <c r="M414" s="193">
        <v>0</v>
      </c>
      <c r="N414" s="193">
        <f>725*2</f>
        <v>1450</v>
      </c>
      <c r="O414" s="193">
        <v>725</v>
      </c>
      <c r="P414" s="193">
        <v>725</v>
      </c>
      <c r="Q414" s="193">
        <v>725</v>
      </c>
      <c r="R414" s="193">
        <v>0</v>
      </c>
      <c r="S414" s="193">
        <v>0</v>
      </c>
      <c r="T414" s="193">
        <f t="shared" si="174"/>
        <v>5800</v>
      </c>
      <c r="U414"/>
      <c r="V414">
        <f>+PRESUPUESTO22[[#This Row],[EJECUTADO ]]-SUM(PRESUPUESTO22[[#This Row],[   ENERO ]:[DIC]])</f>
        <v>0</v>
      </c>
      <c r="W414"/>
      <c r="X414"/>
      <c r="Z414" s="7" t="s">
        <v>1</v>
      </c>
    </row>
    <row r="415" spans="1:26" ht="15" x14ac:dyDescent="0.25">
      <c r="A415" s="52">
        <v>1</v>
      </c>
      <c r="B415" s="141">
        <v>702030309</v>
      </c>
      <c r="C415" s="130" t="str">
        <f t="shared" si="172"/>
        <v>E-0702030309</v>
      </c>
      <c r="D415" s="130">
        <v>365</v>
      </c>
      <c r="E415" s="141" t="s">
        <v>69</v>
      </c>
      <c r="F415" s="347" t="s">
        <v>326</v>
      </c>
      <c r="G415" s="193">
        <v>0</v>
      </c>
      <c r="H415" s="193">
        <v>165</v>
      </c>
      <c r="I415" s="193">
        <v>165</v>
      </c>
      <c r="J415" s="193">
        <v>165</v>
      </c>
      <c r="K415" s="193">
        <v>0</v>
      </c>
      <c r="L415" s="193">
        <v>0</v>
      </c>
      <c r="M415" s="193">
        <v>0</v>
      </c>
      <c r="N415" s="193">
        <f>165*2</f>
        <v>330</v>
      </c>
      <c r="O415" s="193">
        <v>165</v>
      </c>
      <c r="P415" s="193">
        <v>165</v>
      </c>
      <c r="Q415" s="193">
        <v>165</v>
      </c>
      <c r="R415" s="193">
        <v>0</v>
      </c>
      <c r="S415" s="193">
        <v>0</v>
      </c>
      <c r="T415" s="193">
        <f t="shared" si="174"/>
        <v>1320</v>
      </c>
      <c r="U415"/>
      <c r="V415">
        <f>+PRESUPUESTO22[[#This Row],[EJECUTADO ]]-SUM(PRESUPUESTO22[[#This Row],[   ENERO ]:[DIC]])</f>
        <v>0</v>
      </c>
      <c r="W415"/>
      <c r="X415"/>
    </row>
    <row r="416" spans="1:26" ht="15" x14ac:dyDescent="0.25">
      <c r="A416" s="52">
        <v>1</v>
      </c>
      <c r="B416" s="141">
        <v>702030310</v>
      </c>
      <c r="C416" s="130" t="str">
        <f t="shared" si="172"/>
        <v>E-0702030310</v>
      </c>
      <c r="D416" s="130">
        <v>366</v>
      </c>
      <c r="E416" s="141" t="s">
        <v>69</v>
      </c>
      <c r="F416" s="347" t="s">
        <v>327</v>
      </c>
      <c r="G416" s="193">
        <v>0</v>
      </c>
      <c r="H416" s="193">
        <v>170</v>
      </c>
      <c r="I416" s="193">
        <v>170</v>
      </c>
      <c r="J416" s="193">
        <v>170</v>
      </c>
      <c r="K416" s="193">
        <v>0</v>
      </c>
      <c r="L416" s="193">
        <v>0</v>
      </c>
      <c r="M416" s="193">
        <v>0</v>
      </c>
      <c r="N416" s="193">
        <f>170*2</f>
        <v>340</v>
      </c>
      <c r="O416" s="193">
        <v>170</v>
      </c>
      <c r="P416" s="193">
        <v>170</v>
      </c>
      <c r="Q416" s="193">
        <v>170</v>
      </c>
      <c r="R416" s="193">
        <v>0</v>
      </c>
      <c r="S416" s="193">
        <v>0</v>
      </c>
      <c r="T416" s="193">
        <f t="shared" si="174"/>
        <v>1360</v>
      </c>
      <c r="U416"/>
      <c r="V416">
        <f>+PRESUPUESTO22[[#This Row],[EJECUTADO ]]-SUM(PRESUPUESTO22[[#This Row],[   ENERO ]:[DIC]])</f>
        <v>0</v>
      </c>
      <c r="W416"/>
      <c r="X416"/>
    </row>
    <row r="417" spans="1:24" ht="15" x14ac:dyDescent="0.25">
      <c r="A417" s="52">
        <v>6</v>
      </c>
      <c r="B417" s="141">
        <v>702030311</v>
      </c>
      <c r="C417" s="130" t="str">
        <f t="shared" si="172"/>
        <v>E-0702030311</v>
      </c>
      <c r="D417" s="130">
        <v>367</v>
      </c>
      <c r="E417" s="141" t="s">
        <v>69</v>
      </c>
      <c r="F417" s="347" t="s">
        <v>328</v>
      </c>
      <c r="G417" s="193">
        <v>0</v>
      </c>
      <c r="H417" s="193">
        <v>1050</v>
      </c>
      <c r="I417" s="193">
        <v>1050</v>
      </c>
      <c r="J417" s="193">
        <v>1050</v>
      </c>
      <c r="K417" s="193">
        <v>0</v>
      </c>
      <c r="L417" s="193">
        <v>0</v>
      </c>
      <c r="M417" s="193">
        <v>0</v>
      </c>
      <c r="N417" s="193">
        <f>1050*2</f>
        <v>2100</v>
      </c>
      <c r="O417" s="193">
        <v>1050</v>
      </c>
      <c r="P417" s="193">
        <v>1050</v>
      </c>
      <c r="Q417" s="193">
        <v>1050</v>
      </c>
      <c r="R417" s="193">
        <v>0</v>
      </c>
      <c r="S417" s="193">
        <v>0</v>
      </c>
      <c r="T417" s="193">
        <f t="shared" si="174"/>
        <v>8400</v>
      </c>
      <c r="U417"/>
      <c r="V417">
        <f>+PRESUPUESTO22[[#This Row],[EJECUTADO ]]-SUM(PRESUPUESTO22[[#This Row],[   ENERO ]:[DIC]])</f>
        <v>0</v>
      </c>
      <c r="W417"/>
      <c r="X417"/>
    </row>
    <row r="418" spans="1:24" ht="27.75" customHeight="1" x14ac:dyDescent="0.25">
      <c r="A418" s="52">
        <v>6</v>
      </c>
      <c r="B418" s="141">
        <v>702030312</v>
      </c>
      <c r="C418" s="130" t="str">
        <f t="shared" si="172"/>
        <v>E-0702030312</v>
      </c>
      <c r="D418" s="130">
        <v>368</v>
      </c>
      <c r="E418" s="141" t="s">
        <v>69</v>
      </c>
      <c r="F418" s="347" t="s">
        <v>329</v>
      </c>
      <c r="G418" s="193">
        <v>0</v>
      </c>
      <c r="H418" s="193">
        <v>990</v>
      </c>
      <c r="I418" s="193">
        <v>990</v>
      </c>
      <c r="J418" s="193">
        <v>990</v>
      </c>
      <c r="K418" s="193">
        <v>0</v>
      </c>
      <c r="L418" s="193">
        <v>0</v>
      </c>
      <c r="M418" s="193">
        <v>0</v>
      </c>
      <c r="N418" s="193">
        <f>990*2</f>
        <v>1980</v>
      </c>
      <c r="O418" s="193">
        <v>990</v>
      </c>
      <c r="P418" s="193">
        <v>990</v>
      </c>
      <c r="Q418" s="193">
        <v>990</v>
      </c>
      <c r="R418" s="193">
        <v>0</v>
      </c>
      <c r="S418" s="193">
        <v>0</v>
      </c>
      <c r="T418" s="193">
        <f t="shared" si="174"/>
        <v>7920</v>
      </c>
      <c r="U418"/>
      <c r="V418">
        <f>+PRESUPUESTO22[[#This Row],[EJECUTADO ]]-SUM(PRESUPUESTO22[[#This Row],[   ENERO ]:[DIC]])</f>
        <v>0</v>
      </c>
      <c r="W418"/>
      <c r="X418"/>
    </row>
    <row r="419" spans="1:24" ht="15.95" customHeight="1" x14ac:dyDescent="0.25">
      <c r="A419" s="115">
        <f>SUM(A420:A425)</f>
        <v>26</v>
      </c>
      <c r="B419" s="152">
        <v>7020304</v>
      </c>
      <c r="C419" s="130" t="str">
        <f t="shared" si="172"/>
        <v>E-07020304</v>
      </c>
      <c r="D419" s="130">
        <v>369</v>
      </c>
      <c r="E419" s="146" t="s">
        <v>69</v>
      </c>
      <c r="F419" s="202" t="s">
        <v>330</v>
      </c>
      <c r="G419" s="203">
        <f t="shared" ref="G419:T419" si="175">SUM(G420:G425)</f>
        <v>0</v>
      </c>
      <c r="H419" s="203">
        <f t="shared" si="175"/>
        <v>4220</v>
      </c>
      <c r="I419" s="203">
        <f t="shared" si="175"/>
        <v>4220</v>
      </c>
      <c r="J419" s="203">
        <f t="shared" si="175"/>
        <v>4220</v>
      </c>
      <c r="K419" s="203">
        <f t="shared" si="175"/>
        <v>0</v>
      </c>
      <c r="L419" s="203">
        <f t="shared" si="175"/>
        <v>0</v>
      </c>
      <c r="M419" s="203">
        <f t="shared" si="175"/>
        <v>0</v>
      </c>
      <c r="N419" s="203">
        <f t="shared" si="175"/>
        <v>8440</v>
      </c>
      <c r="O419" s="203">
        <f t="shared" si="175"/>
        <v>4220</v>
      </c>
      <c r="P419" s="203">
        <f t="shared" si="175"/>
        <v>4220</v>
      </c>
      <c r="Q419" s="203">
        <f t="shared" si="175"/>
        <v>4220</v>
      </c>
      <c r="R419" s="203">
        <f t="shared" si="175"/>
        <v>0</v>
      </c>
      <c r="S419" s="203">
        <f t="shared" si="175"/>
        <v>0</v>
      </c>
      <c r="T419" s="203">
        <f t="shared" si="175"/>
        <v>33760</v>
      </c>
      <c r="U419"/>
      <c r="V419">
        <f>+PRESUPUESTO22[[#This Row],[EJECUTADO ]]-SUM(PRESUPUESTO22[[#This Row],[   ENERO ]:[DIC]])</f>
        <v>0</v>
      </c>
      <c r="W419"/>
      <c r="X419"/>
    </row>
    <row r="420" spans="1:24" ht="27" customHeight="1" x14ac:dyDescent="0.25">
      <c r="A420" s="52">
        <v>5</v>
      </c>
      <c r="B420" s="141">
        <v>702030401</v>
      </c>
      <c r="C420" s="130" t="str">
        <f t="shared" si="172"/>
        <v>E-0702030401</v>
      </c>
      <c r="D420" s="130">
        <v>370</v>
      </c>
      <c r="E420" s="141" t="s">
        <v>69</v>
      </c>
      <c r="F420" s="347" t="s">
        <v>331</v>
      </c>
      <c r="G420" s="193">
        <v>0</v>
      </c>
      <c r="H420" s="193">
        <v>725</v>
      </c>
      <c r="I420" s="193">
        <v>725</v>
      </c>
      <c r="J420" s="193">
        <v>725</v>
      </c>
      <c r="K420" s="193">
        <v>0</v>
      </c>
      <c r="L420" s="193">
        <v>0</v>
      </c>
      <c r="M420" s="193">
        <v>0</v>
      </c>
      <c r="N420" s="193">
        <f>725*2</f>
        <v>1450</v>
      </c>
      <c r="O420" s="193">
        <v>725</v>
      </c>
      <c r="P420" s="193">
        <v>725</v>
      </c>
      <c r="Q420" s="193">
        <v>725</v>
      </c>
      <c r="R420" s="193">
        <v>0</v>
      </c>
      <c r="S420" s="193">
        <v>0</v>
      </c>
      <c r="T420" s="193">
        <f t="shared" ref="T420:T426" si="176">SUM(H420:S420)</f>
        <v>5800</v>
      </c>
      <c r="U420"/>
      <c r="V420">
        <f>+PRESUPUESTO22[[#This Row],[EJECUTADO ]]-SUM(PRESUPUESTO22[[#This Row],[   ENERO ]:[DIC]])</f>
        <v>0</v>
      </c>
      <c r="W420"/>
      <c r="X420"/>
    </row>
    <row r="421" spans="1:24" ht="26.25" customHeight="1" x14ac:dyDescent="0.25">
      <c r="A421" s="52">
        <v>7</v>
      </c>
      <c r="B421" s="141">
        <v>702030402</v>
      </c>
      <c r="C421" s="130" t="str">
        <f t="shared" si="172"/>
        <v>E-0702030402</v>
      </c>
      <c r="D421" s="130">
        <v>371</v>
      </c>
      <c r="E421" s="141" t="s">
        <v>69</v>
      </c>
      <c r="F421" s="347" t="s">
        <v>332</v>
      </c>
      <c r="G421" s="193">
        <v>0</v>
      </c>
      <c r="H421" s="193">
        <v>1225</v>
      </c>
      <c r="I421" s="193">
        <v>1225</v>
      </c>
      <c r="J421" s="193">
        <v>1225</v>
      </c>
      <c r="K421" s="193">
        <v>0</v>
      </c>
      <c r="L421" s="193">
        <v>0</v>
      </c>
      <c r="M421" s="193">
        <v>0</v>
      </c>
      <c r="N421" s="193">
        <f>1225*2</f>
        <v>2450</v>
      </c>
      <c r="O421" s="193">
        <v>1225</v>
      </c>
      <c r="P421" s="193">
        <v>1225</v>
      </c>
      <c r="Q421" s="193">
        <v>1225</v>
      </c>
      <c r="R421" s="193">
        <v>0</v>
      </c>
      <c r="S421" s="193">
        <v>0</v>
      </c>
      <c r="T421" s="193">
        <f t="shared" si="176"/>
        <v>9800</v>
      </c>
      <c r="U421"/>
      <c r="V421">
        <f>+PRESUPUESTO22[[#This Row],[EJECUTADO ]]-SUM(PRESUPUESTO22[[#This Row],[   ENERO ]:[DIC]])</f>
        <v>0</v>
      </c>
      <c r="W421"/>
      <c r="X421"/>
    </row>
    <row r="422" spans="1:24" ht="29.25" customHeight="1" x14ac:dyDescent="0.25">
      <c r="A422" s="52">
        <v>6</v>
      </c>
      <c r="B422" s="141">
        <v>702030403</v>
      </c>
      <c r="C422" s="130" t="str">
        <f t="shared" si="172"/>
        <v>E-0702030403</v>
      </c>
      <c r="D422" s="130">
        <v>372</v>
      </c>
      <c r="E422" s="141" t="s">
        <v>69</v>
      </c>
      <c r="F422" s="347" t="s">
        <v>333</v>
      </c>
      <c r="G422" s="193">
        <v>0</v>
      </c>
      <c r="H422" s="193">
        <v>990</v>
      </c>
      <c r="I422" s="193">
        <v>990</v>
      </c>
      <c r="J422" s="193">
        <v>990</v>
      </c>
      <c r="K422" s="193">
        <v>0</v>
      </c>
      <c r="L422" s="193">
        <v>0</v>
      </c>
      <c r="M422" s="193">
        <v>0</v>
      </c>
      <c r="N422" s="193">
        <f>990*2</f>
        <v>1980</v>
      </c>
      <c r="O422" s="193">
        <v>990</v>
      </c>
      <c r="P422" s="193">
        <v>990</v>
      </c>
      <c r="Q422" s="193">
        <v>990</v>
      </c>
      <c r="R422" s="193">
        <v>0</v>
      </c>
      <c r="S422" s="193">
        <v>0</v>
      </c>
      <c r="T422" s="193">
        <f t="shared" si="176"/>
        <v>7920</v>
      </c>
      <c r="U422"/>
      <c r="V422">
        <f>+PRESUPUESTO22[[#This Row],[EJECUTADO ]]-SUM(PRESUPUESTO22[[#This Row],[   ENERO ]:[DIC]])</f>
        <v>0</v>
      </c>
      <c r="W422"/>
      <c r="X422"/>
    </row>
    <row r="423" spans="1:24" ht="15" x14ac:dyDescent="0.25">
      <c r="A423" s="52">
        <v>5</v>
      </c>
      <c r="B423" s="141">
        <v>702030404</v>
      </c>
      <c r="C423" s="130" t="str">
        <f t="shared" si="172"/>
        <v>E-0702030404</v>
      </c>
      <c r="D423" s="130">
        <v>373</v>
      </c>
      <c r="E423" s="141" t="s">
        <v>69</v>
      </c>
      <c r="F423" s="347" t="s">
        <v>334</v>
      </c>
      <c r="G423" s="193">
        <v>0</v>
      </c>
      <c r="H423" s="193">
        <v>825</v>
      </c>
      <c r="I423" s="193">
        <v>825</v>
      </c>
      <c r="J423" s="193">
        <v>825</v>
      </c>
      <c r="K423" s="193">
        <v>0</v>
      </c>
      <c r="L423" s="193">
        <v>0</v>
      </c>
      <c r="M423" s="193">
        <v>0</v>
      </c>
      <c r="N423" s="193">
        <f>825*2</f>
        <v>1650</v>
      </c>
      <c r="O423" s="193">
        <v>825</v>
      </c>
      <c r="P423" s="193">
        <v>825</v>
      </c>
      <c r="Q423" s="193">
        <v>825</v>
      </c>
      <c r="R423" s="193">
        <v>0</v>
      </c>
      <c r="S423" s="193">
        <v>0</v>
      </c>
      <c r="T423" s="193">
        <f t="shared" si="176"/>
        <v>6600</v>
      </c>
      <c r="U423"/>
      <c r="V423">
        <f>+PRESUPUESTO22[[#This Row],[EJECUTADO ]]-SUM(PRESUPUESTO22[[#This Row],[   ENERO ]:[DIC]])</f>
        <v>0</v>
      </c>
      <c r="W423"/>
      <c r="X423"/>
    </row>
    <row r="424" spans="1:24" ht="20.25" customHeight="1" x14ac:dyDescent="0.25">
      <c r="A424" s="52">
        <v>1</v>
      </c>
      <c r="B424" s="141">
        <v>702030405</v>
      </c>
      <c r="C424" s="130" t="str">
        <f t="shared" si="172"/>
        <v>E-0702030405</v>
      </c>
      <c r="D424" s="130">
        <v>374</v>
      </c>
      <c r="E424" s="141" t="s">
        <v>69</v>
      </c>
      <c r="F424" s="347" t="s">
        <v>335</v>
      </c>
      <c r="G424" s="193">
        <v>0</v>
      </c>
      <c r="H424" s="193">
        <v>165</v>
      </c>
      <c r="I424" s="193">
        <v>165</v>
      </c>
      <c r="J424" s="193">
        <v>165</v>
      </c>
      <c r="K424" s="193">
        <v>0</v>
      </c>
      <c r="L424" s="193">
        <v>0</v>
      </c>
      <c r="M424" s="193">
        <v>0</v>
      </c>
      <c r="N424" s="193">
        <f>165*2</f>
        <v>330</v>
      </c>
      <c r="O424" s="193">
        <v>165</v>
      </c>
      <c r="P424" s="193">
        <v>165</v>
      </c>
      <c r="Q424" s="193">
        <v>165</v>
      </c>
      <c r="R424" s="193">
        <v>0</v>
      </c>
      <c r="S424" s="193">
        <v>0</v>
      </c>
      <c r="T424" s="193">
        <f t="shared" si="176"/>
        <v>1320</v>
      </c>
      <c r="U424"/>
      <c r="V424">
        <f>+PRESUPUESTO22[[#This Row],[EJECUTADO ]]-SUM(PRESUPUESTO22[[#This Row],[   ENERO ]:[DIC]])</f>
        <v>0</v>
      </c>
      <c r="W424"/>
      <c r="X424"/>
    </row>
    <row r="425" spans="1:24" ht="27" customHeight="1" x14ac:dyDescent="0.25">
      <c r="A425" s="52">
        <v>2</v>
      </c>
      <c r="B425" s="141">
        <v>702030406</v>
      </c>
      <c r="C425" s="130" t="str">
        <f t="shared" si="172"/>
        <v>E-0702030406</v>
      </c>
      <c r="D425" s="130">
        <v>375</v>
      </c>
      <c r="E425" s="141" t="s">
        <v>69</v>
      </c>
      <c r="F425" s="347" t="s">
        <v>336</v>
      </c>
      <c r="G425" s="193">
        <v>0</v>
      </c>
      <c r="H425" s="193">
        <v>290</v>
      </c>
      <c r="I425" s="193">
        <v>290</v>
      </c>
      <c r="J425" s="193">
        <v>290</v>
      </c>
      <c r="K425" s="193">
        <v>0</v>
      </c>
      <c r="L425" s="193">
        <v>0</v>
      </c>
      <c r="M425" s="193">
        <v>0</v>
      </c>
      <c r="N425" s="193">
        <f>290*2</f>
        <v>580</v>
      </c>
      <c r="O425" s="193">
        <v>290</v>
      </c>
      <c r="P425" s="193">
        <v>290</v>
      </c>
      <c r="Q425" s="193">
        <v>290</v>
      </c>
      <c r="R425" s="193">
        <v>0</v>
      </c>
      <c r="S425" s="193">
        <v>0</v>
      </c>
      <c r="T425" s="193">
        <f t="shared" si="176"/>
        <v>2320</v>
      </c>
      <c r="U425"/>
      <c r="V425">
        <f>+PRESUPUESTO22[[#This Row],[EJECUTADO ]]-SUM(PRESUPUESTO22[[#This Row],[   ENERO ]:[DIC]])</f>
        <v>0</v>
      </c>
      <c r="W425"/>
      <c r="X425"/>
    </row>
    <row r="426" spans="1:24" ht="15.95" customHeight="1" x14ac:dyDescent="0.25">
      <c r="A426" s="115">
        <f>SUM(A427:A431)</f>
        <v>14</v>
      </c>
      <c r="B426" s="152">
        <v>7020305</v>
      </c>
      <c r="C426" s="130" t="str">
        <f t="shared" si="172"/>
        <v>E-07020305</v>
      </c>
      <c r="D426" s="130">
        <v>376</v>
      </c>
      <c r="E426" s="146" t="s">
        <v>69</v>
      </c>
      <c r="F426" s="202" t="s">
        <v>337</v>
      </c>
      <c r="G426" s="203">
        <f t="shared" ref="G426:S426" si="177">SUM(G427:G431)</f>
        <v>0</v>
      </c>
      <c r="H426" s="203">
        <f t="shared" si="177"/>
        <v>2060</v>
      </c>
      <c r="I426" s="203">
        <f t="shared" si="177"/>
        <v>2060</v>
      </c>
      <c r="J426" s="203">
        <f t="shared" si="177"/>
        <v>2060</v>
      </c>
      <c r="K426" s="203">
        <f t="shared" si="177"/>
        <v>0</v>
      </c>
      <c r="L426" s="203">
        <f t="shared" si="177"/>
        <v>0</v>
      </c>
      <c r="M426" s="203">
        <f t="shared" si="177"/>
        <v>0</v>
      </c>
      <c r="N426" s="203">
        <f t="shared" si="177"/>
        <v>4120</v>
      </c>
      <c r="O426" s="203">
        <f t="shared" si="177"/>
        <v>2060</v>
      </c>
      <c r="P426" s="203">
        <f t="shared" si="177"/>
        <v>2060</v>
      </c>
      <c r="Q426" s="203">
        <f>SUM(Q427:Q431)</f>
        <v>2060</v>
      </c>
      <c r="R426" s="203">
        <f t="shared" si="177"/>
        <v>0</v>
      </c>
      <c r="S426" s="203">
        <f t="shared" si="177"/>
        <v>0</v>
      </c>
      <c r="T426" s="375">
        <f t="shared" si="176"/>
        <v>16480</v>
      </c>
      <c r="U426"/>
      <c r="V426">
        <f>+PRESUPUESTO22[[#This Row],[EJECUTADO ]]-SUM(PRESUPUESTO22[[#This Row],[   ENERO ]:[DIC]])</f>
        <v>0</v>
      </c>
      <c r="W426"/>
      <c r="X426"/>
    </row>
    <row r="427" spans="1:24" ht="15" x14ac:dyDescent="0.25">
      <c r="A427" s="52">
        <v>3</v>
      </c>
      <c r="B427" s="141">
        <v>702030501</v>
      </c>
      <c r="C427" s="130" t="str">
        <f t="shared" si="172"/>
        <v>E-0702030501</v>
      </c>
      <c r="D427" s="130">
        <v>377</v>
      </c>
      <c r="E427" s="141" t="s">
        <v>69</v>
      </c>
      <c r="F427" s="347" t="s">
        <v>338</v>
      </c>
      <c r="G427" s="193">
        <v>0</v>
      </c>
      <c r="H427" s="193">
        <v>435</v>
      </c>
      <c r="I427" s="193">
        <v>435</v>
      </c>
      <c r="J427" s="193">
        <v>435</v>
      </c>
      <c r="K427" s="193">
        <v>0</v>
      </c>
      <c r="L427" s="193">
        <v>0</v>
      </c>
      <c r="M427" s="193">
        <v>0</v>
      </c>
      <c r="N427" s="193">
        <f>435*2</f>
        <v>870</v>
      </c>
      <c r="O427" s="193">
        <v>435</v>
      </c>
      <c r="P427" s="193">
        <v>435</v>
      </c>
      <c r="Q427" s="193">
        <v>435</v>
      </c>
      <c r="R427" s="193">
        <v>0</v>
      </c>
      <c r="S427" s="193">
        <v>0</v>
      </c>
      <c r="T427" s="193">
        <f>SUM(H427:S427)</f>
        <v>3480</v>
      </c>
      <c r="U427"/>
      <c r="V427">
        <f>+PRESUPUESTO22[[#This Row],[EJECUTADO ]]-SUM(PRESUPUESTO22[[#This Row],[   ENERO ]:[DIC]])</f>
        <v>0</v>
      </c>
      <c r="W427"/>
      <c r="X427"/>
    </row>
    <row r="428" spans="1:24" ht="21.75" customHeight="1" x14ac:dyDescent="0.25">
      <c r="A428" s="52">
        <v>3</v>
      </c>
      <c r="B428" s="141">
        <v>702030502</v>
      </c>
      <c r="C428" s="130" t="str">
        <f t="shared" si="172"/>
        <v>E-0702030502</v>
      </c>
      <c r="D428" s="130">
        <v>378</v>
      </c>
      <c r="E428" s="141" t="s">
        <v>69</v>
      </c>
      <c r="F428" s="347" t="s">
        <v>339</v>
      </c>
      <c r="G428" s="193">
        <v>0</v>
      </c>
      <c r="H428" s="193">
        <v>435</v>
      </c>
      <c r="I428" s="193">
        <v>435</v>
      </c>
      <c r="J428" s="193">
        <v>435</v>
      </c>
      <c r="K428" s="193">
        <v>0</v>
      </c>
      <c r="L428" s="193">
        <v>0</v>
      </c>
      <c r="M428" s="193">
        <v>0</v>
      </c>
      <c r="N428" s="193">
        <f>435*2</f>
        <v>870</v>
      </c>
      <c r="O428" s="193">
        <v>435</v>
      </c>
      <c r="P428" s="193">
        <v>435</v>
      </c>
      <c r="Q428" s="193">
        <v>435</v>
      </c>
      <c r="R428" s="193">
        <v>0</v>
      </c>
      <c r="S428" s="193">
        <v>0</v>
      </c>
      <c r="T428" s="193">
        <f>SUM(H428:S428)</f>
        <v>3480</v>
      </c>
      <c r="U428"/>
      <c r="V428">
        <f>+PRESUPUESTO22[[#This Row],[EJECUTADO ]]-SUM(PRESUPUESTO22[[#This Row],[   ENERO ]:[DIC]])</f>
        <v>0</v>
      </c>
      <c r="W428"/>
      <c r="X428"/>
    </row>
    <row r="429" spans="1:24" ht="23.25" customHeight="1" x14ac:dyDescent="0.25">
      <c r="A429" s="52">
        <v>4</v>
      </c>
      <c r="B429" s="141">
        <v>702030503</v>
      </c>
      <c r="C429" s="130" t="str">
        <f t="shared" si="172"/>
        <v>E-0702030503</v>
      </c>
      <c r="D429" s="130">
        <v>379</v>
      </c>
      <c r="E429" s="141" t="s">
        <v>69</v>
      </c>
      <c r="F429" s="347" t="s">
        <v>340</v>
      </c>
      <c r="G429" s="193">
        <v>0</v>
      </c>
      <c r="H429" s="193">
        <v>580</v>
      </c>
      <c r="I429" s="193">
        <v>580</v>
      </c>
      <c r="J429" s="193">
        <v>580</v>
      </c>
      <c r="K429" s="193">
        <v>0</v>
      </c>
      <c r="L429" s="193">
        <v>0</v>
      </c>
      <c r="M429" s="193">
        <v>0</v>
      </c>
      <c r="N429" s="193">
        <f>580*2</f>
        <v>1160</v>
      </c>
      <c r="O429" s="193">
        <v>580</v>
      </c>
      <c r="P429" s="193">
        <v>580</v>
      </c>
      <c r="Q429" s="193">
        <v>580</v>
      </c>
      <c r="R429" s="193">
        <v>0</v>
      </c>
      <c r="S429" s="193">
        <v>0</v>
      </c>
      <c r="T429" s="193">
        <f>SUM(H429:S429)</f>
        <v>4640</v>
      </c>
      <c r="U429"/>
      <c r="V429">
        <f>+PRESUPUESTO22[[#This Row],[EJECUTADO ]]-SUM(PRESUPUESTO22[[#This Row],[   ENERO ]:[DIC]])</f>
        <v>0</v>
      </c>
      <c r="W429"/>
      <c r="X429"/>
    </row>
    <row r="430" spans="1:24" ht="19.5" customHeight="1" x14ac:dyDescent="0.25">
      <c r="A430" s="52">
        <v>3</v>
      </c>
      <c r="B430" s="141">
        <v>702030504</v>
      </c>
      <c r="C430" s="130" t="str">
        <f t="shared" si="172"/>
        <v>E-0702030504</v>
      </c>
      <c r="D430" s="130">
        <v>380</v>
      </c>
      <c r="E430" s="141" t="s">
        <v>69</v>
      </c>
      <c r="F430" s="347" t="s">
        <v>341</v>
      </c>
      <c r="G430" s="193">
        <v>0</v>
      </c>
      <c r="H430" s="193">
        <v>435</v>
      </c>
      <c r="I430" s="193">
        <v>435</v>
      </c>
      <c r="J430" s="193">
        <v>435</v>
      </c>
      <c r="K430" s="193">
        <v>0</v>
      </c>
      <c r="L430" s="193">
        <v>0</v>
      </c>
      <c r="M430" s="193">
        <v>0</v>
      </c>
      <c r="N430" s="193">
        <f>435*2</f>
        <v>870</v>
      </c>
      <c r="O430" s="193">
        <v>435</v>
      </c>
      <c r="P430" s="193">
        <v>435</v>
      </c>
      <c r="Q430" s="193">
        <v>435</v>
      </c>
      <c r="R430" s="193">
        <v>0</v>
      </c>
      <c r="S430" s="193">
        <v>0</v>
      </c>
      <c r="T430" s="193">
        <f>SUM(H430:S430)</f>
        <v>3480</v>
      </c>
      <c r="U430"/>
      <c r="V430">
        <f>+PRESUPUESTO22[[#This Row],[EJECUTADO ]]-SUM(PRESUPUESTO22[[#This Row],[   ENERO ]:[DIC]])</f>
        <v>0</v>
      </c>
      <c r="W430"/>
      <c r="X430"/>
    </row>
    <row r="431" spans="1:24" ht="15.75" customHeight="1" x14ac:dyDescent="0.25">
      <c r="A431" s="52">
        <v>1</v>
      </c>
      <c r="B431" s="141">
        <v>702030505</v>
      </c>
      <c r="C431" s="130" t="str">
        <f t="shared" si="172"/>
        <v>E-0702030505</v>
      </c>
      <c r="D431" s="130">
        <v>381</v>
      </c>
      <c r="E431" s="141" t="s">
        <v>69</v>
      </c>
      <c r="F431" s="347" t="s">
        <v>342</v>
      </c>
      <c r="G431" s="193">
        <v>0</v>
      </c>
      <c r="H431" s="193">
        <v>175</v>
      </c>
      <c r="I431" s="193">
        <v>175</v>
      </c>
      <c r="J431" s="193">
        <v>175</v>
      </c>
      <c r="K431" s="193">
        <v>0</v>
      </c>
      <c r="L431" s="193">
        <v>0</v>
      </c>
      <c r="M431" s="193">
        <v>0</v>
      </c>
      <c r="N431" s="193">
        <f>175*2</f>
        <v>350</v>
      </c>
      <c r="O431" s="193">
        <v>175</v>
      </c>
      <c r="P431" s="193">
        <v>175</v>
      </c>
      <c r="Q431" s="193">
        <v>175</v>
      </c>
      <c r="R431" s="193">
        <v>0</v>
      </c>
      <c r="S431" s="193">
        <v>0</v>
      </c>
      <c r="T431" s="193">
        <f>SUM(H431:S431)</f>
        <v>1400</v>
      </c>
      <c r="U431"/>
      <c r="V431">
        <f>+PRESUPUESTO22[[#This Row],[EJECUTADO ]]-SUM(PRESUPUESTO22[[#This Row],[   ENERO ]:[DIC]])</f>
        <v>0</v>
      </c>
      <c r="W431"/>
      <c r="X431"/>
    </row>
    <row r="432" spans="1:24" ht="15.95" customHeight="1" x14ac:dyDescent="0.25">
      <c r="A432" s="115">
        <f>SUM(A433:A433)</f>
        <v>2</v>
      </c>
      <c r="B432" s="152">
        <v>7020306</v>
      </c>
      <c r="C432" s="130" t="str">
        <f t="shared" si="172"/>
        <v>E-07020306</v>
      </c>
      <c r="D432" s="130">
        <v>382</v>
      </c>
      <c r="E432" s="146" t="s">
        <v>69</v>
      </c>
      <c r="F432" s="202" t="s">
        <v>343</v>
      </c>
      <c r="G432" s="203">
        <f t="shared" ref="G432:T432" si="178">+G433</f>
        <v>0</v>
      </c>
      <c r="H432" s="203">
        <f t="shared" si="178"/>
        <v>309</v>
      </c>
      <c r="I432" s="203">
        <f t="shared" si="178"/>
        <v>309</v>
      </c>
      <c r="J432" s="203">
        <f t="shared" si="178"/>
        <v>309</v>
      </c>
      <c r="K432" s="203">
        <f t="shared" si="178"/>
        <v>0</v>
      </c>
      <c r="L432" s="203">
        <f t="shared" si="178"/>
        <v>0</v>
      </c>
      <c r="M432" s="203">
        <f t="shared" si="178"/>
        <v>0</v>
      </c>
      <c r="N432" s="203">
        <f t="shared" si="178"/>
        <v>618</v>
      </c>
      <c r="O432" s="203">
        <f t="shared" si="178"/>
        <v>309</v>
      </c>
      <c r="P432" s="203">
        <f t="shared" si="178"/>
        <v>309</v>
      </c>
      <c r="Q432" s="203">
        <f t="shared" si="178"/>
        <v>309</v>
      </c>
      <c r="R432" s="203">
        <f t="shared" si="178"/>
        <v>0</v>
      </c>
      <c r="S432" s="203">
        <f t="shared" si="178"/>
        <v>0</v>
      </c>
      <c r="T432" s="203">
        <f t="shared" si="178"/>
        <v>2472</v>
      </c>
      <c r="U432"/>
      <c r="V432">
        <f>+PRESUPUESTO22[[#This Row],[EJECUTADO ]]-SUM(PRESUPUESTO22[[#This Row],[   ENERO ]:[DIC]])</f>
        <v>0</v>
      </c>
      <c r="W432"/>
      <c r="X432"/>
    </row>
    <row r="433" spans="1:24" ht="27.75" customHeight="1" x14ac:dyDescent="0.25">
      <c r="A433" s="52">
        <v>2</v>
      </c>
      <c r="B433" s="141">
        <v>702030601</v>
      </c>
      <c r="C433" s="130" t="str">
        <f t="shared" si="172"/>
        <v>E-0702030601</v>
      </c>
      <c r="D433" s="130">
        <v>383</v>
      </c>
      <c r="E433" s="141" t="s">
        <v>69</v>
      </c>
      <c r="F433" s="347" t="s">
        <v>344</v>
      </c>
      <c r="G433" s="193">
        <v>0</v>
      </c>
      <c r="H433" s="193">
        <v>309</v>
      </c>
      <c r="I433" s="193">
        <v>309</v>
      </c>
      <c r="J433" s="193">
        <v>309</v>
      </c>
      <c r="K433" s="193">
        <v>0</v>
      </c>
      <c r="L433" s="193">
        <v>0</v>
      </c>
      <c r="M433" s="193">
        <v>0</v>
      </c>
      <c r="N433" s="193">
        <f>309*2</f>
        <v>618</v>
      </c>
      <c r="O433" s="193">
        <v>309</v>
      </c>
      <c r="P433" s="193">
        <v>309</v>
      </c>
      <c r="Q433" s="193">
        <v>309</v>
      </c>
      <c r="R433" s="193">
        <v>0</v>
      </c>
      <c r="S433" s="193">
        <v>0</v>
      </c>
      <c r="T433" s="193">
        <f>SUM(H433:S433)</f>
        <v>2472</v>
      </c>
      <c r="U433"/>
      <c r="V433">
        <f>+PRESUPUESTO22[[#This Row],[EJECUTADO ]]-SUM(PRESUPUESTO22[[#This Row],[   ENERO ]:[DIC]])</f>
        <v>0</v>
      </c>
      <c r="W433"/>
      <c r="X433"/>
    </row>
    <row r="434" spans="1:24" ht="15.95" customHeight="1" x14ac:dyDescent="0.25">
      <c r="A434" s="115">
        <f>SUM(A435:A437)</f>
        <v>3</v>
      </c>
      <c r="B434" s="152">
        <v>7020307</v>
      </c>
      <c r="C434" s="130" t="str">
        <f t="shared" si="172"/>
        <v>E-07020307</v>
      </c>
      <c r="D434" s="130">
        <v>384</v>
      </c>
      <c r="E434" s="146" t="s">
        <v>69</v>
      </c>
      <c r="F434" s="202" t="s">
        <v>345</v>
      </c>
      <c r="G434" s="203">
        <f t="shared" ref="G434:T434" si="179">SUM(G435:G437)</f>
        <v>0</v>
      </c>
      <c r="H434" s="203">
        <f t="shared" si="179"/>
        <v>465</v>
      </c>
      <c r="I434" s="203">
        <f t="shared" si="179"/>
        <v>465</v>
      </c>
      <c r="J434" s="203">
        <f t="shared" si="179"/>
        <v>465</v>
      </c>
      <c r="K434" s="203">
        <f t="shared" si="179"/>
        <v>0</v>
      </c>
      <c r="L434" s="203">
        <f t="shared" si="179"/>
        <v>0</v>
      </c>
      <c r="M434" s="203">
        <f t="shared" si="179"/>
        <v>0</v>
      </c>
      <c r="N434" s="203">
        <f t="shared" si="179"/>
        <v>930</v>
      </c>
      <c r="O434" s="203">
        <f t="shared" si="179"/>
        <v>465</v>
      </c>
      <c r="P434" s="203">
        <f t="shared" si="179"/>
        <v>465</v>
      </c>
      <c r="Q434" s="203">
        <f t="shared" si="179"/>
        <v>465</v>
      </c>
      <c r="R434" s="203">
        <f t="shared" si="179"/>
        <v>0</v>
      </c>
      <c r="S434" s="203">
        <f t="shared" si="179"/>
        <v>0</v>
      </c>
      <c r="T434" s="203">
        <f t="shared" si="179"/>
        <v>3720</v>
      </c>
      <c r="U434"/>
      <c r="V434">
        <f>+PRESUPUESTO22[[#This Row],[EJECUTADO ]]-SUM(PRESUPUESTO22[[#This Row],[   ENERO ]:[DIC]])</f>
        <v>0</v>
      </c>
      <c r="W434"/>
      <c r="X434"/>
    </row>
    <row r="435" spans="1:24" ht="15.75" customHeight="1" x14ac:dyDescent="0.25">
      <c r="A435" s="52">
        <v>1</v>
      </c>
      <c r="B435" s="141">
        <v>702030701</v>
      </c>
      <c r="C435" s="130" t="str">
        <f t="shared" si="172"/>
        <v>E-0702030701</v>
      </c>
      <c r="D435" s="130">
        <v>385</v>
      </c>
      <c r="E435" s="141" t="s">
        <v>69</v>
      </c>
      <c r="F435" s="347" t="s">
        <v>346</v>
      </c>
      <c r="G435" s="193">
        <v>0</v>
      </c>
      <c r="H435" s="193">
        <v>145</v>
      </c>
      <c r="I435" s="193">
        <v>145</v>
      </c>
      <c r="J435" s="193">
        <v>145</v>
      </c>
      <c r="K435" s="193">
        <v>0</v>
      </c>
      <c r="L435" s="193">
        <v>0</v>
      </c>
      <c r="M435" s="193">
        <v>0</v>
      </c>
      <c r="N435" s="193">
        <f>145*2</f>
        <v>290</v>
      </c>
      <c r="O435" s="193">
        <v>145</v>
      </c>
      <c r="P435" s="193">
        <v>145</v>
      </c>
      <c r="Q435" s="193">
        <v>145</v>
      </c>
      <c r="R435" s="193">
        <v>0</v>
      </c>
      <c r="S435" s="193">
        <v>0</v>
      </c>
      <c r="T435" s="193">
        <f>SUM(H435:S435)</f>
        <v>1160</v>
      </c>
      <c r="U435"/>
      <c r="V435">
        <f>+PRESUPUESTO22[[#This Row],[EJECUTADO ]]-SUM(PRESUPUESTO22[[#This Row],[   ENERO ]:[DIC]])</f>
        <v>0</v>
      </c>
      <c r="W435"/>
      <c r="X435"/>
    </row>
    <row r="436" spans="1:24" ht="15.95" customHeight="1" x14ac:dyDescent="0.25">
      <c r="A436" s="52">
        <v>1</v>
      </c>
      <c r="B436" s="141">
        <v>702030702</v>
      </c>
      <c r="C436" s="130" t="str">
        <f t="shared" si="172"/>
        <v>E-0702030702</v>
      </c>
      <c r="D436" s="130">
        <v>386</v>
      </c>
      <c r="E436" s="141" t="s">
        <v>69</v>
      </c>
      <c r="F436" s="347" t="s">
        <v>347</v>
      </c>
      <c r="G436" s="193">
        <v>0</v>
      </c>
      <c r="H436" s="193">
        <v>145</v>
      </c>
      <c r="I436" s="193">
        <v>145</v>
      </c>
      <c r="J436" s="193">
        <v>145</v>
      </c>
      <c r="K436" s="193">
        <v>0</v>
      </c>
      <c r="L436" s="193">
        <v>0</v>
      </c>
      <c r="M436" s="193">
        <v>0</v>
      </c>
      <c r="N436" s="193">
        <f>145*2</f>
        <v>290</v>
      </c>
      <c r="O436" s="193">
        <v>145</v>
      </c>
      <c r="P436" s="193">
        <v>145</v>
      </c>
      <c r="Q436" s="193">
        <v>145</v>
      </c>
      <c r="R436" s="193">
        <v>0</v>
      </c>
      <c r="S436" s="193">
        <v>0</v>
      </c>
      <c r="T436" s="193">
        <f>SUM(H436:S436)</f>
        <v>1160</v>
      </c>
      <c r="U436"/>
      <c r="V436">
        <f>+PRESUPUESTO22[[#This Row],[EJECUTADO ]]-SUM(PRESUPUESTO22[[#This Row],[   ENERO ]:[DIC]])</f>
        <v>0</v>
      </c>
      <c r="W436"/>
      <c r="X436"/>
    </row>
    <row r="437" spans="1:24" ht="15.95" customHeight="1" x14ac:dyDescent="0.25">
      <c r="A437" s="52">
        <v>1</v>
      </c>
      <c r="B437" s="141">
        <v>702030703</v>
      </c>
      <c r="C437" s="130" t="str">
        <f t="shared" si="172"/>
        <v>E-0702030703</v>
      </c>
      <c r="D437" s="130">
        <v>387</v>
      </c>
      <c r="E437" s="141" t="s">
        <v>69</v>
      </c>
      <c r="F437" s="347" t="s">
        <v>348</v>
      </c>
      <c r="G437" s="193">
        <v>0</v>
      </c>
      <c r="H437" s="193">
        <v>175</v>
      </c>
      <c r="I437" s="193">
        <v>175</v>
      </c>
      <c r="J437" s="193">
        <v>175</v>
      </c>
      <c r="K437" s="193">
        <v>0</v>
      </c>
      <c r="L437" s="193">
        <v>0</v>
      </c>
      <c r="M437" s="193">
        <v>0</v>
      </c>
      <c r="N437" s="193">
        <f>175*2</f>
        <v>350</v>
      </c>
      <c r="O437" s="193">
        <v>175</v>
      </c>
      <c r="P437" s="193">
        <v>175</v>
      </c>
      <c r="Q437" s="193">
        <v>175</v>
      </c>
      <c r="R437" s="193">
        <v>0</v>
      </c>
      <c r="S437" s="193">
        <v>0</v>
      </c>
      <c r="T437" s="193">
        <f>SUM(H437:S437)</f>
        <v>1400</v>
      </c>
      <c r="U437"/>
      <c r="V437">
        <f>+PRESUPUESTO22[[#This Row],[EJECUTADO ]]-SUM(PRESUPUESTO22[[#This Row],[   ENERO ]:[DIC]])</f>
        <v>0</v>
      </c>
      <c r="W437"/>
      <c r="X437"/>
    </row>
    <row r="438" spans="1:24" ht="15.95" customHeight="1" x14ac:dyDescent="0.25">
      <c r="A438" s="115">
        <f>SUM(A439:A440)</f>
        <v>2</v>
      </c>
      <c r="B438" s="152">
        <v>7020308</v>
      </c>
      <c r="C438" s="130" t="str">
        <f t="shared" si="172"/>
        <v>E-07020308</v>
      </c>
      <c r="D438" s="130">
        <v>388</v>
      </c>
      <c r="E438" s="146" t="s">
        <v>69</v>
      </c>
      <c r="F438" s="202" t="s">
        <v>349</v>
      </c>
      <c r="G438" s="203">
        <f t="shared" ref="G438:T438" si="180">SUM(G439:G440)</f>
        <v>0</v>
      </c>
      <c r="H438" s="203">
        <f t="shared" si="180"/>
        <v>290</v>
      </c>
      <c r="I438" s="203">
        <f t="shared" si="180"/>
        <v>290</v>
      </c>
      <c r="J438" s="203">
        <f t="shared" si="180"/>
        <v>290</v>
      </c>
      <c r="K438" s="203">
        <f t="shared" si="180"/>
        <v>0</v>
      </c>
      <c r="L438" s="203">
        <f t="shared" si="180"/>
        <v>0</v>
      </c>
      <c r="M438" s="203">
        <f t="shared" si="180"/>
        <v>0</v>
      </c>
      <c r="N438" s="203">
        <f t="shared" si="180"/>
        <v>580</v>
      </c>
      <c r="O438" s="203">
        <f t="shared" si="180"/>
        <v>290</v>
      </c>
      <c r="P438" s="203">
        <f t="shared" si="180"/>
        <v>290</v>
      </c>
      <c r="Q438" s="203">
        <f t="shared" si="180"/>
        <v>290</v>
      </c>
      <c r="R438" s="203">
        <f t="shared" si="180"/>
        <v>0</v>
      </c>
      <c r="S438" s="203">
        <f t="shared" si="180"/>
        <v>0</v>
      </c>
      <c r="T438" s="203">
        <f t="shared" si="180"/>
        <v>2320</v>
      </c>
      <c r="U438"/>
      <c r="V438">
        <f>+PRESUPUESTO22[[#This Row],[EJECUTADO ]]-SUM(PRESUPUESTO22[[#This Row],[   ENERO ]:[DIC]])</f>
        <v>0</v>
      </c>
      <c r="W438"/>
      <c r="X438"/>
    </row>
    <row r="439" spans="1:24" ht="15.95" customHeight="1" x14ac:dyDescent="0.25">
      <c r="A439" s="52">
        <v>1</v>
      </c>
      <c r="B439" s="141">
        <v>702030801</v>
      </c>
      <c r="C439" s="130" t="str">
        <f t="shared" si="172"/>
        <v>E-0702030801</v>
      </c>
      <c r="D439" s="130">
        <v>389</v>
      </c>
      <c r="E439" s="141" t="s">
        <v>69</v>
      </c>
      <c r="F439" s="347" t="s">
        <v>350</v>
      </c>
      <c r="G439" s="193">
        <v>0</v>
      </c>
      <c r="H439" s="193">
        <v>145</v>
      </c>
      <c r="I439" s="193">
        <v>145</v>
      </c>
      <c r="J439" s="193">
        <v>145</v>
      </c>
      <c r="K439" s="193">
        <v>0</v>
      </c>
      <c r="L439" s="193">
        <v>0</v>
      </c>
      <c r="M439" s="193">
        <v>0</v>
      </c>
      <c r="N439" s="193">
        <f>145*2</f>
        <v>290</v>
      </c>
      <c r="O439" s="193">
        <v>145</v>
      </c>
      <c r="P439" s="193">
        <v>145</v>
      </c>
      <c r="Q439" s="193">
        <v>145</v>
      </c>
      <c r="R439" s="193">
        <v>0</v>
      </c>
      <c r="S439" s="193">
        <v>0</v>
      </c>
      <c r="T439" s="193">
        <f>SUM(H439:S439)</f>
        <v>1160</v>
      </c>
      <c r="U439"/>
      <c r="V439">
        <f>+PRESUPUESTO22[[#This Row],[EJECUTADO ]]-SUM(PRESUPUESTO22[[#This Row],[   ENERO ]:[DIC]])</f>
        <v>0</v>
      </c>
      <c r="W439"/>
      <c r="X439"/>
    </row>
    <row r="440" spans="1:24" ht="15.95" customHeight="1" x14ac:dyDescent="0.25">
      <c r="A440" s="52">
        <v>1</v>
      </c>
      <c r="B440" s="141">
        <v>702030802</v>
      </c>
      <c r="C440" s="130" t="str">
        <f t="shared" si="172"/>
        <v>E-0702030802</v>
      </c>
      <c r="D440" s="130">
        <v>390</v>
      </c>
      <c r="E440" s="141" t="s">
        <v>69</v>
      </c>
      <c r="F440" s="347" t="s">
        <v>351</v>
      </c>
      <c r="G440" s="193">
        <v>0</v>
      </c>
      <c r="H440" s="193">
        <v>145</v>
      </c>
      <c r="I440" s="193">
        <v>145</v>
      </c>
      <c r="J440" s="193">
        <v>145</v>
      </c>
      <c r="K440" s="193">
        <v>0</v>
      </c>
      <c r="L440" s="193">
        <v>0</v>
      </c>
      <c r="M440" s="193">
        <v>0</v>
      </c>
      <c r="N440" s="193">
        <f>145*2</f>
        <v>290</v>
      </c>
      <c r="O440" s="193">
        <v>145</v>
      </c>
      <c r="P440" s="193">
        <v>145</v>
      </c>
      <c r="Q440" s="193">
        <v>145</v>
      </c>
      <c r="R440" s="193">
        <v>0</v>
      </c>
      <c r="S440" s="193">
        <v>0</v>
      </c>
      <c r="T440" s="193">
        <f>SUM(H440:S440)</f>
        <v>1160</v>
      </c>
      <c r="U440"/>
      <c r="V440">
        <f>+PRESUPUESTO22[[#This Row],[EJECUTADO ]]-SUM(PRESUPUESTO22[[#This Row],[   ENERO ]:[DIC]])</f>
        <v>0</v>
      </c>
      <c r="W440"/>
      <c r="X440"/>
    </row>
    <row r="441" spans="1:24" ht="17.25" customHeight="1" x14ac:dyDescent="0.25">
      <c r="A441" s="52">
        <v>6</v>
      </c>
      <c r="B441" s="141">
        <v>7020309</v>
      </c>
      <c r="C441" s="130" t="str">
        <f t="shared" si="172"/>
        <v>E-07020309</v>
      </c>
      <c r="D441" s="130">
        <v>391</v>
      </c>
      <c r="E441" s="150" t="s">
        <v>69</v>
      </c>
      <c r="F441" s="207" t="s">
        <v>352</v>
      </c>
      <c r="G441" s="192">
        <v>243000</v>
      </c>
      <c r="H441" s="192">
        <v>20250</v>
      </c>
      <c r="I441" s="192">
        <v>20250</v>
      </c>
      <c r="J441" s="192">
        <v>20250</v>
      </c>
      <c r="K441" s="192">
        <v>0</v>
      </c>
      <c r="L441" s="192">
        <v>0</v>
      </c>
      <c r="M441" s="192">
        <v>0</v>
      </c>
      <c r="N441" s="192">
        <f>20250*2</f>
        <v>40500</v>
      </c>
      <c r="O441" s="192">
        <v>20250</v>
      </c>
      <c r="P441" s="192">
        <v>20250</v>
      </c>
      <c r="Q441" s="192">
        <v>20250</v>
      </c>
      <c r="R441" s="192">
        <v>0</v>
      </c>
      <c r="S441" s="192">
        <v>0</v>
      </c>
      <c r="T441" s="192">
        <f>SUM(H441:S441)</f>
        <v>162000</v>
      </c>
      <c r="U441"/>
      <c r="V441">
        <f>+PRESUPUESTO22[[#This Row],[EJECUTADO ]]-SUM(PRESUPUESTO22[[#This Row],[   ENERO ]:[DIC]])</f>
        <v>0</v>
      </c>
      <c r="W441"/>
      <c r="X441"/>
    </row>
    <row r="442" spans="1:24" ht="15.95" customHeight="1" x14ac:dyDescent="0.25">
      <c r="A442" s="49">
        <v>8</v>
      </c>
      <c r="B442" s="143">
        <v>8</v>
      </c>
      <c r="C442" s="130" t="str">
        <f t="shared" si="172"/>
        <v>E-08</v>
      </c>
      <c r="D442" s="130">
        <v>392</v>
      </c>
      <c r="E442" s="143" t="s">
        <v>67</v>
      </c>
      <c r="F442" s="195" t="s">
        <v>353</v>
      </c>
      <c r="G442" s="188">
        <f t="shared" ref="G442:T442" si="181">+G443+G464+G492</f>
        <v>600000</v>
      </c>
      <c r="H442" s="188">
        <f t="shared" si="181"/>
        <v>89115</v>
      </c>
      <c r="I442" s="188">
        <f t="shared" si="181"/>
        <v>67740</v>
      </c>
      <c r="J442" s="188">
        <f t="shared" si="181"/>
        <v>64699</v>
      </c>
      <c r="K442" s="188">
        <f t="shared" si="181"/>
        <v>82259</v>
      </c>
      <c r="L442" s="188">
        <f t="shared" si="181"/>
        <v>135857</v>
      </c>
      <c r="M442" s="188">
        <f t="shared" si="181"/>
        <v>-295743</v>
      </c>
      <c r="N442" s="188">
        <f t="shared" si="181"/>
        <v>39786</v>
      </c>
      <c r="O442" s="188">
        <f t="shared" si="181"/>
        <v>45287</v>
      </c>
      <c r="P442" s="188">
        <f t="shared" si="181"/>
        <v>-54573</v>
      </c>
      <c r="Q442" s="188">
        <f t="shared" si="181"/>
        <v>44391</v>
      </c>
      <c r="R442" s="188">
        <f t="shared" si="181"/>
        <v>2344</v>
      </c>
      <c r="S442" s="188">
        <f t="shared" si="181"/>
        <v>0</v>
      </c>
      <c r="T442" s="188">
        <f t="shared" si="181"/>
        <v>221162</v>
      </c>
      <c r="U442"/>
      <c r="V442">
        <f>+PRESUPUESTO22[[#This Row],[EJECUTADO ]]-SUM(PRESUPUESTO22[[#This Row],[   ENERO ]:[DIC]])</f>
        <v>0</v>
      </c>
      <c r="W442"/>
      <c r="X442"/>
    </row>
    <row r="443" spans="1:24" ht="15.95" customHeight="1" x14ac:dyDescent="0.25">
      <c r="A443" s="52">
        <v>1</v>
      </c>
      <c r="B443" s="139">
        <v>801</v>
      </c>
      <c r="C443" s="130" t="str">
        <f t="shared" si="172"/>
        <v>E-0801</v>
      </c>
      <c r="D443" s="130">
        <v>393</v>
      </c>
      <c r="E443" s="139" t="s">
        <v>69</v>
      </c>
      <c r="F443" s="189" t="s">
        <v>354</v>
      </c>
      <c r="G443" s="190">
        <f t="shared" ref="G443:T443" si="182">+G444+G460</f>
        <v>35000</v>
      </c>
      <c r="H443" s="190">
        <f t="shared" si="182"/>
        <v>0</v>
      </c>
      <c r="I443" s="190">
        <f t="shared" si="182"/>
        <v>820</v>
      </c>
      <c r="J443" s="190">
        <f t="shared" si="182"/>
        <v>2507</v>
      </c>
      <c r="K443" s="190">
        <f t="shared" si="182"/>
        <v>223</v>
      </c>
      <c r="L443" s="190">
        <f t="shared" si="182"/>
        <v>17823</v>
      </c>
      <c r="M443" s="190">
        <f t="shared" si="182"/>
        <v>293</v>
      </c>
      <c r="N443" s="190">
        <f t="shared" si="182"/>
        <v>239</v>
      </c>
      <c r="O443" s="190">
        <f t="shared" si="182"/>
        <v>0</v>
      </c>
      <c r="P443" s="190">
        <f t="shared" si="182"/>
        <v>0</v>
      </c>
      <c r="Q443" s="190">
        <f t="shared" si="182"/>
        <v>0</v>
      </c>
      <c r="R443" s="190">
        <f t="shared" si="182"/>
        <v>0</v>
      </c>
      <c r="S443" s="190">
        <f t="shared" si="182"/>
        <v>0</v>
      </c>
      <c r="T443" s="190">
        <f t="shared" si="182"/>
        <v>21905</v>
      </c>
      <c r="U443"/>
      <c r="V443">
        <f>+PRESUPUESTO22[[#This Row],[EJECUTADO ]]-SUM(PRESUPUESTO22[[#This Row],[   ENERO ]:[DIC]])</f>
        <v>0</v>
      </c>
      <c r="W443"/>
      <c r="X443"/>
    </row>
    <row r="444" spans="1:24" ht="15.95" customHeight="1" x14ac:dyDescent="0.25">
      <c r="A444" s="52"/>
      <c r="B444" s="151">
        <v>80101</v>
      </c>
      <c r="C444" s="130" t="str">
        <f t="shared" si="172"/>
        <v>E-080101</v>
      </c>
      <c r="D444" s="130">
        <v>394</v>
      </c>
      <c r="E444" s="151" t="s">
        <v>69</v>
      </c>
      <c r="F444" s="208" t="s">
        <v>166</v>
      </c>
      <c r="G444" s="192">
        <f>+G445+G447+G455+G453</f>
        <v>21800</v>
      </c>
      <c r="H444" s="192">
        <f>+H445+H447+H455+H453</f>
        <v>0</v>
      </c>
      <c r="I444" s="192">
        <f t="shared" ref="I444:T444" si="183">+I445+I447+I455+I453</f>
        <v>820</v>
      </c>
      <c r="J444" s="192">
        <f t="shared" si="183"/>
        <v>779</v>
      </c>
      <c r="K444" s="192">
        <f t="shared" si="183"/>
        <v>223</v>
      </c>
      <c r="L444" s="192">
        <f t="shared" si="183"/>
        <v>17823</v>
      </c>
      <c r="M444" s="192">
        <f t="shared" si="183"/>
        <v>293</v>
      </c>
      <c r="N444" s="192">
        <f t="shared" si="183"/>
        <v>0</v>
      </c>
      <c r="O444" s="192">
        <f t="shared" si="183"/>
        <v>0</v>
      </c>
      <c r="P444" s="192">
        <f t="shared" si="183"/>
        <v>0</v>
      </c>
      <c r="Q444" s="192">
        <f t="shared" si="183"/>
        <v>0</v>
      </c>
      <c r="R444" s="192">
        <f t="shared" si="183"/>
        <v>0</v>
      </c>
      <c r="S444" s="192">
        <f t="shared" si="183"/>
        <v>0</v>
      </c>
      <c r="T444" s="192">
        <f t="shared" si="183"/>
        <v>19938</v>
      </c>
      <c r="U444"/>
      <c r="V444">
        <f>+PRESUPUESTO22[[#This Row],[EJECUTADO ]]-SUM(PRESUPUESTO22[[#This Row],[   ENERO ]:[DIC]])</f>
        <v>0</v>
      </c>
      <c r="W444"/>
      <c r="X444"/>
    </row>
    <row r="445" spans="1:24" ht="15.95" customHeight="1" x14ac:dyDescent="0.25">
      <c r="A445" s="52"/>
      <c r="B445" s="133">
        <v>8010101</v>
      </c>
      <c r="C445" s="130" t="str">
        <f t="shared" si="172"/>
        <v>E-08010101</v>
      </c>
      <c r="D445" s="130">
        <v>395</v>
      </c>
      <c r="E445" s="133" t="s">
        <v>69</v>
      </c>
      <c r="F445" s="123" t="s">
        <v>355</v>
      </c>
      <c r="G445" s="209">
        <f>+G446</f>
        <v>20000</v>
      </c>
      <c r="H445" s="209">
        <f t="shared" ref="H445:T445" si="184">+H446</f>
        <v>0</v>
      </c>
      <c r="I445" s="209">
        <f t="shared" si="184"/>
        <v>0</v>
      </c>
      <c r="J445" s="209">
        <f t="shared" si="184"/>
        <v>0</v>
      </c>
      <c r="K445" s="209">
        <f t="shared" si="184"/>
        <v>0</v>
      </c>
      <c r="L445" s="209">
        <f t="shared" si="184"/>
        <v>17138</v>
      </c>
      <c r="M445" s="209">
        <f t="shared" si="184"/>
        <v>0</v>
      </c>
      <c r="N445" s="209">
        <f t="shared" si="184"/>
        <v>0</v>
      </c>
      <c r="O445" s="209">
        <f t="shared" si="184"/>
        <v>0</v>
      </c>
      <c r="P445" s="209">
        <f t="shared" si="184"/>
        <v>0</v>
      </c>
      <c r="Q445" s="209">
        <f t="shared" si="184"/>
        <v>0</v>
      </c>
      <c r="R445" s="209">
        <f t="shared" si="184"/>
        <v>0</v>
      </c>
      <c r="S445" s="209">
        <f t="shared" si="184"/>
        <v>0</v>
      </c>
      <c r="T445" s="209">
        <f t="shared" si="184"/>
        <v>17138</v>
      </c>
      <c r="U445"/>
      <c r="V445">
        <f>+PRESUPUESTO22[[#This Row],[EJECUTADO ]]-SUM(PRESUPUESTO22[[#This Row],[   ENERO ]:[DIC]])</f>
        <v>0</v>
      </c>
      <c r="W445"/>
      <c r="X445"/>
    </row>
    <row r="446" spans="1:24" ht="15.95" customHeight="1" x14ac:dyDescent="0.25">
      <c r="A446" s="52"/>
      <c r="B446" s="142">
        <v>8010102</v>
      </c>
      <c r="C446" s="130" t="str">
        <f t="shared" si="172"/>
        <v>E-08010102</v>
      </c>
      <c r="D446" s="130">
        <v>396</v>
      </c>
      <c r="E446" s="142" t="s">
        <v>72</v>
      </c>
      <c r="F446" s="354" t="s">
        <v>356</v>
      </c>
      <c r="G446" s="355">
        <v>20000</v>
      </c>
      <c r="H446" s="193">
        <v>0</v>
      </c>
      <c r="I446" s="193">
        <v>0</v>
      </c>
      <c r="J446" s="193">
        <v>0</v>
      </c>
      <c r="K446" s="193">
        <v>0</v>
      </c>
      <c r="L446" s="193">
        <v>17138</v>
      </c>
      <c r="M446" s="193">
        <v>0</v>
      </c>
      <c r="N446" s="193">
        <v>0</v>
      </c>
      <c r="O446" s="193">
        <v>0</v>
      </c>
      <c r="P446" s="193">
        <v>0</v>
      </c>
      <c r="Q446" s="193">
        <v>0</v>
      </c>
      <c r="R446" s="193">
        <v>0</v>
      </c>
      <c r="S446" s="193">
        <v>0</v>
      </c>
      <c r="T446" s="193">
        <f>SUM(H446:S446)</f>
        <v>17138</v>
      </c>
      <c r="U446"/>
      <c r="V446">
        <f>+PRESUPUESTO22[[#This Row],[EJECUTADO ]]-SUM(PRESUPUESTO22[[#This Row],[   ENERO ]:[DIC]])</f>
        <v>0</v>
      </c>
      <c r="W446"/>
      <c r="X446"/>
    </row>
    <row r="447" spans="1:24" ht="15.95" customHeight="1" x14ac:dyDescent="0.25">
      <c r="A447" s="52"/>
      <c r="B447" s="133">
        <v>8010103</v>
      </c>
      <c r="C447" s="130" t="str">
        <f t="shared" si="172"/>
        <v>E-08010103</v>
      </c>
      <c r="D447" s="130">
        <v>397</v>
      </c>
      <c r="E447" s="133" t="s">
        <v>69</v>
      </c>
      <c r="F447" s="123" t="s">
        <v>357</v>
      </c>
      <c r="G447" s="209">
        <f>SUM(G448:G452)</f>
        <v>650</v>
      </c>
      <c r="H447" s="209">
        <f t="shared" ref="H447:T447" si="185">SUM(H448:H452)</f>
        <v>0</v>
      </c>
      <c r="I447" s="209">
        <f t="shared" si="185"/>
        <v>820</v>
      </c>
      <c r="J447" s="209">
        <f t="shared" si="185"/>
        <v>249</v>
      </c>
      <c r="K447" s="209">
        <f t="shared" si="185"/>
        <v>0</v>
      </c>
      <c r="L447" s="209">
        <f t="shared" si="185"/>
        <v>685</v>
      </c>
      <c r="M447" s="209">
        <f t="shared" si="185"/>
        <v>293</v>
      </c>
      <c r="N447" s="209">
        <f t="shared" si="185"/>
        <v>0</v>
      </c>
      <c r="O447" s="209">
        <f t="shared" si="185"/>
        <v>0</v>
      </c>
      <c r="P447" s="209">
        <f t="shared" si="185"/>
        <v>0</v>
      </c>
      <c r="Q447" s="209">
        <f t="shared" si="185"/>
        <v>0</v>
      </c>
      <c r="R447" s="209">
        <f t="shared" si="185"/>
        <v>0</v>
      </c>
      <c r="S447" s="209">
        <f t="shared" si="185"/>
        <v>0</v>
      </c>
      <c r="T447" s="209">
        <f t="shared" si="185"/>
        <v>2047</v>
      </c>
      <c r="U447"/>
      <c r="V447">
        <f>+PRESUPUESTO22[[#This Row],[EJECUTADO ]]-SUM(PRESUPUESTO22[[#This Row],[   ENERO ]:[DIC]])</f>
        <v>0</v>
      </c>
      <c r="W447"/>
      <c r="X447"/>
    </row>
    <row r="448" spans="1:24" ht="15.95" customHeight="1" x14ac:dyDescent="0.25">
      <c r="A448" s="52"/>
      <c r="B448" s="142">
        <v>8010104</v>
      </c>
      <c r="C448" s="130" t="str">
        <f t="shared" si="172"/>
        <v>E-08010104</v>
      </c>
      <c r="D448" s="130">
        <v>398</v>
      </c>
      <c r="E448" s="142" t="s">
        <v>72</v>
      </c>
      <c r="F448" s="356" t="s">
        <v>358</v>
      </c>
      <c r="G448" s="193">
        <v>0</v>
      </c>
      <c r="H448" s="193">
        <v>0</v>
      </c>
      <c r="I448" s="193">
        <v>820</v>
      </c>
      <c r="J448" s="193">
        <v>0</v>
      </c>
      <c r="K448" s="193">
        <v>0</v>
      </c>
      <c r="L448" s="193">
        <v>0</v>
      </c>
      <c r="M448" s="193">
        <v>0</v>
      </c>
      <c r="N448" s="193">
        <v>0</v>
      </c>
      <c r="O448" s="193">
        <v>0</v>
      </c>
      <c r="P448" s="193">
        <v>0</v>
      </c>
      <c r="Q448" s="193">
        <v>0</v>
      </c>
      <c r="R448" s="193">
        <v>0</v>
      </c>
      <c r="S448" s="193">
        <v>0</v>
      </c>
      <c r="T448" s="193">
        <f>SUM(H448:S448)</f>
        <v>820</v>
      </c>
      <c r="U448"/>
      <c r="V448">
        <f>+PRESUPUESTO22[[#This Row],[EJECUTADO ]]-SUM(PRESUPUESTO22[[#This Row],[   ENERO ]:[DIC]])</f>
        <v>0</v>
      </c>
      <c r="W448"/>
      <c r="X448"/>
    </row>
    <row r="449" spans="1:24" ht="15.95" customHeight="1" x14ac:dyDescent="0.25">
      <c r="A449" s="52"/>
      <c r="B449" s="133">
        <v>8010105</v>
      </c>
      <c r="C449" s="130" t="str">
        <f t="shared" si="172"/>
        <v>E-08010105</v>
      </c>
      <c r="D449" s="130">
        <v>399</v>
      </c>
      <c r="E449" s="133" t="s">
        <v>72</v>
      </c>
      <c r="F449" s="356" t="s">
        <v>359</v>
      </c>
      <c r="G449" s="193">
        <v>0</v>
      </c>
      <c r="H449" s="193">
        <v>0</v>
      </c>
      <c r="I449" s="193">
        <v>0</v>
      </c>
      <c r="J449" s="193">
        <v>0</v>
      </c>
      <c r="K449" s="193">
        <v>0</v>
      </c>
      <c r="L449" s="193">
        <v>685</v>
      </c>
      <c r="M449" s="193">
        <v>0</v>
      </c>
      <c r="N449" s="193">
        <v>0</v>
      </c>
      <c r="O449" s="193">
        <v>0</v>
      </c>
      <c r="P449" s="193">
        <v>0</v>
      </c>
      <c r="Q449" s="193">
        <v>0</v>
      </c>
      <c r="R449" s="193">
        <v>0</v>
      </c>
      <c r="S449" s="193">
        <v>0</v>
      </c>
      <c r="T449" s="193">
        <f>SUM(H449:S449)</f>
        <v>685</v>
      </c>
      <c r="U449"/>
      <c r="V449">
        <f>+PRESUPUESTO22[[#This Row],[EJECUTADO ]]-SUM(PRESUPUESTO22[[#This Row],[   ENERO ]:[DIC]])</f>
        <v>0</v>
      </c>
      <c r="W449"/>
      <c r="X449"/>
    </row>
    <row r="450" spans="1:24" ht="15.95" customHeight="1" x14ac:dyDescent="0.25">
      <c r="A450" s="52"/>
      <c r="B450" s="142">
        <v>8010106</v>
      </c>
      <c r="C450" s="130" t="str">
        <f t="shared" si="172"/>
        <v>E-08010106</v>
      </c>
      <c r="D450" s="130">
        <v>400</v>
      </c>
      <c r="E450" s="142" t="s">
        <v>72</v>
      </c>
      <c r="F450" s="356" t="s">
        <v>360</v>
      </c>
      <c r="G450" s="193">
        <v>400</v>
      </c>
      <c r="H450" s="193">
        <v>0</v>
      </c>
      <c r="I450" s="193">
        <v>0</v>
      </c>
      <c r="J450" s="193">
        <v>0</v>
      </c>
      <c r="K450" s="193">
        <v>0</v>
      </c>
      <c r="L450" s="193">
        <v>0</v>
      </c>
      <c r="M450" s="193">
        <v>293</v>
      </c>
      <c r="N450" s="193">
        <v>0</v>
      </c>
      <c r="O450" s="193">
        <v>0</v>
      </c>
      <c r="P450" s="193">
        <v>0</v>
      </c>
      <c r="Q450" s="193">
        <v>0</v>
      </c>
      <c r="R450" s="193">
        <v>0</v>
      </c>
      <c r="S450" s="193">
        <v>0</v>
      </c>
      <c r="T450" s="193">
        <f>SUM(H450:S450)</f>
        <v>293</v>
      </c>
      <c r="U450"/>
      <c r="V450">
        <f>+PRESUPUESTO22[[#This Row],[EJECUTADO ]]-SUM(PRESUPUESTO22[[#This Row],[   ENERO ]:[DIC]])</f>
        <v>0</v>
      </c>
      <c r="W450"/>
      <c r="X450"/>
    </row>
    <row r="451" spans="1:24" ht="15.95" customHeight="1" x14ac:dyDescent="0.25">
      <c r="A451" s="52"/>
      <c r="B451" s="133">
        <v>8010107</v>
      </c>
      <c r="C451" s="130" t="str">
        <f t="shared" si="172"/>
        <v>E-08010107</v>
      </c>
      <c r="D451" s="130">
        <v>401</v>
      </c>
      <c r="E451" s="133" t="s">
        <v>72</v>
      </c>
      <c r="F451" s="356" t="s">
        <v>361</v>
      </c>
      <c r="G451" s="193">
        <v>125</v>
      </c>
      <c r="H451" s="193">
        <v>0</v>
      </c>
      <c r="I451" s="193">
        <v>0</v>
      </c>
      <c r="J451" s="193">
        <v>249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93">
        <v>0</v>
      </c>
      <c r="R451" s="193">
        <v>0</v>
      </c>
      <c r="S451" s="193">
        <v>0</v>
      </c>
      <c r="T451" s="193">
        <f>SUM(H451:S451)</f>
        <v>249</v>
      </c>
      <c r="U451"/>
      <c r="V451">
        <f>+PRESUPUESTO22[[#This Row],[EJECUTADO ]]-SUM(PRESUPUESTO22[[#This Row],[   ENERO ]:[DIC]])</f>
        <v>0</v>
      </c>
      <c r="W451"/>
      <c r="X451"/>
    </row>
    <row r="452" spans="1:24" ht="15.95" customHeight="1" x14ac:dyDescent="0.25">
      <c r="A452" s="52"/>
      <c r="B452" s="142">
        <v>8010108</v>
      </c>
      <c r="C452" s="130" t="str">
        <f t="shared" si="172"/>
        <v>E-08010108</v>
      </c>
      <c r="D452" s="130">
        <v>402</v>
      </c>
      <c r="E452" s="142" t="s">
        <v>72</v>
      </c>
      <c r="F452" s="354" t="s">
        <v>362</v>
      </c>
      <c r="G452" s="193">
        <v>125</v>
      </c>
      <c r="H452" s="193">
        <v>0</v>
      </c>
      <c r="I452" s="193">
        <v>0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93">
        <v>0</v>
      </c>
      <c r="Q452" s="193">
        <v>0</v>
      </c>
      <c r="R452" s="193">
        <v>0</v>
      </c>
      <c r="S452" s="193">
        <v>0</v>
      </c>
      <c r="T452" s="193">
        <f>SUM(H452:S452)</f>
        <v>0</v>
      </c>
      <c r="U452"/>
      <c r="V452">
        <f>+PRESUPUESTO22[[#This Row],[EJECUTADO ]]-SUM(PRESUPUESTO22[[#This Row],[   ENERO ]:[DIC]])</f>
        <v>0</v>
      </c>
      <c r="W452"/>
      <c r="X452"/>
    </row>
    <row r="453" spans="1:24" ht="15.95" customHeight="1" x14ac:dyDescent="0.25">
      <c r="A453" s="52"/>
      <c r="B453" s="133">
        <v>8010109</v>
      </c>
      <c r="C453" s="130" t="str">
        <f t="shared" si="172"/>
        <v>E-08010109</v>
      </c>
      <c r="D453" s="130">
        <v>403</v>
      </c>
      <c r="E453" s="133" t="s">
        <v>69</v>
      </c>
      <c r="F453" s="123" t="s">
        <v>363</v>
      </c>
      <c r="G453" s="209">
        <f>SUM(G454:G454)</f>
        <v>0</v>
      </c>
      <c r="H453" s="209"/>
      <c r="I453" s="209">
        <f t="shared" ref="I453:T453" si="186">SUM(I454:I454)</f>
        <v>0</v>
      </c>
      <c r="J453" s="209">
        <f t="shared" si="186"/>
        <v>0</v>
      </c>
      <c r="K453" s="209">
        <f t="shared" si="186"/>
        <v>223</v>
      </c>
      <c r="L453" s="209">
        <f t="shared" si="186"/>
        <v>0</v>
      </c>
      <c r="M453" s="209">
        <f t="shared" si="186"/>
        <v>0</v>
      </c>
      <c r="N453" s="209">
        <f t="shared" si="186"/>
        <v>0</v>
      </c>
      <c r="O453" s="209">
        <f t="shared" si="186"/>
        <v>0</v>
      </c>
      <c r="P453" s="209">
        <f t="shared" si="186"/>
        <v>0</v>
      </c>
      <c r="Q453" s="209">
        <f t="shared" si="186"/>
        <v>0</v>
      </c>
      <c r="R453" s="209">
        <f t="shared" si="186"/>
        <v>0</v>
      </c>
      <c r="S453" s="209">
        <f t="shared" si="186"/>
        <v>0</v>
      </c>
      <c r="T453" s="209">
        <f t="shared" si="186"/>
        <v>223</v>
      </c>
      <c r="U453"/>
      <c r="V453">
        <f>+PRESUPUESTO22[[#This Row],[EJECUTADO ]]-SUM(PRESUPUESTO22[[#This Row],[   ENERO ]:[DIC]])</f>
        <v>0</v>
      </c>
      <c r="W453"/>
      <c r="X453"/>
    </row>
    <row r="454" spans="1:24" ht="15.95" customHeight="1" x14ac:dyDescent="0.25">
      <c r="A454" s="52"/>
      <c r="B454" s="142">
        <v>8010110</v>
      </c>
      <c r="C454" s="130" t="str">
        <f t="shared" si="172"/>
        <v>E-08010110</v>
      </c>
      <c r="D454" s="130">
        <v>404</v>
      </c>
      <c r="E454" s="142" t="s">
        <v>72</v>
      </c>
      <c r="F454" s="357" t="s">
        <v>364</v>
      </c>
      <c r="G454" s="193">
        <v>0</v>
      </c>
      <c r="H454" s="193">
        <v>0</v>
      </c>
      <c r="I454" s="193">
        <v>0</v>
      </c>
      <c r="J454" s="193">
        <v>0</v>
      </c>
      <c r="K454" s="193">
        <f>222.98+0.02</f>
        <v>223</v>
      </c>
      <c r="L454" s="193">
        <v>0</v>
      </c>
      <c r="M454" s="193">
        <v>0</v>
      </c>
      <c r="N454" s="193">
        <v>0</v>
      </c>
      <c r="O454" s="193">
        <v>0</v>
      </c>
      <c r="P454" s="193">
        <v>0</v>
      </c>
      <c r="Q454" s="193">
        <v>0</v>
      </c>
      <c r="R454" s="193">
        <v>0</v>
      </c>
      <c r="S454" s="193">
        <v>0</v>
      </c>
      <c r="T454" s="193">
        <f>SUM(H454:S454)</f>
        <v>223</v>
      </c>
      <c r="U454"/>
      <c r="V454">
        <f>+PRESUPUESTO22[[#This Row],[EJECUTADO ]]-SUM(PRESUPUESTO22[[#This Row],[   ENERO ]:[DIC]])</f>
        <v>0</v>
      </c>
      <c r="W454"/>
      <c r="X454"/>
    </row>
    <row r="455" spans="1:24" ht="15.95" customHeight="1" x14ac:dyDescent="0.25">
      <c r="A455" s="52"/>
      <c r="B455" s="133">
        <v>8010111</v>
      </c>
      <c r="C455" s="130" t="str">
        <f t="shared" si="172"/>
        <v>E-08010111</v>
      </c>
      <c r="D455" s="130">
        <v>405</v>
      </c>
      <c r="E455" s="133" t="s">
        <v>69</v>
      </c>
      <c r="F455" s="123" t="s">
        <v>365</v>
      </c>
      <c r="G455" s="209">
        <f>SUM(G456:G459)</f>
        <v>1150</v>
      </c>
      <c r="H455" s="209">
        <f t="shared" ref="H455:T455" si="187">SUM(H456:H459)</f>
        <v>0</v>
      </c>
      <c r="I455" s="209">
        <f t="shared" si="187"/>
        <v>0</v>
      </c>
      <c r="J455" s="209">
        <f t="shared" si="187"/>
        <v>530</v>
      </c>
      <c r="K455" s="209">
        <f t="shared" si="187"/>
        <v>0</v>
      </c>
      <c r="L455" s="209">
        <f t="shared" si="187"/>
        <v>0</v>
      </c>
      <c r="M455" s="209">
        <f t="shared" si="187"/>
        <v>0</v>
      </c>
      <c r="N455" s="209">
        <f t="shared" si="187"/>
        <v>0</v>
      </c>
      <c r="O455" s="209">
        <f t="shared" si="187"/>
        <v>0</v>
      </c>
      <c r="P455" s="209">
        <f t="shared" si="187"/>
        <v>0</v>
      </c>
      <c r="Q455" s="209">
        <f t="shared" si="187"/>
        <v>0</v>
      </c>
      <c r="R455" s="209">
        <f t="shared" si="187"/>
        <v>0</v>
      </c>
      <c r="S455" s="209">
        <f t="shared" si="187"/>
        <v>0</v>
      </c>
      <c r="T455" s="209">
        <f t="shared" si="187"/>
        <v>530</v>
      </c>
      <c r="U455"/>
      <c r="V455">
        <f>+PRESUPUESTO22[[#This Row],[EJECUTADO ]]-SUM(PRESUPUESTO22[[#This Row],[   ENERO ]:[DIC]])</f>
        <v>0</v>
      </c>
      <c r="W455"/>
      <c r="X455"/>
    </row>
    <row r="456" spans="1:24" ht="15.95" customHeight="1" x14ac:dyDescent="0.25">
      <c r="A456" s="52"/>
      <c r="B456" s="142">
        <v>8010112</v>
      </c>
      <c r="C456" s="130" t="str">
        <f t="shared" si="172"/>
        <v>E-08010112</v>
      </c>
      <c r="D456" s="130">
        <v>406</v>
      </c>
      <c r="E456" s="142" t="s">
        <v>72</v>
      </c>
      <c r="F456" s="356" t="s">
        <v>366</v>
      </c>
      <c r="G456" s="193">
        <v>400</v>
      </c>
      <c r="H456" s="193">
        <v>0</v>
      </c>
      <c r="I456" s="193">
        <v>0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93">
        <v>0</v>
      </c>
      <c r="Q456" s="193">
        <v>0</v>
      </c>
      <c r="R456" s="193">
        <v>0</v>
      </c>
      <c r="S456" s="193">
        <v>0</v>
      </c>
      <c r="T456" s="193">
        <f>SUM(H456:S456)</f>
        <v>0</v>
      </c>
      <c r="U456"/>
      <c r="V456">
        <f>+PRESUPUESTO22[[#This Row],[EJECUTADO ]]-SUM(PRESUPUESTO22[[#This Row],[   ENERO ]:[DIC]])</f>
        <v>0</v>
      </c>
      <c r="W456"/>
      <c r="X456"/>
    </row>
    <row r="457" spans="1:24" ht="15.95" customHeight="1" x14ac:dyDescent="0.25">
      <c r="A457" s="52"/>
      <c r="B457" s="133">
        <v>8010113</v>
      </c>
      <c r="C457" s="130" t="str">
        <f t="shared" si="172"/>
        <v>E-08010113</v>
      </c>
      <c r="D457" s="130">
        <v>407</v>
      </c>
      <c r="E457" s="133" t="s">
        <v>72</v>
      </c>
      <c r="F457" s="356" t="s">
        <v>367</v>
      </c>
      <c r="G457" s="193">
        <v>200</v>
      </c>
      <c r="H457" s="193">
        <v>0</v>
      </c>
      <c r="I457" s="193">
        <v>0</v>
      </c>
      <c r="J457" s="193">
        <v>0</v>
      </c>
      <c r="K457" s="193">
        <v>0</v>
      </c>
      <c r="L457" s="193">
        <v>0</v>
      </c>
      <c r="M457" s="193">
        <v>0</v>
      </c>
      <c r="N457" s="193">
        <v>0</v>
      </c>
      <c r="O457" s="193">
        <v>0</v>
      </c>
      <c r="P457" s="193">
        <v>0</v>
      </c>
      <c r="Q457" s="193">
        <v>0</v>
      </c>
      <c r="R457" s="193">
        <v>0</v>
      </c>
      <c r="S457" s="193">
        <v>0</v>
      </c>
      <c r="T457" s="193">
        <f>SUM(H457:S457)</f>
        <v>0</v>
      </c>
      <c r="U457"/>
      <c r="V457">
        <f>+PRESUPUESTO22[[#This Row],[EJECUTADO ]]-SUM(PRESUPUESTO22[[#This Row],[   ENERO ]:[DIC]])</f>
        <v>0</v>
      </c>
      <c r="W457"/>
      <c r="X457"/>
    </row>
    <row r="458" spans="1:24" ht="15.95" customHeight="1" x14ac:dyDescent="0.25">
      <c r="A458" s="52"/>
      <c r="B458" s="142">
        <v>8010114</v>
      </c>
      <c r="C458" s="130" t="str">
        <f t="shared" si="172"/>
        <v>E-08010114</v>
      </c>
      <c r="D458" s="130">
        <v>408</v>
      </c>
      <c r="E458" s="142" t="s">
        <v>72</v>
      </c>
      <c r="F458" s="356" t="s">
        <v>368</v>
      </c>
      <c r="G458" s="193">
        <v>300</v>
      </c>
      <c r="H458" s="193">
        <v>0</v>
      </c>
      <c r="I458" s="193">
        <v>0</v>
      </c>
      <c r="J458" s="193">
        <v>249</v>
      </c>
      <c r="K458" s="193">
        <v>0</v>
      </c>
      <c r="L458" s="193">
        <v>0</v>
      </c>
      <c r="M458" s="193">
        <v>0</v>
      </c>
      <c r="N458" s="193">
        <v>0</v>
      </c>
      <c r="O458" s="193">
        <v>0</v>
      </c>
      <c r="P458" s="193">
        <v>0</v>
      </c>
      <c r="Q458" s="193">
        <v>0</v>
      </c>
      <c r="R458" s="193">
        <v>0</v>
      </c>
      <c r="S458" s="193">
        <v>0</v>
      </c>
      <c r="T458" s="193">
        <f>SUM(H458:S458)</f>
        <v>249</v>
      </c>
      <c r="U458"/>
      <c r="V458">
        <f>+PRESUPUESTO22[[#This Row],[EJECUTADO ]]-SUM(PRESUPUESTO22[[#This Row],[   ENERO ]:[DIC]])</f>
        <v>0</v>
      </c>
      <c r="W458"/>
      <c r="X458"/>
    </row>
    <row r="459" spans="1:24" ht="15.95" customHeight="1" x14ac:dyDescent="0.25">
      <c r="A459" s="52"/>
      <c r="B459" s="133">
        <v>8010115</v>
      </c>
      <c r="C459" s="130" t="str">
        <f t="shared" si="172"/>
        <v>E-08010115</v>
      </c>
      <c r="D459" s="130">
        <v>409</v>
      </c>
      <c r="E459" s="133" t="s">
        <v>72</v>
      </c>
      <c r="F459" s="356" t="s">
        <v>369</v>
      </c>
      <c r="G459" s="193">
        <v>250</v>
      </c>
      <c r="H459" s="193">
        <v>0</v>
      </c>
      <c r="I459" s="193">
        <v>0</v>
      </c>
      <c r="J459" s="193">
        <v>281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93">
        <v>0</v>
      </c>
      <c r="Q459" s="193">
        <v>0</v>
      </c>
      <c r="R459" s="193">
        <v>0</v>
      </c>
      <c r="S459" s="193">
        <v>0</v>
      </c>
      <c r="T459" s="193">
        <f>SUM(H459:S459)</f>
        <v>281</v>
      </c>
      <c r="U459"/>
      <c r="V459">
        <f>+PRESUPUESTO22[[#This Row],[EJECUTADO ]]-SUM(PRESUPUESTO22[[#This Row],[   ENERO ]:[DIC]])</f>
        <v>0</v>
      </c>
      <c r="W459"/>
      <c r="X459"/>
    </row>
    <row r="460" spans="1:24" ht="15.95" customHeight="1" x14ac:dyDescent="0.25">
      <c r="A460" s="52">
        <v>2</v>
      </c>
      <c r="B460" s="151">
        <v>80102</v>
      </c>
      <c r="C460" s="130" t="str">
        <f t="shared" si="172"/>
        <v>E-080102</v>
      </c>
      <c r="D460" s="130">
        <v>410</v>
      </c>
      <c r="E460" s="151" t="s">
        <v>72</v>
      </c>
      <c r="F460" s="208" t="s">
        <v>171</v>
      </c>
      <c r="G460" s="192">
        <v>13200</v>
      </c>
      <c r="H460" s="192">
        <f>SUM(H461:H463)</f>
        <v>0</v>
      </c>
      <c r="I460" s="192">
        <f t="shared" ref="I460:T460" si="188">SUM(I461:I463)</f>
        <v>0</v>
      </c>
      <c r="J460" s="192">
        <f t="shared" si="188"/>
        <v>1728</v>
      </c>
      <c r="K460" s="192">
        <f t="shared" si="188"/>
        <v>0</v>
      </c>
      <c r="L460" s="192">
        <f t="shared" si="188"/>
        <v>0</v>
      </c>
      <c r="M460" s="192">
        <f t="shared" si="188"/>
        <v>0</v>
      </c>
      <c r="N460" s="192">
        <f t="shared" si="188"/>
        <v>239</v>
      </c>
      <c r="O460" s="192">
        <f t="shared" si="188"/>
        <v>0</v>
      </c>
      <c r="P460" s="192">
        <f t="shared" si="188"/>
        <v>0</v>
      </c>
      <c r="Q460" s="192">
        <f t="shared" si="188"/>
        <v>0</v>
      </c>
      <c r="R460" s="192">
        <f t="shared" si="188"/>
        <v>0</v>
      </c>
      <c r="S460" s="192">
        <f t="shared" si="188"/>
        <v>0</v>
      </c>
      <c r="T460" s="192">
        <f t="shared" si="188"/>
        <v>1967</v>
      </c>
      <c r="U460"/>
      <c r="V460">
        <f>+PRESUPUESTO22[[#This Row],[EJECUTADO ]]-SUM(PRESUPUESTO22[[#This Row],[   ENERO ]:[DIC]])</f>
        <v>0</v>
      </c>
      <c r="W460"/>
      <c r="X460"/>
    </row>
    <row r="461" spans="1:24" ht="15.95" customHeight="1" x14ac:dyDescent="0.25">
      <c r="A461" s="52"/>
      <c r="B461" s="133">
        <v>8010201</v>
      </c>
      <c r="C461" s="130" t="str">
        <f t="shared" si="172"/>
        <v>E-08010201</v>
      </c>
      <c r="D461" s="130">
        <v>411</v>
      </c>
      <c r="E461" s="133" t="s">
        <v>69</v>
      </c>
      <c r="F461" s="356" t="s">
        <v>370</v>
      </c>
      <c r="G461" s="193"/>
      <c r="H461" s="193">
        <v>0</v>
      </c>
      <c r="I461" s="193">
        <v>0</v>
      </c>
      <c r="J461" s="193">
        <v>790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93">
        <v>0</v>
      </c>
      <c r="R461" s="193">
        <v>0</v>
      </c>
      <c r="S461" s="193">
        <v>0</v>
      </c>
      <c r="T461" s="193">
        <f>SUM(H461:S461)</f>
        <v>790</v>
      </c>
      <c r="U461"/>
      <c r="V461">
        <f>+PRESUPUESTO22[[#This Row],[EJECUTADO ]]-SUM(PRESUPUESTO22[[#This Row],[   ENERO ]:[DIC]])</f>
        <v>0</v>
      </c>
      <c r="W461"/>
      <c r="X461"/>
    </row>
    <row r="462" spans="1:24" ht="15.95" customHeight="1" x14ac:dyDescent="0.25">
      <c r="A462" s="52"/>
      <c r="B462" s="133">
        <v>8010202</v>
      </c>
      <c r="C462" s="130" t="str">
        <f t="shared" ref="C462:C533" si="189">"E"&amp;"-0"&amp;B462</f>
        <v>E-08010202</v>
      </c>
      <c r="D462" s="130">
        <v>412</v>
      </c>
      <c r="E462" s="133" t="s">
        <v>69</v>
      </c>
      <c r="F462" s="356" t="s">
        <v>371</v>
      </c>
      <c r="G462" s="193"/>
      <c r="H462" s="193">
        <v>0</v>
      </c>
      <c r="I462" s="193">
        <v>0</v>
      </c>
      <c r="J462" s="193">
        <v>938</v>
      </c>
      <c r="K462" s="193">
        <v>0</v>
      </c>
      <c r="L462" s="193">
        <v>0</v>
      </c>
      <c r="M462" s="193">
        <v>0</v>
      </c>
      <c r="N462" s="193">
        <v>0</v>
      </c>
      <c r="O462" s="193">
        <v>0</v>
      </c>
      <c r="P462" s="193">
        <v>0</v>
      </c>
      <c r="Q462" s="193">
        <v>0</v>
      </c>
      <c r="R462" s="193">
        <v>0</v>
      </c>
      <c r="S462" s="193">
        <v>0</v>
      </c>
      <c r="T462" s="193">
        <f>SUM(H462:S462)</f>
        <v>938</v>
      </c>
      <c r="U462"/>
      <c r="V462">
        <f>+PRESUPUESTO22[[#This Row],[EJECUTADO ]]-SUM(PRESUPUESTO22[[#This Row],[   ENERO ]:[DIC]])</f>
        <v>0</v>
      </c>
      <c r="W462"/>
      <c r="X462"/>
    </row>
    <row r="463" spans="1:24" ht="15.95" customHeight="1" x14ac:dyDescent="0.25">
      <c r="A463" s="52"/>
      <c r="B463" s="133">
        <v>8010203</v>
      </c>
      <c r="C463" s="130" t="str">
        <f t="shared" si="189"/>
        <v>E-08010203</v>
      </c>
      <c r="D463" s="130">
        <v>413</v>
      </c>
      <c r="E463" s="133" t="s">
        <v>69</v>
      </c>
      <c r="F463" s="356" t="s">
        <v>372</v>
      </c>
      <c r="G463" s="193"/>
      <c r="H463" s="193">
        <v>0</v>
      </c>
      <c r="I463" s="193">
        <v>0</v>
      </c>
      <c r="J463" s="193">
        <v>0</v>
      </c>
      <c r="K463" s="193">
        <v>0</v>
      </c>
      <c r="L463" s="193">
        <v>0</v>
      </c>
      <c r="M463" s="193">
        <v>0</v>
      </c>
      <c r="N463" s="193">
        <v>239</v>
      </c>
      <c r="O463" s="193">
        <v>0</v>
      </c>
      <c r="P463" s="193">
        <v>0</v>
      </c>
      <c r="Q463" s="193">
        <v>0</v>
      </c>
      <c r="R463" s="193">
        <v>0</v>
      </c>
      <c r="S463" s="193">
        <v>0</v>
      </c>
      <c r="T463" s="193">
        <f>SUM(H463:S463)</f>
        <v>239</v>
      </c>
      <c r="U463"/>
      <c r="V463">
        <f>+PRESUPUESTO22[[#This Row],[EJECUTADO ]]-SUM(PRESUPUESTO22[[#This Row],[   ENERO ]:[DIC]])</f>
        <v>0</v>
      </c>
      <c r="W463"/>
      <c r="X463"/>
    </row>
    <row r="464" spans="1:24" ht="18" customHeight="1" x14ac:dyDescent="0.25">
      <c r="A464" s="51">
        <v>2</v>
      </c>
      <c r="B464" s="139">
        <v>802</v>
      </c>
      <c r="C464" s="130" t="str">
        <f t="shared" si="189"/>
        <v>E-0802</v>
      </c>
      <c r="D464" s="130">
        <v>414</v>
      </c>
      <c r="E464" s="139" t="s">
        <v>72</v>
      </c>
      <c r="F464" s="189" t="s">
        <v>373</v>
      </c>
      <c r="G464" s="190">
        <v>30000</v>
      </c>
      <c r="H464" s="190">
        <f t="shared" ref="H464:T464" si="190">+H465+H472</f>
        <v>3154</v>
      </c>
      <c r="I464" s="190">
        <f t="shared" si="190"/>
        <v>1115</v>
      </c>
      <c r="J464" s="190">
        <f t="shared" si="190"/>
        <v>1440</v>
      </c>
      <c r="K464" s="190">
        <f t="shared" si="190"/>
        <v>4070</v>
      </c>
      <c r="L464" s="190">
        <f t="shared" si="190"/>
        <v>2140</v>
      </c>
      <c r="M464" s="190">
        <f t="shared" si="190"/>
        <v>1189</v>
      </c>
      <c r="N464" s="190">
        <f t="shared" si="190"/>
        <v>1810</v>
      </c>
      <c r="O464" s="190">
        <f t="shared" si="190"/>
        <v>3123</v>
      </c>
      <c r="P464" s="190">
        <f t="shared" si="190"/>
        <v>5017</v>
      </c>
      <c r="Q464" s="190">
        <f t="shared" si="190"/>
        <v>22381</v>
      </c>
      <c r="R464" s="190">
        <f t="shared" si="190"/>
        <v>2498</v>
      </c>
      <c r="S464" s="190">
        <f t="shared" si="190"/>
        <v>0</v>
      </c>
      <c r="T464" s="190">
        <f t="shared" si="190"/>
        <v>47937</v>
      </c>
      <c r="U464"/>
      <c r="V464">
        <f>+PRESUPUESTO22[[#This Row],[EJECUTADO ]]-SUM(PRESUPUESTO22[[#This Row],[   ENERO ]:[DIC]])</f>
        <v>0</v>
      </c>
      <c r="W464"/>
      <c r="X464"/>
    </row>
    <row r="465" spans="1:24" ht="15.95" customHeight="1" x14ac:dyDescent="0.25">
      <c r="A465" s="51" t="s">
        <v>1</v>
      </c>
      <c r="B465" s="152">
        <v>80201</v>
      </c>
      <c r="C465" s="130" t="str">
        <f t="shared" si="189"/>
        <v>E-080201</v>
      </c>
      <c r="D465" s="130">
        <v>415</v>
      </c>
      <c r="E465" s="152" t="s">
        <v>69</v>
      </c>
      <c r="F465" s="210" t="s">
        <v>374</v>
      </c>
      <c r="G465" s="211">
        <f t="shared" ref="G465:T465" si="191">SUM(G466:G470)</f>
        <v>0</v>
      </c>
      <c r="H465" s="211">
        <f t="shared" si="191"/>
        <v>3154</v>
      </c>
      <c r="I465" s="211">
        <f t="shared" si="191"/>
        <v>0</v>
      </c>
      <c r="J465" s="211">
        <f t="shared" si="191"/>
        <v>276</v>
      </c>
      <c r="K465" s="211">
        <f t="shared" si="191"/>
        <v>1261</v>
      </c>
      <c r="L465" s="211">
        <f t="shared" si="191"/>
        <v>0</v>
      </c>
      <c r="M465" s="211">
        <f t="shared" si="191"/>
        <v>901</v>
      </c>
      <c r="N465" s="211">
        <f t="shared" si="191"/>
        <v>0</v>
      </c>
      <c r="O465" s="211">
        <f t="shared" si="191"/>
        <v>0</v>
      </c>
      <c r="P465" s="211">
        <f t="shared" si="191"/>
        <v>1440</v>
      </c>
      <c r="Q465" s="211">
        <f t="shared" si="191"/>
        <v>0</v>
      </c>
      <c r="R465" s="211">
        <f t="shared" si="191"/>
        <v>0</v>
      </c>
      <c r="S465" s="211">
        <f t="shared" si="191"/>
        <v>0</v>
      </c>
      <c r="T465" s="211">
        <f t="shared" si="191"/>
        <v>7032</v>
      </c>
      <c r="U465"/>
      <c r="V465">
        <f>+PRESUPUESTO22[[#This Row],[EJECUTADO ]]-SUM(PRESUPUESTO22[[#This Row],[   ENERO ]:[DIC]])</f>
        <v>0</v>
      </c>
      <c r="W465"/>
      <c r="X465"/>
    </row>
    <row r="466" spans="1:24" ht="15.95" customHeight="1" x14ac:dyDescent="0.25">
      <c r="A466" s="52"/>
      <c r="B466" s="132">
        <v>8020101</v>
      </c>
      <c r="C466" s="130" t="str">
        <f t="shared" si="189"/>
        <v>E-08020101</v>
      </c>
      <c r="D466" s="130">
        <v>416</v>
      </c>
      <c r="E466" s="132" t="s">
        <v>69</v>
      </c>
      <c r="F466" s="359" t="s">
        <v>375</v>
      </c>
      <c r="G466" s="193">
        <v>0</v>
      </c>
      <c r="H466" s="193">
        <f>3153.5+0.5</f>
        <v>3154</v>
      </c>
      <c r="I466" s="193">
        <v>0</v>
      </c>
      <c r="J466" s="193">
        <v>0</v>
      </c>
      <c r="K466" s="193">
        <v>0</v>
      </c>
      <c r="L466" s="193">
        <v>0</v>
      </c>
      <c r="M466" s="193">
        <v>0</v>
      </c>
      <c r="N466" s="193">
        <v>0</v>
      </c>
      <c r="O466" s="193">
        <v>0</v>
      </c>
      <c r="P466" s="193">
        <v>0</v>
      </c>
      <c r="Q466" s="193">
        <v>0</v>
      </c>
      <c r="R466" s="193">
        <v>0</v>
      </c>
      <c r="S466" s="193">
        <v>0</v>
      </c>
      <c r="T466" s="193">
        <f t="shared" ref="T466:T471" si="192">SUM(H466:S466)</f>
        <v>3154</v>
      </c>
      <c r="U466"/>
      <c r="V466">
        <f>+PRESUPUESTO22[[#This Row],[EJECUTADO ]]-SUM(PRESUPUESTO22[[#This Row],[   ENERO ]:[DIC]])</f>
        <v>0</v>
      </c>
      <c r="W466"/>
      <c r="X466"/>
    </row>
    <row r="467" spans="1:24" ht="15.95" customHeight="1" x14ac:dyDescent="0.25">
      <c r="A467" s="52"/>
      <c r="B467" s="132">
        <v>8020102</v>
      </c>
      <c r="C467" s="130" t="str">
        <f t="shared" si="189"/>
        <v>E-08020102</v>
      </c>
      <c r="D467" s="130">
        <v>417</v>
      </c>
      <c r="E467" s="132" t="s">
        <v>69</v>
      </c>
      <c r="F467" s="359" t="s">
        <v>376</v>
      </c>
      <c r="G467" s="193">
        <v>0</v>
      </c>
      <c r="H467" s="193">
        <v>0</v>
      </c>
      <c r="I467" s="193">
        <v>0</v>
      </c>
      <c r="J467" s="193">
        <v>276</v>
      </c>
      <c r="K467" s="193">
        <v>0</v>
      </c>
      <c r="L467" s="193">
        <v>0</v>
      </c>
      <c r="M467" s="193">
        <v>0</v>
      </c>
      <c r="N467" s="193">
        <v>0</v>
      </c>
      <c r="O467" s="193">
        <v>0</v>
      </c>
      <c r="P467" s="193">
        <v>0</v>
      </c>
      <c r="Q467" s="193">
        <v>0</v>
      </c>
      <c r="R467" s="193">
        <v>0</v>
      </c>
      <c r="S467" s="193">
        <v>0</v>
      </c>
      <c r="T467" s="193">
        <f t="shared" si="192"/>
        <v>276</v>
      </c>
      <c r="U467"/>
      <c r="V467">
        <f>+PRESUPUESTO22[[#This Row],[EJECUTADO ]]-SUM(PRESUPUESTO22[[#This Row],[   ENERO ]:[DIC]])</f>
        <v>0</v>
      </c>
      <c r="W467"/>
      <c r="X467"/>
    </row>
    <row r="468" spans="1:24" ht="15.95" customHeight="1" x14ac:dyDescent="0.25">
      <c r="A468" s="52"/>
      <c r="B468" s="132">
        <v>8020103</v>
      </c>
      <c r="C468" s="130" t="str">
        <f t="shared" si="189"/>
        <v>E-08020103</v>
      </c>
      <c r="D468" s="130">
        <v>418</v>
      </c>
      <c r="E468" s="132" t="s">
        <v>69</v>
      </c>
      <c r="F468" s="359" t="s">
        <v>377</v>
      </c>
      <c r="G468" s="193">
        <v>0</v>
      </c>
      <c r="H468" s="193">
        <v>0</v>
      </c>
      <c r="I468" s="193">
        <v>0</v>
      </c>
      <c r="J468" s="193">
        <v>0</v>
      </c>
      <c r="K468" s="193">
        <f>1261.25-0.25</f>
        <v>1261</v>
      </c>
      <c r="L468" s="193">
        <v>0</v>
      </c>
      <c r="M468" s="193">
        <v>0</v>
      </c>
      <c r="N468" s="193">
        <v>0</v>
      </c>
      <c r="O468" s="193">
        <v>0</v>
      </c>
      <c r="P468" s="193">
        <v>0</v>
      </c>
      <c r="Q468" s="193">
        <v>0</v>
      </c>
      <c r="R468" s="193">
        <v>0</v>
      </c>
      <c r="S468" s="193">
        <v>0</v>
      </c>
      <c r="T468" s="193">
        <f t="shared" si="192"/>
        <v>1261</v>
      </c>
      <c r="U468"/>
      <c r="V468">
        <f>+PRESUPUESTO22[[#This Row],[EJECUTADO ]]-SUM(PRESUPUESTO22[[#This Row],[   ENERO ]:[DIC]])</f>
        <v>0</v>
      </c>
      <c r="W468"/>
      <c r="X468"/>
    </row>
    <row r="469" spans="1:24" ht="15.95" customHeight="1" x14ac:dyDescent="0.25">
      <c r="A469" s="52"/>
      <c r="B469" s="132">
        <v>8020104</v>
      </c>
      <c r="C469" s="130" t="str">
        <f t="shared" si="189"/>
        <v>E-08020104</v>
      </c>
      <c r="D469" s="130">
        <v>419</v>
      </c>
      <c r="E469" s="132" t="s">
        <v>69</v>
      </c>
      <c r="F469" s="359" t="s">
        <v>378</v>
      </c>
      <c r="G469" s="193">
        <v>0</v>
      </c>
      <c r="H469" s="193">
        <v>0</v>
      </c>
      <c r="I469" s="193">
        <v>0</v>
      </c>
      <c r="J469" s="193">
        <v>0</v>
      </c>
      <c r="K469" s="193">
        <v>0</v>
      </c>
      <c r="L469" s="193">
        <v>0</v>
      </c>
      <c r="M469" s="193">
        <v>901</v>
      </c>
      <c r="N469" s="193">
        <v>0</v>
      </c>
      <c r="O469" s="193">
        <v>0</v>
      </c>
      <c r="P469" s="193">
        <v>0</v>
      </c>
      <c r="Q469" s="193">
        <v>0</v>
      </c>
      <c r="R469" s="193">
        <v>0</v>
      </c>
      <c r="S469" s="193">
        <v>0</v>
      </c>
      <c r="T469" s="193">
        <f t="shared" si="192"/>
        <v>901</v>
      </c>
      <c r="U469"/>
      <c r="V469">
        <f>+PRESUPUESTO22[[#This Row],[EJECUTADO ]]-SUM(PRESUPUESTO22[[#This Row],[   ENERO ]:[DIC]])</f>
        <v>0</v>
      </c>
      <c r="W469"/>
      <c r="X469"/>
    </row>
    <row r="470" spans="1:24" ht="15.95" customHeight="1" x14ac:dyDescent="0.25">
      <c r="A470" s="52"/>
      <c r="B470" s="132">
        <v>8020105</v>
      </c>
      <c r="C470" s="130" t="str">
        <f t="shared" si="189"/>
        <v>E-08020105</v>
      </c>
      <c r="D470" s="130">
        <v>420</v>
      </c>
      <c r="E470" s="132" t="s">
        <v>69</v>
      </c>
      <c r="F470" s="359" t="s">
        <v>379</v>
      </c>
      <c r="G470" s="193">
        <v>0</v>
      </c>
      <c r="H470" s="193">
        <v>0</v>
      </c>
      <c r="I470" s="193">
        <v>0</v>
      </c>
      <c r="J470" s="193">
        <v>0</v>
      </c>
      <c r="K470" s="193">
        <v>0</v>
      </c>
      <c r="L470" s="193">
        <v>0</v>
      </c>
      <c r="M470" s="193">
        <v>0</v>
      </c>
      <c r="N470" s="193">
        <v>0</v>
      </c>
      <c r="O470" s="193">
        <v>0</v>
      </c>
      <c r="P470" s="193">
        <v>1440</v>
      </c>
      <c r="Q470" s="193">
        <v>0</v>
      </c>
      <c r="R470" s="193">
        <v>0</v>
      </c>
      <c r="S470" s="193">
        <v>0</v>
      </c>
      <c r="T470" s="193">
        <f t="shared" si="192"/>
        <v>1440</v>
      </c>
      <c r="U470"/>
      <c r="V470">
        <f>+PRESUPUESTO22[[#This Row],[EJECUTADO ]]-SUM(PRESUPUESTO22[[#This Row],[   ENERO ]:[DIC]])</f>
        <v>0</v>
      </c>
      <c r="W470"/>
      <c r="X470"/>
    </row>
    <row r="471" spans="1:24" ht="15.95" customHeight="1" x14ac:dyDescent="0.25">
      <c r="A471" s="52"/>
      <c r="B471" s="156">
        <v>8020106</v>
      </c>
      <c r="C471" s="130" t="str">
        <f>"E"&amp;"-0"&amp;B471</f>
        <v>E-08020106</v>
      </c>
      <c r="D471" s="130">
        <v>421</v>
      </c>
      <c r="E471" s="132" t="s">
        <v>69</v>
      </c>
      <c r="F471" s="359" t="s">
        <v>1405</v>
      </c>
      <c r="G471" s="193">
        <v>0</v>
      </c>
      <c r="H471" s="193"/>
      <c r="I471" s="193"/>
      <c r="J471" s="193"/>
      <c r="K471" s="193"/>
      <c r="L471" s="193"/>
      <c r="M471" s="193"/>
      <c r="N471" s="193"/>
      <c r="O471" s="193"/>
      <c r="P471" s="193"/>
      <c r="Q471" s="193">
        <v>0</v>
      </c>
      <c r="R471" s="193">
        <v>1225</v>
      </c>
      <c r="S471" s="193"/>
      <c r="T471" s="193">
        <f t="shared" si="192"/>
        <v>1225</v>
      </c>
      <c r="U471"/>
      <c r="V471">
        <f>+PRESUPUESTO22[[#This Row],[EJECUTADO ]]-SUM(PRESUPUESTO22[[#This Row],[   ENERO ]:[DIC]])</f>
        <v>0</v>
      </c>
      <c r="W471"/>
      <c r="X471"/>
    </row>
    <row r="472" spans="1:24" ht="15.95" customHeight="1" x14ac:dyDescent="0.25">
      <c r="A472" s="52" t="s">
        <v>1</v>
      </c>
      <c r="B472" s="153">
        <v>80202</v>
      </c>
      <c r="C472" s="130" t="str">
        <f t="shared" si="189"/>
        <v>E-080202</v>
      </c>
      <c r="D472" s="130">
        <v>422</v>
      </c>
      <c r="E472" s="153" t="s">
        <v>69</v>
      </c>
      <c r="F472" s="212" t="s">
        <v>380</v>
      </c>
      <c r="G472" s="211">
        <f t="shared" ref="G472" si="193">SUM(G473:G483)</f>
        <v>0</v>
      </c>
      <c r="H472" s="211">
        <f t="shared" ref="H472:T472" si="194">SUM(H473:H491)</f>
        <v>0</v>
      </c>
      <c r="I472" s="211">
        <f t="shared" si="194"/>
        <v>1115</v>
      </c>
      <c r="J472" s="211">
        <f t="shared" si="194"/>
        <v>1164</v>
      </c>
      <c r="K472" s="211">
        <f t="shared" si="194"/>
        <v>2809</v>
      </c>
      <c r="L472" s="211">
        <f t="shared" si="194"/>
        <v>2140</v>
      </c>
      <c r="M472" s="211">
        <f t="shared" si="194"/>
        <v>288</v>
      </c>
      <c r="N472" s="211">
        <f t="shared" si="194"/>
        <v>1810</v>
      </c>
      <c r="O472" s="211">
        <f t="shared" si="194"/>
        <v>3123</v>
      </c>
      <c r="P472" s="211">
        <f t="shared" si="194"/>
        <v>3577</v>
      </c>
      <c r="Q472" s="211">
        <f t="shared" si="194"/>
        <v>22381</v>
      </c>
      <c r="R472" s="211">
        <f t="shared" si="194"/>
        <v>2498</v>
      </c>
      <c r="S472" s="211">
        <f t="shared" si="194"/>
        <v>0</v>
      </c>
      <c r="T472" s="211">
        <f t="shared" si="194"/>
        <v>40905</v>
      </c>
      <c r="U472"/>
      <c r="V472">
        <f>+PRESUPUESTO22[[#This Row],[EJECUTADO ]]-SUM(PRESUPUESTO22[[#This Row],[   ENERO ]:[DIC]])</f>
        <v>0</v>
      </c>
      <c r="W472"/>
      <c r="X472"/>
    </row>
    <row r="473" spans="1:24" ht="15.95" customHeight="1" x14ac:dyDescent="0.25">
      <c r="A473" s="52"/>
      <c r="B473" s="132">
        <v>8020201</v>
      </c>
      <c r="C473" s="130" t="str">
        <f t="shared" si="189"/>
        <v>E-08020201</v>
      </c>
      <c r="D473" s="130">
        <v>423</v>
      </c>
      <c r="E473" s="132" t="s">
        <v>69</v>
      </c>
      <c r="F473" s="359" t="s">
        <v>381</v>
      </c>
      <c r="G473" s="193">
        <v>0</v>
      </c>
      <c r="H473" s="193">
        <v>0</v>
      </c>
      <c r="I473" s="193">
        <v>0</v>
      </c>
      <c r="J473" s="193">
        <v>249</v>
      </c>
      <c r="K473" s="193">
        <v>0</v>
      </c>
      <c r="L473" s="193">
        <v>0</v>
      </c>
      <c r="M473" s="193">
        <v>0</v>
      </c>
      <c r="N473" s="193">
        <v>0</v>
      </c>
      <c r="O473" s="193">
        <v>0</v>
      </c>
      <c r="P473" s="193">
        <v>0</v>
      </c>
      <c r="Q473" s="193">
        <v>0</v>
      </c>
      <c r="R473" s="193">
        <v>0</v>
      </c>
      <c r="S473" s="193">
        <v>0</v>
      </c>
      <c r="T473" s="193">
        <f t="shared" ref="T473:T491" si="195">SUM(H473:S473)</f>
        <v>249</v>
      </c>
      <c r="U473"/>
      <c r="V473">
        <f>+PRESUPUESTO22[[#This Row],[EJECUTADO ]]-SUM(PRESUPUESTO22[[#This Row],[   ENERO ]:[DIC]])</f>
        <v>0</v>
      </c>
      <c r="W473"/>
      <c r="X473"/>
    </row>
    <row r="474" spans="1:24" ht="15.95" customHeight="1" x14ac:dyDescent="0.25">
      <c r="A474" s="52"/>
      <c r="B474" s="132">
        <v>8020202</v>
      </c>
      <c r="C474" s="130" t="str">
        <f t="shared" si="189"/>
        <v>E-08020202</v>
      </c>
      <c r="D474" s="130">
        <v>424</v>
      </c>
      <c r="E474" s="132" t="s">
        <v>69</v>
      </c>
      <c r="F474" s="359" t="s">
        <v>382</v>
      </c>
      <c r="G474" s="193">
        <v>0</v>
      </c>
      <c r="H474" s="193">
        <v>0</v>
      </c>
      <c r="I474" s="193">
        <v>1115</v>
      </c>
      <c r="J474" s="193">
        <v>0</v>
      </c>
      <c r="K474" s="193">
        <v>0</v>
      </c>
      <c r="L474" s="193">
        <v>0</v>
      </c>
      <c r="M474" s="193">
        <v>0</v>
      </c>
      <c r="N474" s="193">
        <v>0</v>
      </c>
      <c r="O474" s="193">
        <v>0</v>
      </c>
      <c r="P474" s="193">
        <v>0</v>
      </c>
      <c r="Q474" s="193">
        <v>0</v>
      </c>
      <c r="R474" s="193">
        <v>0</v>
      </c>
      <c r="S474" s="193">
        <v>0</v>
      </c>
      <c r="T474" s="193">
        <f t="shared" si="195"/>
        <v>1115</v>
      </c>
      <c r="U474"/>
      <c r="V474">
        <f>+PRESUPUESTO22[[#This Row],[EJECUTADO ]]-SUM(PRESUPUESTO22[[#This Row],[   ENERO ]:[DIC]])</f>
        <v>0</v>
      </c>
      <c r="W474"/>
      <c r="X474"/>
    </row>
    <row r="475" spans="1:24" ht="15.95" customHeight="1" x14ac:dyDescent="0.25">
      <c r="A475" s="52"/>
      <c r="B475" s="132">
        <v>8020203</v>
      </c>
      <c r="C475" s="130" t="str">
        <f t="shared" si="189"/>
        <v>E-08020203</v>
      </c>
      <c r="D475" s="130">
        <v>425</v>
      </c>
      <c r="E475" s="132" t="s">
        <v>69</v>
      </c>
      <c r="F475" s="359" t="s">
        <v>383</v>
      </c>
      <c r="G475" s="193">
        <v>0</v>
      </c>
      <c r="H475" s="193">
        <v>0</v>
      </c>
      <c r="I475" s="193">
        <v>0</v>
      </c>
      <c r="J475" s="193">
        <v>125</v>
      </c>
      <c r="K475" s="193">
        <v>0</v>
      </c>
      <c r="L475" s="193">
        <v>0</v>
      </c>
      <c r="M475" s="193">
        <v>0</v>
      </c>
      <c r="N475" s="193">
        <v>0</v>
      </c>
      <c r="O475" s="193">
        <v>0</v>
      </c>
      <c r="P475" s="193">
        <v>0</v>
      </c>
      <c r="Q475" s="193">
        <v>0</v>
      </c>
      <c r="R475" s="193">
        <v>0</v>
      </c>
      <c r="S475" s="193">
        <v>0</v>
      </c>
      <c r="T475" s="193">
        <f t="shared" si="195"/>
        <v>125</v>
      </c>
      <c r="U475"/>
      <c r="V475">
        <f>+PRESUPUESTO22[[#This Row],[EJECUTADO ]]-SUM(PRESUPUESTO22[[#This Row],[   ENERO ]:[DIC]])</f>
        <v>0</v>
      </c>
      <c r="W475"/>
      <c r="X475"/>
    </row>
    <row r="476" spans="1:24" ht="15.95" customHeight="1" x14ac:dyDescent="0.25">
      <c r="A476" s="52"/>
      <c r="B476" s="132">
        <v>8020204</v>
      </c>
      <c r="C476" s="130" t="str">
        <f t="shared" si="189"/>
        <v>E-08020204</v>
      </c>
      <c r="D476" s="130">
        <v>426</v>
      </c>
      <c r="E476" s="154" t="s">
        <v>69</v>
      </c>
      <c r="F476" s="213" t="s">
        <v>384</v>
      </c>
      <c r="G476" s="193">
        <v>0</v>
      </c>
      <c r="H476" s="193">
        <v>0</v>
      </c>
      <c r="I476" s="193">
        <v>0</v>
      </c>
      <c r="J476" s="193">
        <v>790</v>
      </c>
      <c r="K476" s="193">
        <v>0</v>
      </c>
      <c r="L476" s="193">
        <v>0</v>
      </c>
      <c r="M476" s="193">
        <v>0</v>
      </c>
      <c r="N476" s="193">
        <v>0</v>
      </c>
      <c r="O476" s="193">
        <v>0</v>
      </c>
      <c r="P476" s="193">
        <v>0</v>
      </c>
      <c r="Q476" s="193">
        <v>0</v>
      </c>
      <c r="R476" s="193">
        <v>0</v>
      </c>
      <c r="S476" s="193">
        <v>0</v>
      </c>
      <c r="T476" s="193">
        <f t="shared" si="195"/>
        <v>790</v>
      </c>
      <c r="U476"/>
      <c r="V476">
        <f>+PRESUPUESTO22[[#This Row],[EJECUTADO ]]-SUM(PRESUPUESTO22[[#This Row],[   ENERO ]:[DIC]])</f>
        <v>0</v>
      </c>
      <c r="W476"/>
      <c r="X476"/>
    </row>
    <row r="477" spans="1:24" ht="15.95" customHeight="1" x14ac:dyDescent="0.25">
      <c r="A477" s="52"/>
      <c r="B477" s="132">
        <v>8020205</v>
      </c>
      <c r="C477" s="130" t="str">
        <f t="shared" si="189"/>
        <v>E-08020205</v>
      </c>
      <c r="D477" s="130">
        <v>427</v>
      </c>
      <c r="E477" s="132" t="s">
        <v>69</v>
      </c>
      <c r="F477" s="359" t="s">
        <v>385</v>
      </c>
      <c r="G477" s="360">
        <v>0</v>
      </c>
      <c r="H477" s="193">
        <v>0</v>
      </c>
      <c r="I477" s="193">
        <v>0</v>
      </c>
      <c r="J477" s="193">
        <v>0</v>
      </c>
      <c r="K477" s="193">
        <v>280</v>
      </c>
      <c r="L477" s="193">
        <v>0</v>
      </c>
      <c r="M477" s="193">
        <v>0</v>
      </c>
      <c r="N477" s="193">
        <v>0</v>
      </c>
      <c r="O477" s="193">
        <v>0</v>
      </c>
      <c r="P477" s="193">
        <v>0</v>
      </c>
      <c r="Q477" s="193">
        <v>0</v>
      </c>
      <c r="R477" s="193">
        <v>0</v>
      </c>
      <c r="S477" s="193">
        <v>0</v>
      </c>
      <c r="T477" s="193">
        <f t="shared" si="195"/>
        <v>280</v>
      </c>
      <c r="U477"/>
      <c r="V477">
        <f>+PRESUPUESTO22[[#This Row],[EJECUTADO ]]-SUM(PRESUPUESTO22[[#This Row],[   ENERO ]:[DIC]])</f>
        <v>0</v>
      </c>
      <c r="W477"/>
      <c r="X477"/>
    </row>
    <row r="478" spans="1:24" ht="15.95" customHeight="1" x14ac:dyDescent="0.25">
      <c r="A478" s="52"/>
      <c r="B478" s="132">
        <v>8020206</v>
      </c>
      <c r="C478" s="130" t="str">
        <f t="shared" si="189"/>
        <v>E-08020206</v>
      </c>
      <c r="D478" s="130">
        <v>428</v>
      </c>
      <c r="E478" s="132" t="s">
        <v>69</v>
      </c>
      <c r="F478" s="359" t="s">
        <v>386</v>
      </c>
      <c r="G478" s="360">
        <v>0</v>
      </c>
      <c r="H478" s="193">
        <v>0</v>
      </c>
      <c r="I478" s="193">
        <v>0</v>
      </c>
      <c r="J478" s="193">
        <v>0</v>
      </c>
      <c r="K478" s="193">
        <v>1110</v>
      </c>
      <c r="L478" s="193">
        <v>0</v>
      </c>
      <c r="M478" s="193">
        <v>0</v>
      </c>
      <c r="N478" s="193">
        <v>0</v>
      </c>
      <c r="O478" s="193">
        <v>0</v>
      </c>
      <c r="P478" s="193">
        <v>0</v>
      </c>
      <c r="Q478" s="193">
        <v>0</v>
      </c>
      <c r="R478" s="193">
        <v>0</v>
      </c>
      <c r="S478" s="193">
        <v>0</v>
      </c>
      <c r="T478" s="193">
        <f t="shared" si="195"/>
        <v>1110</v>
      </c>
      <c r="U478"/>
      <c r="V478">
        <f>+PRESUPUESTO22[[#This Row],[EJECUTADO ]]-SUM(PRESUPUESTO22[[#This Row],[   ENERO ]:[DIC]])</f>
        <v>0</v>
      </c>
      <c r="W478"/>
      <c r="X478"/>
    </row>
    <row r="479" spans="1:24" ht="15.95" customHeight="1" x14ac:dyDescent="0.25">
      <c r="A479" s="52"/>
      <c r="B479" s="132">
        <v>8020207</v>
      </c>
      <c r="C479" s="130" t="str">
        <f t="shared" si="189"/>
        <v>E-08020207</v>
      </c>
      <c r="D479" s="130">
        <v>429</v>
      </c>
      <c r="E479" s="132" t="s">
        <v>69</v>
      </c>
      <c r="F479" s="359" t="s">
        <v>387</v>
      </c>
      <c r="G479" s="360">
        <v>0</v>
      </c>
      <c r="H479" s="193">
        <v>0</v>
      </c>
      <c r="I479" s="193">
        <v>0</v>
      </c>
      <c r="J479" s="193">
        <v>0</v>
      </c>
      <c r="K479" s="193">
        <v>295</v>
      </c>
      <c r="L479" s="193">
        <v>0</v>
      </c>
      <c r="M479" s="193">
        <v>0</v>
      </c>
      <c r="N479" s="193">
        <v>0</v>
      </c>
      <c r="O479" s="193">
        <v>0</v>
      </c>
      <c r="P479" s="193">
        <v>0</v>
      </c>
      <c r="Q479" s="193">
        <v>0</v>
      </c>
      <c r="R479" s="193">
        <v>0</v>
      </c>
      <c r="S479" s="193">
        <v>0</v>
      </c>
      <c r="T479" s="193">
        <f t="shared" si="195"/>
        <v>295</v>
      </c>
      <c r="U479"/>
      <c r="V479">
        <f>+PRESUPUESTO22[[#This Row],[EJECUTADO ]]-SUM(PRESUPUESTO22[[#This Row],[   ENERO ]:[DIC]])</f>
        <v>0</v>
      </c>
      <c r="W479"/>
      <c r="X479"/>
    </row>
    <row r="480" spans="1:24" ht="15.95" customHeight="1" x14ac:dyDescent="0.25">
      <c r="A480" s="52"/>
      <c r="B480" s="132">
        <v>8020208</v>
      </c>
      <c r="C480" s="130" t="str">
        <f t="shared" si="189"/>
        <v>E-08020208</v>
      </c>
      <c r="D480" s="130">
        <v>430</v>
      </c>
      <c r="E480" s="132" t="s">
        <v>69</v>
      </c>
      <c r="F480" s="359" t="s">
        <v>388</v>
      </c>
      <c r="G480" s="360">
        <v>0</v>
      </c>
      <c r="H480" s="193">
        <v>0</v>
      </c>
      <c r="I480" s="193">
        <v>0</v>
      </c>
      <c r="J480" s="193">
        <v>0</v>
      </c>
      <c r="K480" s="193">
        <f>1124.25-0.25</f>
        <v>1124</v>
      </c>
      <c r="L480" s="193">
        <v>0</v>
      </c>
      <c r="M480" s="193">
        <v>0</v>
      </c>
      <c r="N480" s="193">
        <v>0</v>
      </c>
      <c r="O480" s="193">
        <v>0</v>
      </c>
      <c r="P480" s="193">
        <v>0</v>
      </c>
      <c r="Q480" s="193">
        <v>0</v>
      </c>
      <c r="R480" s="193">
        <v>0</v>
      </c>
      <c r="S480" s="193">
        <v>0</v>
      </c>
      <c r="T480" s="193">
        <f t="shared" si="195"/>
        <v>1124</v>
      </c>
      <c r="U480"/>
      <c r="V480">
        <f>+PRESUPUESTO22[[#This Row],[EJECUTADO ]]-SUM(PRESUPUESTO22[[#This Row],[   ENERO ]:[DIC]])</f>
        <v>0</v>
      </c>
      <c r="W480"/>
      <c r="X480"/>
    </row>
    <row r="481" spans="1:24" ht="15.95" customHeight="1" x14ac:dyDescent="0.25">
      <c r="A481" s="52"/>
      <c r="B481" s="132">
        <v>8020209</v>
      </c>
      <c r="C481" s="130" t="str">
        <f t="shared" si="189"/>
        <v>E-08020209</v>
      </c>
      <c r="D481" s="130">
        <v>431</v>
      </c>
      <c r="E481" s="132" t="s">
        <v>69</v>
      </c>
      <c r="F481" s="359" t="s">
        <v>389</v>
      </c>
      <c r="G481" s="360">
        <v>0</v>
      </c>
      <c r="H481" s="193">
        <v>0</v>
      </c>
      <c r="I481" s="193">
        <v>0</v>
      </c>
      <c r="J481" s="193">
        <v>0</v>
      </c>
      <c r="K481" s="193">
        <v>0</v>
      </c>
      <c r="L481" s="193">
        <v>1090</v>
      </c>
      <c r="M481" s="193">
        <v>0</v>
      </c>
      <c r="N481" s="193">
        <v>0</v>
      </c>
      <c r="O481" s="193">
        <v>0</v>
      </c>
      <c r="P481" s="193">
        <v>0</v>
      </c>
      <c r="Q481" s="193">
        <v>0</v>
      </c>
      <c r="R481" s="193">
        <v>0</v>
      </c>
      <c r="S481" s="193">
        <v>0</v>
      </c>
      <c r="T481" s="193">
        <f t="shared" si="195"/>
        <v>1090</v>
      </c>
      <c r="U481"/>
      <c r="V481">
        <f>+PRESUPUESTO22[[#This Row],[EJECUTADO ]]-SUM(PRESUPUESTO22[[#This Row],[   ENERO ]:[DIC]])</f>
        <v>0</v>
      </c>
      <c r="W481"/>
      <c r="X481"/>
    </row>
    <row r="482" spans="1:24" ht="15.95" customHeight="1" x14ac:dyDescent="0.25">
      <c r="A482" s="52"/>
      <c r="B482" s="132">
        <v>8020210</v>
      </c>
      <c r="C482" s="130" t="str">
        <f t="shared" si="189"/>
        <v>E-08020210</v>
      </c>
      <c r="D482" s="130">
        <v>432</v>
      </c>
      <c r="E482" s="132" t="s">
        <v>69</v>
      </c>
      <c r="F482" s="359" t="s">
        <v>390</v>
      </c>
      <c r="G482" s="360">
        <v>0</v>
      </c>
      <c r="H482" s="193">
        <v>0</v>
      </c>
      <c r="I482" s="193">
        <v>0</v>
      </c>
      <c r="J482" s="193">
        <v>0</v>
      </c>
      <c r="K482" s="193">
        <v>0</v>
      </c>
      <c r="L482" s="193">
        <v>1050</v>
      </c>
      <c r="M482" s="193">
        <v>0</v>
      </c>
      <c r="N482" s="193">
        <v>0</v>
      </c>
      <c r="O482" s="193">
        <v>0</v>
      </c>
      <c r="P482" s="193">
        <v>0</v>
      </c>
      <c r="Q482" s="193">
        <v>0</v>
      </c>
      <c r="R482" s="193">
        <v>0</v>
      </c>
      <c r="S482" s="193">
        <v>0</v>
      </c>
      <c r="T482" s="193">
        <f t="shared" si="195"/>
        <v>1050</v>
      </c>
      <c r="U482"/>
      <c r="V482">
        <f>+PRESUPUESTO22[[#This Row],[EJECUTADO ]]-SUM(PRESUPUESTO22[[#This Row],[   ENERO ]:[DIC]])</f>
        <v>0</v>
      </c>
      <c r="W482"/>
      <c r="X482"/>
    </row>
    <row r="483" spans="1:24" ht="15.95" customHeight="1" x14ac:dyDescent="0.25">
      <c r="A483" s="52"/>
      <c r="B483" s="132">
        <v>8020211</v>
      </c>
      <c r="C483" s="130" t="str">
        <f t="shared" si="189"/>
        <v>E-08020211</v>
      </c>
      <c r="D483" s="130">
        <v>433</v>
      </c>
      <c r="E483" s="132" t="s">
        <v>69</v>
      </c>
      <c r="F483" s="359" t="s">
        <v>391</v>
      </c>
      <c r="G483" s="360">
        <v>0</v>
      </c>
      <c r="H483" s="193">
        <v>0</v>
      </c>
      <c r="I483" s="193">
        <v>0</v>
      </c>
      <c r="J483" s="193">
        <v>0</v>
      </c>
      <c r="K483" s="193">
        <v>0</v>
      </c>
      <c r="L483" s="193">
        <v>0</v>
      </c>
      <c r="M483" s="193">
        <v>288</v>
      </c>
      <c r="N483" s="193">
        <v>0</v>
      </c>
      <c r="O483" s="193">
        <v>0</v>
      </c>
      <c r="P483" s="193">
        <v>0</v>
      </c>
      <c r="Q483" s="193">
        <v>0</v>
      </c>
      <c r="R483" s="193">
        <v>0</v>
      </c>
      <c r="S483" s="193">
        <v>0</v>
      </c>
      <c r="T483" s="193">
        <f t="shared" si="195"/>
        <v>288</v>
      </c>
      <c r="U483"/>
      <c r="V483">
        <f>+PRESUPUESTO22[[#This Row],[EJECUTADO ]]-SUM(PRESUPUESTO22[[#This Row],[   ENERO ]:[DIC]])</f>
        <v>0</v>
      </c>
      <c r="W483"/>
      <c r="X483"/>
    </row>
    <row r="484" spans="1:24" ht="15.95" customHeight="1" x14ac:dyDescent="0.25">
      <c r="A484" s="52"/>
      <c r="B484" s="132">
        <v>8020212</v>
      </c>
      <c r="C484" s="130" t="str">
        <f t="shared" si="189"/>
        <v>E-08020212</v>
      </c>
      <c r="D484" s="130">
        <v>434</v>
      </c>
      <c r="E484" s="132" t="s">
        <v>69</v>
      </c>
      <c r="F484" s="359" t="s">
        <v>392</v>
      </c>
      <c r="G484" s="360">
        <v>0</v>
      </c>
      <c r="H484" s="193">
        <v>0</v>
      </c>
      <c r="I484" s="193">
        <v>0</v>
      </c>
      <c r="J484" s="193">
        <v>0</v>
      </c>
      <c r="K484" s="193">
        <v>0</v>
      </c>
      <c r="L484" s="193">
        <v>0</v>
      </c>
      <c r="M484" s="193">
        <v>0</v>
      </c>
      <c r="N484" s="193">
        <v>1810</v>
      </c>
      <c r="O484" s="193">
        <v>0</v>
      </c>
      <c r="P484" s="193">
        <v>0</v>
      </c>
      <c r="Q484" s="193">
        <v>0</v>
      </c>
      <c r="R484" s="193">
        <v>0</v>
      </c>
      <c r="S484" s="193">
        <v>0</v>
      </c>
      <c r="T484" s="193">
        <f t="shared" si="195"/>
        <v>1810</v>
      </c>
      <c r="U484"/>
      <c r="V484">
        <f>+PRESUPUESTO22[[#This Row],[EJECUTADO ]]-SUM(PRESUPUESTO22[[#This Row],[   ENERO ]:[DIC]])</f>
        <v>0</v>
      </c>
      <c r="W484"/>
      <c r="X484"/>
    </row>
    <row r="485" spans="1:24" ht="15.95" customHeight="1" x14ac:dyDescent="0.25">
      <c r="A485" s="52"/>
      <c r="B485" s="132">
        <v>8020213</v>
      </c>
      <c r="C485" s="130" t="str">
        <f t="shared" si="189"/>
        <v>E-08020213</v>
      </c>
      <c r="D485" s="130">
        <v>435</v>
      </c>
      <c r="E485" s="132" t="s">
        <v>69</v>
      </c>
      <c r="F485" s="359" t="s">
        <v>393</v>
      </c>
      <c r="G485" s="360">
        <v>0</v>
      </c>
      <c r="H485" s="193">
        <v>0</v>
      </c>
      <c r="I485" s="193">
        <v>0</v>
      </c>
      <c r="J485" s="193">
        <v>0</v>
      </c>
      <c r="K485" s="193">
        <v>0</v>
      </c>
      <c r="L485" s="193">
        <v>0</v>
      </c>
      <c r="M485" s="193">
        <v>0</v>
      </c>
      <c r="N485" s="193">
        <v>0</v>
      </c>
      <c r="O485" s="193">
        <f>1803.92+0.08</f>
        <v>1804</v>
      </c>
      <c r="P485" s="193">
        <v>0</v>
      </c>
      <c r="Q485" s="193">
        <v>0</v>
      </c>
      <c r="R485" s="193">
        <v>0</v>
      </c>
      <c r="S485" s="193">
        <v>0</v>
      </c>
      <c r="T485" s="193">
        <f t="shared" si="195"/>
        <v>1804</v>
      </c>
      <c r="U485"/>
      <c r="V485">
        <f>+PRESUPUESTO22[[#This Row],[EJECUTADO ]]-SUM(PRESUPUESTO22[[#This Row],[   ENERO ]:[DIC]])</f>
        <v>0</v>
      </c>
      <c r="W485"/>
      <c r="X485"/>
    </row>
    <row r="486" spans="1:24" ht="15.95" customHeight="1" x14ac:dyDescent="0.25">
      <c r="A486" s="52"/>
      <c r="B486" s="132">
        <v>8020214</v>
      </c>
      <c r="C486" s="130" t="str">
        <f t="shared" si="189"/>
        <v>E-08020214</v>
      </c>
      <c r="D486" s="130">
        <v>436</v>
      </c>
      <c r="E486" s="132" t="s">
        <v>69</v>
      </c>
      <c r="F486" s="359" t="s">
        <v>394</v>
      </c>
      <c r="G486" s="360">
        <v>0</v>
      </c>
      <c r="H486" s="193">
        <v>0</v>
      </c>
      <c r="I486" s="193">
        <v>0</v>
      </c>
      <c r="J486" s="193">
        <v>0</v>
      </c>
      <c r="K486" s="193">
        <v>0</v>
      </c>
      <c r="L486" s="193">
        <v>0</v>
      </c>
      <c r="M486" s="193">
        <v>0</v>
      </c>
      <c r="N486" s="193">
        <v>0</v>
      </c>
      <c r="O486" s="193">
        <f>974.25-0.25</f>
        <v>974</v>
      </c>
      <c r="P486" s="193">
        <v>0</v>
      </c>
      <c r="Q486" s="193">
        <v>0</v>
      </c>
      <c r="R486" s="193">
        <v>0</v>
      </c>
      <c r="S486" s="193">
        <v>0</v>
      </c>
      <c r="T486" s="193">
        <f t="shared" si="195"/>
        <v>974</v>
      </c>
      <c r="U486"/>
      <c r="V486">
        <f>+PRESUPUESTO22[[#This Row],[EJECUTADO ]]-SUM(PRESUPUESTO22[[#This Row],[   ENERO ]:[DIC]])</f>
        <v>0</v>
      </c>
      <c r="W486"/>
      <c r="X486"/>
    </row>
    <row r="487" spans="1:24" ht="15.95" customHeight="1" x14ac:dyDescent="0.25">
      <c r="A487" s="52"/>
      <c r="B487" s="132">
        <v>8020215</v>
      </c>
      <c r="C487" s="130" t="str">
        <f t="shared" si="189"/>
        <v>E-08020215</v>
      </c>
      <c r="D487" s="130">
        <v>437</v>
      </c>
      <c r="E487" s="132" t="s">
        <v>69</v>
      </c>
      <c r="F487" s="359" t="s">
        <v>395</v>
      </c>
      <c r="G487" s="360">
        <v>0</v>
      </c>
      <c r="H487" s="193">
        <v>0</v>
      </c>
      <c r="I487" s="193">
        <v>0</v>
      </c>
      <c r="J487" s="193">
        <v>0</v>
      </c>
      <c r="K487" s="193">
        <v>0</v>
      </c>
      <c r="L487" s="193">
        <v>0</v>
      </c>
      <c r="M487" s="193">
        <v>0</v>
      </c>
      <c r="N487" s="193">
        <v>0</v>
      </c>
      <c r="O487" s="193">
        <f>344.78+0.22</f>
        <v>345</v>
      </c>
      <c r="P487" s="193">
        <v>0</v>
      </c>
      <c r="Q487" s="193">
        <v>0</v>
      </c>
      <c r="R487" s="193">
        <v>0</v>
      </c>
      <c r="S487" s="193">
        <v>0</v>
      </c>
      <c r="T487" s="193">
        <f t="shared" si="195"/>
        <v>345</v>
      </c>
      <c r="U487"/>
      <c r="V487">
        <f>+PRESUPUESTO22[[#This Row],[EJECUTADO ]]-SUM(PRESUPUESTO22[[#This Row],[   ENERO ]:[DIC]])</f>
        <v>0</v>
      </c>
      <c r="W487"/>
      <c r="X487"/>
    </row>
    <row r="488" spans="1:24" ht="15.95" customHeight="1" x14ac:dyDescent="0.25">
      <c r="A488" s="52"/>
      <c r="B488" s="132">
        <v>8020216</v>
      </c>
      <c r="C488" s="130" t="str">
        <f t="shared" si="189"/>
        <v>E-08020216</v>
      </c>
      <c r="D488" s="130">
        <v>438</v>
      </c>
      <c r="E488" s="132" t="s">
        <v>69</v>
      </c>
      <c r="F488" s="359" t="s">
        <v>396</v>
      </c>
      <c r="G488" s="360">
        <v>0</v>
      </c>
      <c r="H488" s="193">
        <v>0</v>
      </c>
      <c r="I488" s="193">
        <v>0</v>
      </c>
      <c r="J488" s="193">
        <v>0</v>
      </c>
      <c r="K488" s="193">
        <v>0</v>
      </c>
      <c r="L488" s="193">
        <v>0</v>
      </c>
      <c r="M488" s="193">
        <v>0</v>
      </c>
      <c r="N488" s="193">
        <v>0</v>
      </c>
      <c r="O488" s="193">
        <v>0</v>
      </c>
      <c r="P488" s="193">
        <f>3576.7+0.3</f>
        <v>3577</v>
      </c>
      <c r="Q488" s="361">
        <v>2381</v>
      </c>
      <c r="R488" s="193">
        <v>0</v>
      </c>
      <c r="S488" s="193">
        <v>0</v>
      </c>
      <c r="T488" s="193">
        <f t="shared" si="195"/>
        <v>5958</v>
      </c>
      <c r="U488"/>
      <c r="V488">
        <f>+PRESUPUESTO22[[#This Row],[EJECUTADO ]]-SUM(PRESUPUESTO22[[#This Row],[   ENERO ]:[DIC]])</f>
        <v>0</v>
      </c>
      <c r="W488"/>
      <c r="X488"/>
    </row>
    <row r="489" spans="1:24" ht="15.95" customHeight="1" x14ac:dyDescent="0.25">
      <c r="A489" s="52"/>
      <c r="B489" s="132">
        <v>8020217</v>
      </c>
      <c r="C489" s="358" t="str">
        <f t="shared" ref="C489:C491" si="196">"E"&amp;"-0"&amp;B489</f>
        <v>E-08020217</v>
      </c>
      <c r="D489" s="130">
        <v>439</v>
      </c>
      <c r="E489" s="132" t="s">
        <v>69</v>
      </c>
      <c r="F489" s="359" t="s">
        <v>1406</v>
      </c>
      <c r="G489" s="360">
        <v>0</v>
      </c>
      <c r="H489" s="193">
        <v>0</v>
      </c>
      <c r="I489" s="193">
        <v>0</v>
      </c>
      <c r="J489" s="193">
        <v>0</v>
      </c>
      <c r="K489" s="193">
        <v>0</v>
      </c>
      <c r="L489" s="193">
        <v>0</v>
      </c>
      <c r="M489" s="193">
        <v>0</v>
      </c>
      <c r="N489" s="193">
        <v>0</v>
      </c>
      <c r="O489" s="193">
        <v>0</v>
      </c>
      <c r="P489" s="360">
        <v>0</v>
      </c>
      <c r="Q489" s="361">
        <f>1000+19000</f>
        <v>20000</v>
      </c>
      <c r="R489" s="360">
        <v>0</v>
      </c>
      <c r="S489" s="360">
        <v>0</v>
      </c>
      <c r="T489" s="193">
        <f t="shared" si="195"/>
        <v>20000</v>
      </c>
      <c r="U489"/>
      <c r="V489">
        <f>+PRESUPUESTO22[[#This Row],[EJECUTADO ]]-SUM(PRESUPUESTO22[[#This Row],[   ENERO ]:[DIC]])</f>
        <v>0</v>
      </c>
      <c r="W489"/>
      <c r="X489"/>
    </row>
    <row r="490" spans="1:24" ht="15.95" customHeight="1" x14ac:dyDescent="0.25">
      <c r="A490" s="52"/>
      <c r="B490" s="132">
        <v>8020218</v>
      </c>
      <c r="C490" s="358" t="str">
        <f t="shared" si="196"/>
        <v>E-08020218</v>
      </c>
      <c r="D490" s="130">
        <v>440</v>
      </c>
      <c r="E490" s="132" t="s">
        <v>69</v>
      </c>
      <c r="F490" s="359" t="s">
        <v>1407</v>
      </c>
      <c r="G490" s="360">
        <v>0</v>
      </c>
      <c r="H490" s="193">
        <v>0</v>
      </c>
      <c r="I490" s="193">
        <v>0</v>
      </c>
      <c r="J490" s="193">
        <v>0</v>
      </c>
      <c r="K490" s="193">
        <v>0</v>
      </c>
      <c r="L490" s="193">
        <v>0</v>
      </c>
      <c r="M490" s="193">
        <v>0</v>
      </c>
      <c r="N490" s="193">
        <v>0</v>
      </c>
      <c r="O490" s="193">
        <v>0</v>
      </c>
      <c r="P490" s="360">
        <v>0</v>
      </c>
      <c r="Q490" s="193">
        <v>0</v>
      </c>
      <c r="R490" s="193">
        <v>252</v>
      </c>
      <c r="S490" s="193">
        <v>0</v>
      </c>
      <c r="T490" s="193">
        <f t="shared" si="195"/>
        <v>252</v>
      </c>
      <c r="U490"/>
      <c r="V490">
        <f>+PRESUPUESTO22[[#This Row],[EJECUTADO ]]-SUM(PRESUPUESTO22[[#This Row],[   ENERO ]:[DIC]])</f>
        <v>0</v>
      </c>
      <c r="W490"/>
      <c r="X490"/>
    </row>
    <row r="491" spans="1:24" ht="15.95" customHeight="1" x14ac:dyDescent="0.25">
      <c r="A491" s="52"/>
      <c r="B491" s="132">
        <v>8020219</v>
      </c>
      <c r="C491" s="130" t="str">
        <f t="shared" si="196"/>
        <v>E-08020219</v>
      </c>
      <c r="D491" s="130">
        <v>441</v>
      </c>
      <c r="E491" s="132" t="s">
        <v>69</v>
      </c>
      <c r="F491" s="359" t="s">
        <v>1408</v>
      </c>
      <c r="G491" s="360">
        <v>0</v>
      </c>
      <c r="H491" s="193">
        <v>0</v>
      </c>
      <c r="I491" s="193">
        <v>0</v>
      </c>
      <c r="J491" s="193">
        <v>0</v>
      </c>
      <c r="K491" s="193">
        <v>0</v>
      </c>
      <c r="L491" s="193">
        <v>0</v>
      </c>
      <c r="M491" s="193">
        <v>0</v>
      </c>
      <c r="N491" s="193">
        <v>0</v>
      </c>
      <c r="O491" s="193">
        <v>0</v>
      </c>
      <c r="P491" s="360">
        <v>0</v>
      </c>
      <c r="Q491" s="193">
        <v>0</v>
      </c>
      <c r="R491" s="193">
        <f>2245.93+0.07</f>
        <v>2246</v>
      </c>
      <c r="S491" s="193">
        <v>0</v>
      </c>
      <c r="T491" s="193">
        <f t="shared" si="195"/>
        <v>2246</v>
      </c>
      <c r="U491"/>
      <c r="V491">
        <f>+PRESUPUESTO22[[#This Row],[EJECUTADO ]]-SUM(PRESUPUESTO22[[#This Row],[   ENERO ]:[DIC]])</f>
        <v>0</v>
      </c>
      <c r="W491"/>
      <c r="X491"/>
    </row>
    <row r="492" spans="1:24" ht="15.95" customHeight="1" x14ac:dyDescent="0.25">
      <c r="A492" s="48">
        <v>3</v>
      </c>
      <c r="B492" s="139">
        <v>803</v>
      </c>
      <c r="C492" s="130" t="str">
        <f t="shared" si="189"/>
        <v>E-0803</v>
      </c>
      <c r="D492" s="130">
        <v>442</v>
      </c>
      <c r="E492" s="139" t="s">
        <v>69</v>
      </c>
      <c r="F492" s="189" t="s">
        <v>397</v>
      </c>
      <c r="G492" s="196">
        <f t="shared" ref="G492:T492" si="197">+G493+G500+G512+G529+G540+G523</f>
        <v>535000</v>
      </c>
      <c r="H492" s="190">
        <f t="shared" si="197"/>
        <v>85961</v>
      </c>
      <c r="I492" s="190">
        <f t="shared" si="197"/>
        <v>65805</v>
      </c>
      <c r="J492" s="190">
        <f t="shared" si="197"/>
        <v>60752</v>
      </c>
      <c r="K492" s="190">
        <f t="shared" si="197"/>
        <v>77966</v>
      </c>
      <c r="L492" s="190">
        <f t="shared" si="197"/>
        <v>115894</v>
      </c>
      <c r="M492" s="190">
        <f t="shared" si="197"/>
        <v>-297225</v>
      </c>
      <c r="N492" s="190">
        <f t="shared" si="197"/>
        <v>37737</v>
      </c>
      <c r="O492" s="190">
        <f t="shared" si="197"/>
        <v>42164</v>
      </c>
      <c r="P492" s="190">
        <f t="shared" si="197"/>
        <v>-59590</v>
      </c>
      <c r="Q492" s="190">
        <f t="shared" si="197"/>
        <v>22010</v>
      </c>
      <c r="R492" s="190">
        <f t="shared" si="197"/>
        <v>-154</v>
      </c>
      <c r="S492" s="190">
        <f t="shared" si="197"/>
        <v>0</v>
      </c>
      <c r="T492" s="190">
        <f t="shared" si="197"/>
        <v>151320</v>
      </c>
      <c r="U492"/>
      <c r="V492">
        <f>+PRESUPUESTO22[[#This Row],[EJECUTADO ]]-SUM(PRESUPUESTO22[[#This Row],[   ENERO ]:[DIC]])</f>
        <v>0</v>
      </c>
      <c r="W492"/>
      <c r="X492"/>
    </row>
    <row r="493" spans="1:24" ht="15.95" customHeight="1" x14ac:dyDescent="0.25">
      <c r="A493" s="48">
        <v>1</v>
      </c>
      <c r="B493" s="153">
        <v>80301</v>
      </c>
      <c r="C493" s="130" t="str">
        <f t="shared" si="189"/>
        <v>E-080301</v>
      </c>
      <c r="D493" s="130">
        <v>443</v>
      </c>
      <c r="E493" s="153" t="s">
        <v>69</v>
      </c>
      <c r="F493" s="212" t="s">
        <v>397</v>
      </c>
      <c r="G493" s="211">
        <f>SUM(G494:G496)</f>
        <v>100000</v>
      </c>
      <c r="H493" s="211">
        <f>SUM(H494:H496)</f>
        <v>495</v>
      </c>
      <c r="I493" s="211">
        <f t="shared" ref="I493:S493" si="198">SUM(I494:I496)</f>
        <v>3090.0000000000005</v>
      </c>
      <c r="J493" s="211">
        <f t="shared" si="198"/>
        <v>218</v>
      </c>
      <c r="K493" s="211">
        <f t="shared" si="198"/>
        <v>513</v>
      </c>
      <c r="L493" s="211">
        <f t="shared" si="198"/>
        <v>5175</v>
      </c>
      <c r="M493" s="211">
        <f t="shared" si="198"/>
        <v>3024</v>
      </c>
      <c r="N493" s="211">
        <f t="shared" si="198"/>
        <v>1453.9999999999998</v>
      </c>
      <c r="O493" s="211">
        <f t="shared" si="198"/>
        <v>5117</v>
      </c>
      <c r="P493" s="211">
        <f t="shared" si="198"/>
        <v>20251</v>
      </c>
      <c r="Q493" s="211">
        <f t="shared" si="198"/>
        <v>3144</v>
      </c>
      <c r="R493" s="211">
        <f t="shared" si="198"/>
        <v>4089</v>
      </c>
      <c r="S493" s="211">
        <f t="shared" si="198"/>
        <v>0</v>
      </c>
      <c r="T493" s="211">
        <f>SUM(T494:T496)</f>
        <v>46570</v>
      </c>
      <c r="U493"/>
      <c r="V493">
        <f>+PRESUPUESTO22[[#This Row],[EJECUTADO ]]-SUM(PRESUPUESTO22[[#This Row],[   ENERO ]:[DIC]])</f>
        <v>0</v>
      </c>
      <c r="W493"/>
      <c r="X493"/>
    </row>
    <row r="494" spans="1:24" ht="15.95" customHeight="1" x14ac:dyDescent="0.25">
      <c r="A494" s="48" t="s">
        <v>1</v>
      </c>
      <c r="B494" s="154">
        <v>8030101</v>
      </c>
      <c r="C494" s="130" t="str">
        <f t="shared" si="189"/>
        <v>E-08030101</v>
      </c>
      <c r="D494" s="130">
        <v>444</v>
      </c>
      <c r="E494" s="154" t="s">
        <v>72</v>
      </c>
      <c r="F494" s="213" t="s">
        <v>398</v>
      </c>
      <c r="G494" s="360">
        <v>10000</v>
      </c>
      <c r="H494" s="360">
        <f>494.85+0.15</f>
        <v>495</v>
      </c>
      <c r="I494" s="360">
        <f>179.4+2192.76+717.96-0.12</f>
        <v>3090.0000000000005</v>
      </c>
      <c r="J494" s="360">
        <f>217.71+0.29</f>
        <v>218</v>
      </c>
      <c r="K494" s="360">
        <f>513.22-0.22</f>
        <v>513</v>
      </c>
      <c r="L494" s="360">
        <f>694.4-0.4</f>
        <v>694</v>
      </c>
      <c r="M494" s="360">
        <f>1200.57+0.43</f>
        <v>1201</v>
      </c>
      <c r="N494" s="360">
        <f>169+631.16+653.56+0.28</f>
        <v>1453.9999999999998</v>
      </c>
      <c r="O494" s="360">
        <v>0</v>
      </c>
      <c r="P494" s="360">
        <f>467.94+0.06</f>
        <v>468</v>
      </c>
      <c r="Q494" s="360">
        <f>903.65+127.05+0.3</f>
        <v>1031</v>
      </c>
      <c r="R494" s="360">
        <f>183.04-0.04</f>
        <v>183</v>
      </c>
      <c r="S494" s="360">
        <v>0</v>
      </c>
      <c r="T494" s="193">
        <f>SUM(H494:S494)</f>
        <v>9347</v>
      </c>
      <c r="U494"/>
      <c r="V494">
        <f>+PRESUPUESTO22[[#This Row],[EJECUTADO ]]-SUM(PRESUPUESTO22[[#This Row],[   ENERO ]:[DIC]])</f>
        <v>0</v>
      </c>
      <c r="W494"/>
      <c r="X494"/>
    </row>
    <row r="495" spans="1:24" ht="15.95" customHeight="1" x14ac:dyDescent="0.25">
      <c r="A495" s="48"/>
      <c r="B495" s="134">
        <v>8030102</v>
      </c>
      <c r="C495" s="130" t="str">
        <f t="shared" si="189"/>
        <v>E-08030102</v>
      </c>
      <c r="D495" s="130">
        <v>445</v>
      </c>
      <c r="E495" s="134" t="s">
        <v>72</v>
      </c>
      <c r="F495" s="73" t="s">
        <v>399</v>
      </c>
      <c r="G495" s="360">
        <v>40000</v>
      </c>
      <c r="H495" s="193">
        <v>0</v>
      </c>
      <c r="I495" s="193">
        <v>0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5117</v>
      </c>
      <c r="P495" s="193">
        <f>16482.62+15.17+3379.42-94-0.21</f>
        <v>19783</v>
      </c>
      <c r="Q495" s="193">
        <v>94</v>
      </c>
      <c r="R495" s="193">
        <f>3379.42-0.42</f>
        <v>3379</v>
      </c>
      <c r="S495" s="193">
        <v>0</v>
      </c>
      <c r="T495" s="193">
        <f>SUM(H495:S495)</f>
        <v>28373</v>
      </c>
      <c r="U495"/>
      <c r="V495">
        <f>+PRESUPUESTO22[[#This Row],[EJECUTADO ]]-SUM(PRESUPUESTO22[[#This Row],[   ENERO ]:[DIC]])</f>
        <v>0</v>
      </c>
      <c r="W495"/>
      <c r="X495"/>
    </row>
    <row r="496" spans="1:24" ht="15.95" customHeight="1" x14ac:dyDescent="0.25">
      <c r="A496" s="48"/>
      <c r="B496" s="154">
        <v>8030103</v>
      </c>
      <c r="C496" s="130" t="str">
        <f t="shared" si="189"/>
        <v>E-08030103</v>
      </c>
      <c r="D496" s="130">
        <v>446</v>
      </c>
      <c r="E496" s="135" t="s">
        <v>72</v>
      </c>
      <c r="F496" s="124" t="s">
        <v>400</v>
      </c>
      <c r="G496" s="125">
        <v>50000</v>
      </c>
      <c r="H496" s="125">
        <f>SUM(H497:H499)</f>
        <v>0</v>
      </c>
      <c r="I496" s="125">
        <f t="shared" ref="I496:T496" si="199">SUM(I497:I499)</f>
        <v>0</v>
      </c>
      <c r="J496" s="125">
        <f t="shared" si="199"/>
        <v>0</v>
      </c>
      <c r="K496" s="125">
        <f t="shared" si="199"/>
        <v>0</v>
      </c>
      <c r="L496" s="125">
        <f t="shared" si="199"/>
        <v>4481</v>
      </c>
      <c r="M496" s="125">
        <f t="shared" si="199"/>
        <v>1823</v>
      </c>
      <c r="N496" s="125">
        <f t="shared" si="199"/>
        <v>0</v>
      </c>
      <c r="O496" s="125">
        <f t="shared" si="199"/>
        <v>0</v>
      </c>
      <c r="P496" s="125">
        <f t="shared" si="199"/>
        <v>0</v>
      </c>
      <c r="Q496" s="125">
        <f t="shared" si="199"/>
        <v>2019</v>
      </c>
      <c r="R496" s="125">
        <f t="shared" si="199"/>
        <v>527</v>
      </c>
      <c r="S496" s="125">
        <f t="shared" si="199"/>
        <v>0</v>
      </c>
      <c r="T496" s="125">
        <f t="shared" si="199"/>
        <v>8850</v>
      </c>
      <c r="U496"/>
      <c r="V496">
        <f>+PRESUPUESTO22[[#This Row],[EJECUTADO ]]-SUM(PRESUPUESTO22[[#This Row],[   ENERO ]:[DIC]])</f>
        <v>0</v>
      </c>
      <c r="W496"/>
      <c r="X496"/>
    </row>
    <row r="497" spans="1:24" ht="15.95" customHeight="1" x14ac:dyDescent="0.25">
      <c r="A497" s="48"/>
      <c r="B497" s="134">
        <v>8030104</v>
      </c>
      <c r="C497" s="130" t="str">
        <f t="shared" si="189"/>
        <v>E-08030104</v>
      </c>
      <c r="D497" s="130">
        <v>447</v>
      </c>
      <c r="E497" s="134" t="s">
        <v>69</v>
      </c>
      <c r="F497" s="73" t="s">
        <v>401</v>
      </c>
      <c r="G497" s="360">
        <v>0</v>
      </c>
      <c r="H497" s="360">
        <v>0</v>
      </c>
      <c r="I497" s="193">
        <v>0</v>
      </c>
      <c r="J497" s="193">
        <v>0</v>
      </c>
      <c r="K497" s="193">
        <v>0</v>
      </c>
      <c r="L497" s="193">
        <f>4481.03-0.03</f>
        <v>4481</v>
      </c>
      <c r="M497" s="193">
        <v>0</v>
      </c>
      <c r="N497" s="193">
        <v>0</v>
      </c>
      <c r="O497" s="193">
        <v>0</v>
      </c>
      <c r="P497" s="193">
        <v>0</v>
      </c>
      <c r="Q497" s="193">
        <v>0</v>
      </c>
      <c r="R497" s="193">
        <v>0</v>
      </c>
      <c r="S497" s="193">
        <v>0</v>
      </c>
      <c r="T497" s="193">
        <f>SUM(H497:S497)</f>
        <v>4481</v>
      </c>
      <c r="U497"/>
      <c r="V497">
        <f>+PRESUPUESTO22[[#This Row],[EJECUTADO ]]-SUM(PRESUPUESTO22[[#This Row],[   ENERO ]:[DIC]])</f>
        <v>0</v>
      </c>
      <c r="W497"/>
      <c r="X497"/>
    </row>
    <row r="498" spans="1:24" ht="15.95" customHeight="1" x14ac:dyDescent="0.25">
      <c r="A498" s="48"/>
      <c r="B498" s="156">
        <v>8030106</v>
      </c>
      <c r="C498" s="130" t="str">
        <f>"E"&amp;"-0"&amp;B498</f>
        <v>E-08030106</v>
      </c>
      <c r="D498" s="130">
        <v>448</v>
      </c>
      <c r="E498" s="156" t="s">
        <v>69</v>
      </c>
      <c r="F498" s="73" t="s">
        <v>1409</v>
      </c>
      <c r="G498" s="360">
        <v>0</v>
      </c>
      <c r="H498" s="360">
        <v>0</v>
      </c>
      <c r="I498" s="193">
        <v>0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360">
        <v>0</v>
      </c>
      <c r="Q498" s="360">
        <f>1679.3+339.5+0.2</f>
        <v>2019</v>
      </c>
      <c r="R498" s="360">
        <v>0</v>
      </c>
      <c r="S498" s="360">
        <v>0</v>
      </c>
      <c r="T498" s="193">
        <f>SUM(H498:S498)</f>
        <v>2019</v>
      </c>
      <c r="U498"/>
      <c r="V498">
        <f>+PRESUPUESTO22[[#This Row],[EJECUTADO ]]-SUM(PRESUPUESTO22[[#This Row],[   ENERO ]:[DIC]])</f>
        <v>0</v>
      </c>
      <c r="W498"/>
      <c r="X498"/>
    </row>
    <row r="499" spans="1:24" ht="15.95" customHeight="1" x14ac:dyDescent="0.25">
      <c r="A499" s="48"/>
      <c r="B499" s="154">
        <v>8030105</v>
      </c>
      <c r="C499" s="130" t="str">
        <f t="shared" si="189"/>
        <v>E-08030105</v>
      </c>
      <c r="D499" s="130">
        <v>449</v>
      </c>
      <c r="E499" s="134" t="s">
        <v>69</v>
      </c>
      <c r="F499" s="73" t="s">
        <v>402</v>
      </c>
      <c r="G499" s="360">
        <v>0</v>
      </c>
      <c r="H499" s="360">
        <v>0</v>
      </c>
      <c r="I499" s="193">
        <v>0</v>
      </c>
      <c r="J499" s="193">
        <v>0</v>
      </c>
      <c r="K499" s="193">
        <v>0</v>
      </c>
      <c r="L499" s="193">
        <v>0</v>
      </c>
      <c r="M499" s="193">
        <f>1823.2-0.2</f>
        <v>1823</v>
      </c>
      <c r="N499" s="193">
        <v>0</v>
      </c>
      <c r="O499" s="193">
        <v>0</v>
      </c>
      <c r="P499" s="193">
        <v>0</v>
      </c>
      <c r="Q499" s="193">
        <v>0</v>
      </c>
      <c r="R499" s="193">
        <f>527.05-0.05</f>
        <v>527</v>
      </c>
      <c r="S499" s="193">
        <v>0</v>
      </c>
      <c r="T499" s="193">
        <f>SUM(H499:S499)</f>
        <v>2350</v>
      </c>
      <c r="U499"/>
      <c r="V499">
        <f>+PRESUPUESTO22[[#This Row],[EJECUTADO ]]-SUM(PRESUPUESTO22[[#This Row],[   ENERO ]:[DIC]])</f>
        <v>0</v>
      </c>
      <c r="W499"/>
      <c r="X499"/>
    </row>
    <row r="500" spans="1:24" ht="15.95" customHeight="1" x14ac:dyDescent="0.25">
      <c r="A500" s="48">
        <v>2</v>
      </c>
      <c r="B500" s="153">
        <v>80302</v>
      </c>
      <c r="C500" s="130" t="str">
        <f t="shared" si="189"/>
        <v>E-080302</v>
      </c>
      <c r="D500" s="130">
        <v>450</v>
      </c>
      <c r="E500" s="153" t="s">
        <v>72</v>
      </c>
      <c r="F500" s="212" t="s">
        <v>403</v>
      </c>
      <c r="G500" s="211">
        <v>6500</v>
      </c>
      <c r="H500" s="211">
        <f t="shared" ref="H500:T500" si="200">SUM(H501:H511)</f>
        <v>11723</v>
      </c>
      <c r="I500" s="211">
        <f t="shared" si="200"/>
        <v>519</v>
      </c>
      <c r="J500" s="211">
        <f t="shared" si="200"/>
        <v>31</v>
      </c>
      <c r="K500" s="211">
        <f t="shared" si="200"/>
        <v>0</v>
      </c>
      <c r="L500" s="211">
        <f t="shared" si="200"/>
        <v>0</v>
      </c>
      <c r="M500" s="211">
        <f t="shared" si="200"/>
        <v>0</v>
      </c>
      <c r="N500" s="211">
        <f t="shared" si="200"/>
        <v>0</v>
      </c>
      <c r="O500" s="211">
        <f t="shared" si="200"/>
        <v>0</v>
      </c>
      <c r="P500" s="211">
        <f t="shared" si="200"/>
        <v>0</v>
      </c>
      <c r="Q500" s="211">
        <f t="shared" si="200"/>
        <v>0</v>
      </c>
      <c r="R500" s="211">
        <f t="shared" si="200"/>
        <v>0</v>
      </c>
      <c r="S500" s="211">
        <f t="shared" si="200"/>
        <v>0</v>
      </c>
      <c r="T500" s="211">
        <f t="shared" si="200"/>
        <v>12273</v>
      </c>
      <c r="U500"/>
      <c r="V500">
        <f>+PRESUPUESTO22[[#This Row],[EJECUTADO ]]-SUM(PRESUPUESTO22[[#This Row],[   ENERO ]:[DIC]])</f>
        <v>0</v>
      </c>
      <c r="W500"/>
      <c r="X500"/>
    </row>
    <row r="501" spans="1:24" ht="15.95" customHeight="1" x14ac:dyDescent="0.25">
      <c r="A501" s="48"/>
      <c r="B501" s="134">
        <v>8030201</v>
      </c>
      <c r="C501" s="130" t="str">
        <f t="shared" si="189"/>
        <v>E-08030201</v>
      </c>
      <c r="D501" s="130">
        <v>451</v>
      </c>
      <c r="E501" s="134" t="s">
        <v>69</v>
      </c>
      <c r="F501" s="73" t="s">
        <v>404</v>
      </c>
      <c r="G501" s="193">
        <v>0</v>
      </c>
      <c r="H501" s="360">
        <v>7153</v>
      </c>
      <c r="I501" s="360">
        <v>0</v>
      </c>
      <c r="J501" s="360">
        <v>0</v>
      </c>
      <c r="K501" s="360">
        <v>0</v>
      </c>
      <c r="L501" s="360">
        <v>0</v>
      </c>
      <c r="M501" s="360">
        <v>0</v>
      </c>
      <c r="N501" s="360">
        <v>0</v>
      </c>
      <c r="O501" s="360">
        <v>0</v>
      </c>
      <c r="P501" s="360">
        <v>0</v>
      </c>
      <c r="Q501" s="360">
        <v>0</v>
      </c>
      <c r="R501" s="360">
        <v>0</v>
      </c>
      <c r="S501" s="360">
        <v>0</v>
      </c>
      <c r="T501" s="193">
        <f t="shared" ref="T501:T511" si="201">SUM(H501:S501)</f>
        <v>7153</v>
      </c>
      <c r="U501"/>
      <c r="V501">
        <f>+PRESUPUESTO22[[#This Row],[EJECUTADO ]]-SUM(PRESUPUESTO22[[#This Row],[   ENERO ]:[DIC]])</f>
        <v>0</v>
      </c>
      <c r="W501"/>
      <c r="X501"/>
    </row>
    <row r="502" spans="1:24" ht="15.95" customHeight="1" x14ac:dyDescent="0.25">
      <c r="A502" s="48"/>
      <c r="B502" s="134">
        <v>8030202</v>
      </c>
      <c r="C502" s="130" t="str">
        <f t="shared" si="189"/>
        <v>E-08030202</v>
      </c>
      <c r="D502" s="130">
        <v>452</v>
      </c>
      <c r="E502" s="134" t="s">
        <v>69</v>
      </c>
      <c r="F502" s="73" t="s">
        <v>405</v>
      </c>
      <c r="G502" s="193">
        <v>560</v>
      </c>
      <c r="H502" s="360">
        <v>559</v>
      </c>
      <c r="I502" s="360">
        <v>0</v>
      </c>
      <c r="J502" s="360">
        <v>0</v>
      </c>
      <c r="K502" s="360">
        <v>0</v>
      </c>
      <c r="L502" s="360">
        <v>0</v>
      </c>
      <c r="M502" s="360">
        <v>0</v>
      </c>
      <c r="N502" s="360">
        <v>0</v>
      </c>
      <c r="O502" s="360">
        <v>0</v>
      </c>
      <c r="P502" s="360">
        <v>0</v>
      </c>
      <c r="Q502" s="360">
        <v>0</v>
      </c>
      <c r="R502" s="360">
        <v>0</v>
      </c>
      <c r="S502" s="360">
        <v>0</v>
      </c>
      <c r="T502" s="193">
        <f t="shared" si="201"/>
        <v>559</v>
      </c>
      <c r="U502"/>
      <c r="V502">
        <f>+PRESUPUESTO22[[#This Row],[EJECUTADO ]]-SUM(PRESUPUESTO22[[#This Row],[   ENERO ]:[DIC]])</f>
        <v>0</v>
      </c>
      <c r="W502"/>
      <c r="X502"/>
    </row>
    <row r="503" spans="1:24" ht="15.95" customHeight="1" x14ac:dyDescent="0.25">
      <c r="A503" s="48"/>
      <c r="B503" s="134">
        <v>8030203</v>
      </c>
      <c r="C503" s="130" t="str">
        <f t="shared" si="189"/>
        <v>E-08030203</v>
      </c>
      <c r="D503" s="130">
        <v>453</v>
      </c>
      <c r="E503" s="134" t="s">
        <v>69</v>
      </c>
      <c r="F503" s="73" t="s">
        <v>406</v>
      </c>
      <c r="G503" s="193">
        <v>800</v>
      </c>
      <c r="H503" s="360">
        <f>372.9+0.1</f>
        <v>373</v>
      </c>
      <c r="I503" s="360">
        <v>0</v>
      </c>
      <c r="J503" s="360">
        <v>0</v>
      </c>
      <c r="K503" s="360">
        <v>0</v>
      </c>
      <c r="L503" s="360">
        <v>0</v>
      </c>
      <c r="M503" s="360">
        <v>0</v>
      </c>
      <c r="N503" s="360">
        <v>0</v>
      </c>
      <c r="O503" s="360">
        <v>0</v>
      </c>
      <c r="P503" s="360">
        <v>0</v>
      </c>
      <c r="Q503" s="360">
        <v>0</v>
      </c>
      <c r="R503" s="360">
        <v>0</v>
      </c>
      <c r="S503" s="360">
        <v>0</v>
      </c>
      <c r="T503" s="193">
        <f t="shared" si="201"/>
        <v>373</v>
      </c>
      <c r="U503"/>
      <c r="V503">
        <f>+PRESUPUESTO22[[#This Row],[EJECUTADO ]]-SUM(PRESUPUESTO22[[#This Row],[   ENERO ]:[DIC]])</f>
        <v>0</v>
      </c>
      <c r="W503"/>
      <c r="X503"/>
    </row>
    <row r="504" spans="1:24" ht="15.95" customHeight="1" x14ac:dyDescent="0.25">
      <c r="A504" s="48"/>
      <c r="B504" s="134">
        <v>8030204</v>
      </c>
      <c r="C504" s="130" t="str">
        <f t="shared" si="189"/>
        <v>E-08030204</v>
      </c>
      <c r="D504" s="130">
        <v>454</v>
      </c>
      <c r="E504" s="134" t="s">
        <v>69</v>
      </c>
      <c r="F504" s="73" t="s">
        <v>407</v>
      </c>
      <c r="G504" s="193">
        <v>1300</v>
      </c>
      <c r="H504" s="360">
        <v>1130</v>
      </c>
      <c r="I504" s="360">
        <v>0</v>
      </c>
      <c r="J504" s="360">
        <v>0</v>
      </c>
      <c r="K504" s="360">
        <v>0</v>
      </c>
      <c r="L504" s="360">
        <v>0</v>
      </c>
      <c r="M504" s="360">
        <v>0</v>
      </c>
      <c r="N504" s="360">
        <v>0</v>
      </c>
      <c r="O504" s="360">
        <v>0</v>
      </c>
      <c r="P504" s="360">
        <v>0</v>
      </c>
      <c r="Q504" s="360">
        <v>0</v>
      </c>
      <c r="R504" s="360">
        <v>0</v>
      </c>
      <c r="S504" s="360">
        <v>0</v>
      </c>
      <c r="T504" s="193">
        <f t="shared" si="201"/>
        <v>1130</v>
      </c>
      <c r="U504"/>
      <c r="V504">
        <f>+PRESUPUESTO22[[#This Row],[EJECUTADO ]]-SUM(PRESUPUESTO22[[#This Row],[   ENERO ]:[DIC]])</f>
        <v>0</v>
      </c>
      <c r="W504"/>
      <c r="X504"/>
    </row>
    <row r="505" spans="1:24" ht="15.95" customHeight="1" x14ac:dyDescent="0.25">
      <c r="A505" s="48"/>
      <c r="B505" s="134">
        <v>8030205</v>
      </c>
      <c r="C505" s="130" t="str">
        <f t="shared" si="189"/>
        <v>E-08030205</v>
      </c>
      <c r="D505" s="130">
        <v>455</v>
      </c>
      <c r="E505" s="134" t="s">
        <v>69</v>
      </c>
      <c r="F505" s="73" t="s">
        <v>408</v>
      </c>
      <c r="G505" s="193">
        <v>350</v>
      </c>
      <c r="H505" s="360">
        <v>0</v>
      </c>
      <c r="I505" s="360">
        <f>93.85+0.15</f>
        <v>94</v>
      </c>
      <c r="J505" s="360">
        <v>0</v>
      </c>
      <c r="K505" s="360">
        <v>0</v>
      </c>
      <c r="L505" s="360">
        <v>0</v>
      </c>
      <c r="M505" s="360">
        <v>0</v>
      </c>
      <c r="N505" s="360">
        <v>0</v>
      </c>
      <c r="O505" s="360">
        <v>0</v>
      </c>
      <c r="P505" s="360">
        <v>0</v>
      </c>
      <c r="Q505" s="360">
        <v>0</v>
      </c>
      <c r="R505" s="360">
        <v>0</v>
      </c>
      <c r="S505" s="360">
        <v>0</v>
      </c>
      <c r="T505" s="193">
        <f t="shared" si="201"/>
        <v>94</v>
      </c>
      <c r="U505"/>
      <c r="V505">
        <f>+PRESUPUESTO22[[#This Row],[EJECUTADO ]]-SUM(PRESUPUESTO22[[#This Row],[   ENERO ]:[DIC]])</f>
        <v>0</v>
      </c>
      <c r="W505"/>
      <c r="X505"/>
    </row>
    <row r="506" spans="1:24" ht="15.95" customHeight="1" x14ac:dyDescent="0.25">
      <c r="A506" s="48"/>
      <c r="B506" s="134">
        <v>8030206</v>
      </c>
      <c r="C506" s="130" t="str">
        <f t="shared" si="189"/>
        <v>E-08030206</v>
      </c>
      <c r="D506" s="130">
        <v>456</v>
      </c>
      <c r="E506" s="134" t="s">
        <v>69</v>
      </c>
      <c r="F506" s="73" t="s">
        <v>409</v>
      </c>
      <c r="G506" s="193">
        <v>500</v>
      </c>
      <c r="H506" s="360">
        <v>0</v>
      </c>
      <c r="I506" s="360">
        <v>0</v>
      </c>
      <c r="J506" s="360">
        <v>0</v>
      </c>
      <c r="K506" s="360">
        <v>0</v>
      </c>
      <c r="L506" s="360">
        <v>0</v>
      </c>
      <c r="M506" s="360">
        <v>0</v>
      </c>
      <c r="N506" s="360">
        <v>0</v>
      </c>
      <c r="O506" s="360">
        <v>0</v>
      </c>
      <c r="P506" s="360">
        <v>0</v>
      </c>
      <c r="Q506" s="360">
        <v>0</v>
      </c>
      <c r="R506" s="360">
        <v>0</v>
      </c>
      <c r="S506" s="360">
        <v>0</v>
      </c>
      <c r="T506" s="193">
        <f t="shared" si="201"/>
        <v>0</v>
      </c>
      <c r="U506"/>
      <c r="V506">
        <f>+PRESUPUESTO22[[#This Row],[EJECUTADO ]]-SUM(PRESUPUESTO22[[#This Row],[   ENERO ]:[DIC]])</f>
        <v>0</v>
      </c>
      <c r="W506"/>
      <c r="X506"/>
    </row>
    <row r="507" spans="1:24" ht="15.95" customHeight="1" x14ac:dyDescent="0.25">
      <c r="A507" s="48"/>
      <c r="B507" s="134">
        <v>8030207</v>
      </c>
      <c r="C507" s="130" t="str">
        <f t="shared" si="189"/>
        <v>E-08030207</v>
      </c>
      <c r="D507" s="130">
        <v>457</v>
      </c>
      <c r="E507" s="134" t="s">
        <v>69</v>
      </c>
      <c r="F507" s="73" t="s">
        <v>410</v>
      </c>
      <c r="G507" s="193">
        <v>1700</v>
      </c>
      <c r="H507" s="360">
        <v>1720</v>
      </c>
      <c r="I507" s="360">
        <v>0</v>
      </c>
      <c r="J507" s="360">
        <v>0</v>
      </c>
      <c r="K507" s="360">
        <v>0</v>
      </c>
      <c r="L507" s="360">
        <v>0</v>
      </c>
      <c r="M507" s="360">
        <v>0</v>
      </c>
      <c r="N507" s="360">
        <v>0</v>
      </c>
      <c r="O507" s="360">
        <v>0</v>
      </c>
      <c r="P507" s="360">
        <v>0</v>
      </c>
      <c r="Q507" s="360">
        <v>0</v>
      </c>
      <c r="R507" s="360">
        <v>0</v>
      </c>
      <c r="S507" s="360">
        <v>0</v>
      </c>
      <c r="T507" s="193">
        <f t="shared" si="201"/>
        <v>1720</v>
      </c>
      <c r="U507"/>
      <c r="V507">
        <f>+PRESUPUESTO22[[#This Row],[EJECUTADO ]]-SUM(PRESUPUESTO22[[#This Row],[   ENERO ]:[DIC]])</f>
        <v>0</v>
      </c>
      <c r="W507"/>
      <c r="X507"/>
    </row>
    <row r="508" spans="1:24" ht="15.95" customHeight="1" x14ac:dyDescent="0.25">
      <c r="A508" s="48"/>
      <c r="B508" s="134">
        <v>8030208</v>
      </c>
      <c r="C508" s="130" t="str">
        <f t="shared" si="189"/>
        <v>E-08030208</v>
      </c>
      <c r="D508" s="130">
        <v>458</v>
      </c>
      <c r="E508" s="134" t="s">
        <v>69</v>
      </c>
      <c r="F508" s="73" t="s">
        <v>411</v>
      </c>
      <c r="G508" s="193">
        <v>768</v>
      </c>
      <c r="H508" s="360">
        <v>648</v>
      </c>
      <c r="I508" s="360">
        <v>0</v>
      </c>
      <c r="J508" s="360">
        <v>0</v>
      </c>
      <c r="K508" s="360">
        <v>0</v>
      </c>
      <c r="L508" s="360">
        <v>0</v>
      </c>
      <c r="M508" s="360">
        <v>0</v>
      </c>
      <c r="N508" s="360">
        <v>0</v>
      </c>
      <c r="O508" s="360">
        <v>0</v>
      </c>
      <c r="P508" s="360">
        <v>0</v>
      </c>
      <c r="Q508" s="360">
        <v>0</v>
      </c>
      <c r="R508" s="360">
        <v>0</v>
      </c>
      <c r="S508" s="360">
        <v>0</v>
      </c>
      <c r="T508" s="193">
        <f t="shared" si="201"/>
        <v>648</v>
      </c>
      <c r="U508"/>
      <c r="V508">
        <f>+PRESUPUESTO22[[#This Row],[EJECUTADO ]]-SUM(PRESUPUESTO22[[#This Row],[   ENERO ]:[DIC]])</f>
        <v>0</v>
      </c>
      <c r="W508"/>
      <c r="X508"/>
    </row>
    <row r="509" spans="1:24" ht="15.95" customHeight="1" x14ac:dyDescent="0.25">
      <c r="A509" s="48"/>
      <c r="B509" s="134">
        <v>8030209</v>
      </c>
      <c r="C509" s="130" t="str">
        <f t="shared" si="189"/>
        <v>E-08030209</v>
      </c>
      <c r="D509" s="130">
        <v>459</v>
      </c>
      <c r="E509" s="134" t="s">
        <v>69</v>
      </c>
      <c r="F509" s="73" t="s">
        <v>412</v>
      </c>
      <c r="G509" s="193">
        <v>105</v>
      </c>
      <c r="H509" s="360">
        <v>140</v>
      </c>
      <c r="I509" s="360">
        <v>0</v>
      </c>
      <c r="J509" s="360">
        <v>0</v>
      </c>
      <c r="K509" s="360">
        <v>0</v>
      </c>
      <c r="L509" s="360">
        <v>0</v>
      </c>
      <c r="M509" s="360">
        <v>0</v>
      </c>
      <c r="N509" s="360">
        <v>0</v>
      </c>
      <c r="O509" s="360">
        <v>0</v>
      </c>
      <c r="P509" s="360">
        <v>0</v>
      </c>
      <c r="Q509" s="360">
        <v>0</v>
      </c>
      <c r="R509" s="360">
        <v>0</v>
      </c>
      <c r="S509" s="360">
        <v>0</v>
      </c>
      <c r="T509" s="193">
        <f t="shared" si="201"/>
        <v>140</v>
      </c>
      <c r="U509"/>
      <c r="V509">
        <f>+PRESUPUESTO22[[#This Row],[EJECUTADO ]]-SUM(PRESUPUESTO22[[#This Row],[   ENERO ]:[DIC]])</f>
        <v>0</v>
      </c>
      <c r="W509"/>
      <c r="X509"/>
    </row>
    <row r="510" spans="1:24" ht="15.95" customHeight="1" x14ac:dyDescent="0.25">
      <c r="A510" s="48"/>
      <c r="B510" s="134">
        <v>8030210</v>
      </c>
      <c r="C510" s="130" t="str">
        <f t="shared" si="189"/>
        <v>E-08030210</v>
      </c>
      <c r="D510" s="130">
        <v>460</v>
      </c>
      <c r="E510" s="134" t="s">
        <v>69</v>
      </c>
      <c r="F510" s="73" t="s">
        <v>413</v>
      </c>
      <c r="G510" s="193">
        <v>35</v>
      </c>
      <c r="H510" s="360">
        <v>0</v>
      </c>
      <c r="I510" s="360">
        <v>0</v>
      </c>
      <c r="J510" s="360">
        <v>0</v>
      </c>
      <c r="K510" s="360">
        <v>0</v>
      </c>
      <c r="L510" s="360">
        <v>0</v>
      </c>
      <c r="M510" s="360">
        <v>0</v>
      </c>
      <c r="N510" s="360">
        <v>0</v>
      </c>
      <c r="O510" s="360">
        <v>0</v>
      </c>
      <c r="P510" s="360">
        <v>0</v>
      </c>
      <c r="Q510" s="360">
        <v>0</v>
      </c>
      <c r="R510" s="360">
        <v>0</v>
      </c>
      <c r="S510" s="360">
        <v>0</v>
      </c>
      <c r="T510" s="193">
        <f t="shared" si="201"/>
        <v>0</v>
      </c>
      <c r="U510"/>
      <c r="V510">
        <f>+PRESUPUESTO22[[#This Row],[EJECUTADO ]]-SUM(PRESUPUESTO22[[#This Row],[   ENERO ]:[DIC]])</f>
        <v>0</v>
      </c>
      <c r="W510"/>
      <c r="X510"/>
    </row>
    <row r="511" spans="1:24" ht="15.95" customHeight="1" x14ac:dyDescent="0.25">
      <c r="A511" s="48"/>
      <c r="B511" s="134">
        <v>8030211</v>
      </c>
      <c r="C511" s="130" t="str">
        <f t="shared" si="189"/>
        <v>E-08030211</v>
      </c>
      <c r="D511" s="130">
        <v>461</v>
      </c>
      <c r="E511" s="134" t="s">
        <v>69</v>
      </c>
      <c r="F511" s="73" t="s">
        <v>414</v>
      </c>
      <c r="G511" s="193">
        <v>400</v>
      </c>
      <c r="H511" s="360">
        <v>0</v>
      </c>
      <c r="I511" s="360">
        <f>424.5+0.5</f>
        <v>425</v>
      </c>
      <c r="J511" s="360">
        <f>30.81+0.19</f>
        <v>31</v>
      </c>
      <c r="K511" s="360">
        <v>0</v>
      </c>
      <c r="L511" s="360">
        <v>0</v>
      </c>
      <c r="M511" s="360">
        <v>0</v>
      </c>
      <c r="N511" s="360">
        <v>0</v>
      </c>
      <c r="O511" s="360">
        <v>0</v>
      </c>
      <c r="P511" s="360">
        <v>0</v>
      </c>
      <c r="Q511" s="360">
        <v>0</v>
      </c>
      <c r="R511" s="360">
        <v>0</v>
      </c>
      <c r="S511" s="360">
        <v>0</v>
      </c>
      <c r="T511" s="193">
        <f t="shared" si="201"/>
        <v>456</v>
      </c>
      <c r="U511"/>
      <c r="V511">
        <f>+PRESUPUESTO22[[#This Row],[EJECUTADO ]]-SUM(PRESUPUESTO22[[#This Row],[   ENERO ]:[DIC]])</f>
        <v>0</v>
      </c>
      <c r="W511"/>
      <c r="X511"/>
    </row>
    <row r="512" spans="1:24" ht="15.95" customHeight="1" x14ac:dyDescent="0.25">
      <c r="A512" s="48">
        <v>3</v>
      </c>
      <c r="B512" s="153">
        <v>80303</v>
      </c>
      <c r="C512" s="130" t="str">
        <f t="shared" si="189"/>
        <v>E-080303</v>
      </c>
      <c r="D512" s="130">
        <v>462</v>
      </c>
      <c r="E512" s="153" t="s">
        <v>72</v>
      </c>
      <c r="F512" s="212" t="s">
        <v>415</v>
      </c>
      <c r="G512" s="211">
        <v>30000</v>
      </c>
      <c r="H512" s="211">
        <f t="shared" ref="H512:T512" si="202">SUM(H513:H522)</f>
        <v>29596</v>
      </c>
      <c r="I512" s="211">
        <f t="shared" si="202"/>
        <v>0</v>
      </c>
      <c r="J512" s="211">
        <f t="shared" si="202"/>
        <v>574</v>
      </c>
      <c r="K512" s="211">
        <f t="shared" si="202"/>
        <v>0</v>
      </c>
      <c r="L512" s="211">
        <f t="shared" si="202"/>
        <v>0</v>
      </c>
      <c r="M512" s="211">
        <f t="shared" si="202"/>
        <v>2338</v>
      </c>
      <c r="N512" s="211">
        <f t="shared" si="202"/>
        <v>0</v>
      </c>
      <c r="O512" s="211">
        <f t="shared" si="202"/>
        <v>106</v>
      </c>
      <c r="P512" s="211">
        <f t="shared" si="202"/>
        <v>0</v>
      </c>
      <c r="Q512" s="211">
        <f t="shared" si="202"/>
        <v>0</v>
      </c>
      <c r="R512" s="211">
        <f t="shared" si="202"/>
        <v>0</v>
      </c>
      <c r="S512" s="211">
        <f t="shared" si="202"/>
        <v>0</v>
      </c>
      <c r="T512" s="211">
        <f t="shared" si="202"/>
        <v>32614</v>
      </c>
      <c r="U512"/>
      <c r="V512">
        <f>+PRESUPUESTO22[[#This Row],[EJECUTADO ]]-SUM(PRESUPUESTO22[[#This Row],[   ENERO ]:[DIC]])</f>
        <v>0</v>
      </c>
      <c r="W512"/>
      <c r="X512"/>
    </row>
    <row r="513" spans="1:24" ht="15.95" customHeight="1" x14ac:dyDescent="0.25">
      <c r="A513" s="48"/>
      <c r="B513" s="134">
        <v>8030301</v>
      </c>
      <c r="C513" s="130" t="str">
        <f t="shared" si="189"/>
        <v>E-08030301</v>
      </c>
      <c r="D513" s="130">
        <v>463</v>
      </c>
      <c r="E513" s="134" t="s">
        <v>69</v>
      </c>
      <c r="F513" s="73" t="s">
        <v>416</v>
      </c>
      <c r="G513" s="193">
        <v>361.6</v>
      </c>
      <c r="H513" s="193">
        <f>361.6+0.4</f>
        <v>362</v>
      </c>
      <c r="I513" s="193">
        <v>0</v>
      </c>
      <c r="J513" s="193">
        <v>0</v>
      </c>
      <c r="K513" s="193">
        <v>0</v>
      </c>
      <c r="L513" s="193">
        <v>0</v>
      </c>
      <c r="M513" s="193">
        <v>0</v>
      </c>
      <c r="N513" s="193">
        <v>0</v>
      </c>
      <c r="O513" s="193">
        <v>0</v>
      </c>
      <c r="P513" s="193">
        <v>0</v>
      </c>
      <c r="Q513" s="193">
        <v>0</v>
      </c>
      <c r="R513" s="193">
        <v>0</v>
      </c>
      <c r="S513" s="193">
        <v>0</v>
      </c>
      <c r="T513" s="193">
        <f t="shared" ref="T513:T522" si="203">SUM(H513:S513)</f>
        <v>362</v>
      </c>
      <c r="U513"/>
      <c r="V513">
        <f>+PRESUPUESTO22[[#This Row],[EJECUTADO ]]-SUM(PRESUPUESTO22[[#This Row],[   ENERO ]:[DIC]])</f>
        <v>0</v>
      </c>
      <c r="W513"/>
      <c r="X513"/>
    </row>
    <row r="514" spans="1:24" ht="15.95" customHeight="1" x14ac:dyDescent="0.25">
      <c r="A514" s="48"/>
      <c r="B514" s="134">
        <v>8030302</v>
      </c>
      <c r="C514" s="130" t="str">
        <f t="shared" si="189"/>
        <v>E-08030302</v>
      </c>
      <c r="D514" s="130">
        <v>464</v>
      </c>
      <c r="E514" s="134" t="s">
        <v>69</v>
      </c>
      <c r="F514" s="73" t="s">
        <v>417</v>
      </c>
      <c r="G514" s="193">
        <v>1684.25</v>
      </c>
      <c r="H514" s="193">
        <f>267.12+967.73+440+0.15</f>
        <v>1675</v>
      </c>
      <c r="I514" s="193">
        <v>0</v>
      </c>
      <c r="J514" s="193">
        <f>9.85+0.15</f>
        <v>10</v>
      </c>
      <c r="K514" s="193">
        <v>0</v>
      </c>
      <c r="L514" s="193">
        <v>0</v>
      </c>
      <c r="M514" s="193">
        <v>0</v>
      </c>
      <c r="N514" s="193">
        <v>0</v>
      </c>
      <c r="O514" s="193">
        <v>0</v>
      </c>
      <c r="P514" s="193">
        <v>0</v>
      </c>
      <c r="Q514" s="193">
        <v>0</v>
      </c>
      <c r="R514" s="193">
        <v>0</v>
      </c>
      <c r="S514" s="193">
        <v>0</v>
      </c>
      <c r="T514" s="193">
        <f t="shared" si="203"/>
        <v>1685</v>
      </c>
      <c r="U514"/>
      <c r="V514">
        <f>+PRESUPUESTO22[[#This Row],[EJECUTADO ]]-SUM(PRESUPUESTO22[[#This Row],[   ENERO ]:[DIC]])</f>
        <v>0</v>
      </c>
      <c r="W514"/>
      <c r="X514"/>
    </row>
    <row r="515" spans="1:24" ht="15.95" customHeight="1" x14ac:dyDescent="0.25">
      <c r="A515" s="48"/>
      <c r="B515" s="134">
        <v>8030303</v>
      </c>
      <c r="C515" s="130" t="str">
        <f t="shared" si="189"/>
        <v>E-08030303</v>
      </c>
      <c r="D515" s="130">
        <v>465</v>
      </c>
      <c r="E515" s="134" t="s">
        <v>69</v>
      </c>
      <c r="F515" s="73" t="s">
        <v>418</v>
      </c>
      <c r="G515" s="193">
        <v>12084.05</v>
      </c>
      <c r="H515" s="193">
        <f>12033.05-0.05</f>
        <v>12033</v>
      </c>
      <c r="I515" s="193">
        <v>0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93">
        <v>0</v>
      </c>
      <c r="Q515" s="193">
        <v>0</v>
      </c>
      <c r="R515" s="193">
        <v>0</v>
      </c>
      <c r="S515" s="193">
        <v>0</v>
      </c>
      <c r="T515" s="193">
        <f t="shared" si="203"/>
        <v>12033</v>
      </c>
      <c r="U515"/>
      <c r="V515">
        <f>+PRESUPUESTO22[[#This Row],[EJECUTADO ]]-SUM(PRESUPUESTO22[[#This Row],[   ENERO ]:[DIC]])</f>
        <v>0</v>
      </c>
      <c r="W515"/>
      <c r="X515"/>
    </row>
    <row r="516" spans="1:24" ht="15.95" customHeight="1" x14ac:dyDescent="0.25">
      <c r="A516" s="48"/>
      <c r="B516" s="134">
        <v>8030304</v>
      </c>
      <c r="C516" s="130" t="str">
        <f t="shared" si="189"/>
        <v>E-08030304</v>
      </c>
      <c r="D516" s="130">
        <v>466</v>
      </c>
      <c r="E516" s="134" t="s">
        <v>69</v>
      </c>
      <c r="F516" s="73" t="s">
        <v>419</v>
      </c>
      <c r="G516" s="193">
        <v>650</v>
      </c>
      <c r="H516" s="193">
        <v>650</v>
      </c>
      <c r="I516" s="193">
        <v>0</v>
      </c>
      <c r="J516" s="193">
        <v>0</v>
      </c>
      <c r="K516" s="193">
        <v>0</v>
      </c>
      <c r="L516" s="193">
        <v>0</v>
      </c>
      <c r="M516" s="193">
        <v>0</v>
      </c>
      <c r="N516" s="193">
        <v>0</v>
      </c>
      <c r="O516" s="193">
        <v>0</v>
      </c>
      <c r="P516" s="193">
        <v>0</v>
      </c>
      <c r="Q516" s="193">
        <v>0</v>
      </c>
      <c r="R516" s="193">
        <v>0</v>
      </c>
      <c r="S516" s="193">
        <v>0</v>
      </c>
      <c r="T516" s="193">
        <f t="shared" si="203"/>
        <v>650</v>
      </c>
      <c r="U516"/>
      <c r="V516">
        <f>+PRESUPUESTO22[[#This Row],[EJECUTADO ]]-SUM(PRESUPUESTO22[[#This Row],[   ENERO ]:[DIC]])</f>
        <v>0</v>
      </c>
      <c r="W516"/>
      <c r="X516"/>
    </row>
    <row r="517" spans="1:24" ht="15.95" customHeight="1" x14ac:dyDescent="0.25">
      <c r="A517" s="48"/>
      <c r="B517" s="134">
        <v>8030305</v>
      </c>
      <c r="C517" s="130" t="str">
        <f t="shared" si="189"/>
        <v>E-08030305</v>
      </c>
      <c r="D517" s="130">
        <v>467</v>
      </c>
      <c r="E517" s="134" t="s">
        <v>69</v>
      </c>
      <c r="F517" s="73" t="s">
        <v>420</v>
      </c>
      <c r="G517" s="193">
        <v>4305.3</v>
      </c>
      <c r="H517" s="193">
        <f>4305.3-0.3</f>
        <v>4305</v>
      </c>
      <c r="I517" s="193">
        <v>0</v>
      </c>
      <c r="J517" s="193">
        <v>0</v>
      </c>
      <c r="K517" s="193">
        <v>0</v>
      </c>
      <c r="L517" s="193">
        <v>0</v>
      </c>
      <c r="M517" s="193">
        <v>0</v>
      </c>
      <c r="N517" s="193">
        <v>0</v>
      </c>
      <c r="O517" s="193">
        <v>0</v>
      </c>
      <c r="P517" s="193">
        <v>0</v>
      </c>
      <c r="Q517" s="193">
        <v>0</v>
      </c>
      <c r="R517" s="193">
        <v>0</v>
      </c>
      <c r="S517" s="193">
        <v>0</v>
      </c>
      <c r="T517" s="193">
        <f t="shared" si="203"/>
        <v>4305</v>
      </c>
      <c r="U517"/>
      <c r="V517">
        <f>+PRESUPUESTO22[[#This Row],[EJECUTADO ]]-SUM(PRESUPUESTO22[[#This Row],[   ENERO ]:[DIC]])</f>
        <v>0</v>
      </c>
      <c r="W517"/>
      <c r="X517"/>
    </row>
    <row r="518" spans="1:24" ht="15.95" customHeight="1" x14ac:dyDescent="0.25">
      <c r="A518" s="48"/>
      <c r="B518" s="134">
        <v>8030306</v>
      </c>
      <c r="C518" s="130" t="str">
        <f t="shared" si="189"/>
        <v>E-08030306</v>
      </c>
      <c r="D518" s="130">
        <v>468</v>
      </c>
      <c r="E518" s="134" t="s">
        <v>69</v>
      </c>
      <c r="F518" s="73" t="s">
        <v>421</v>
      </c>
      <c r="G518" s="193">
        <v>6784.52</v>
      </c>
      <c r="H518" s="193">
        <f>6784.52+0.48</f>
        <v>6785</v>
      </c>
      <c r="I518" s="193">
        <v>0</v>
      </c>
      <c r="J518" s="193">
        <v>0</v>
      </c>
      <c r="K518" s="193">
        <v>0</v>
      </c>
      <c r="L518" s="193">
        <v>0</v>
      </c>
      <c r="M518" s="193">
        <v>0</v>
      </c>
      <c r="N518" s="193">
        <v>0</v>
      </c>
      <c r="O518" s="193">
        <v>0</v>
      </c>
      <c r="P518" s="193">
        <v>0</v>
      </c>
      <c r="Q518" s="193">
        <v>0</v>
      </c>
      <c r="R518" s="193">
        <v>0</v>
      </c>
      <c r="S518" s="193">
        <v>0</v>
      </c>
      <c r="T518" s="193">
        <f t="shared" si="203"/>
        <v>6785</v>
      </c>
      <c r="U518"/>
      <c r="V518">
        <f>+PRESUPUESTO22[[#This Row],[EJECUTADO ]]-SUM(PRESUPUESTO22[[#This Row],[   ENERO ]:[DIC]])</f>
        <v>0</v>
      </c>
      <c r="W518"/>
      <c r="X518"/>
    </row>
    <row r="519" spans="1:24" ht="15.95" customHeight="1" x14ac:dyDescent="0.25">
      <c r="A519" s="48"/>
      <c r="B519" s="134">
        <v>8030307</v>
      </c>
      <c r="C519" s="130" t="str">
        <f t="shared" si="189"/>
        <v>E-08030307</v>
      </c>
      <c r="D519" s="130">
        <v>469</v>
      </c>
      <c r="E519" s="134" t="s">
        <v>69</v>
      </c>
      <c r="F519" s="73" t="s">
        <v>422</v>
      </c>
      <c r="G519" s="193">
        <v>3265</v>
      </c>
      <c r="H519" s="193">
        <f>2399+356</f>
        <v>2755</v>
      </c>
      <c r="I519" s="193">
        <v>0</v>
      </c>
      <c r="J519" s="193">
        <v>0</v>
      </c>
      <c r="K519" s="193">
        <v>0</v>
      </c>
      <c r="L519" s="193">
        <v>0</v>
      </c>
      <c r="M519" s="193">
        <v>0</v>
      </c>
      <c r="N519" s="193">
        <v>0</v>
      </c>
      <c r="O519" s="193">
        <v>0</v>
      </c>
      <c r="P519" s="193">
        <v>0</v>
      </c>
      <c r="Q519" s="193">
        <v>0</v>
      </c>
      <c r="R519" s="193">
        <v>0</v>
      </c>
      <c r="S519" s="193">
        <v>0</v>
      </c>
      <c r="T519" s="193">
        <f t="shared" si="203"/>
        <v>2755</v>
      </c>
      <c r="U519"/>
      <c r="V519">
        <f>+PRESUPUESTO22[[#This Row],[EJECUTADO ]]-SUM(PRESUPUESTO22[[#This Row],[   ENERO ]:[DIC]])</f>
        <v>0</v>
      </c>
      <c r="W519"/>
      <c r="X519"/>
    </row>
    <row r="520" spans="1:24" ht="15.95" customHeight="1" x14ac:dyDescent="0.25">
      <c r="A520" s="48"/>
      <c r="B520" s="134">
        <v>8030308</v>
      </c>
      <c r="C520" s="130" t="str">
        <f t="shared" si="189"/>
        <v>E-08030308</v>
      </c>
      <c r="D520" s="130">
        <v>470</v>
      </c>
      <c r="E520" s="134" t="s">
        <v>69</v>
      </c>
      <c r="F520" s="73" t="s">
        <v>423</v>
      </c>
      <c r="G520" s="193">
        <v>0</v>
      </c>
      <c r="H520" s="193">
        <v>0</v>
      </c>
      <c r="I520" s="193">
        <v>0</v>
      </c>
      <c r="J520" s="193">
        <v>564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93">
        <v>0</v>
      </c>
      <c r="Q520" s="193">
        <v>0</v>
      </c>
      <c r="R520" s="193">
        <v>0</v>
      </c>
      <c r="S520" s="193">
        <v>0</v>
      </c>
      <c r="T520" s="193">
        <f t="shared" si="203"/>
        <v>564</v>
      </c>
      <c r="U520"/>
      <c r="V520">
        <f>+PRESUPUESTO22[[#This Row],[EJECUTADO ]]-SUM(PRESUPUESTO22[[#This Row],[   ENERO ]:[DIC]])</f>
        <v>0</v>
      </c>
      <c r="W520"/>
      <c r="X520"/>
    </row>
    <row r="521" spans="1:24" ht="15.95" customHeight="1" x14ac:dyDescent="0.25">
      <c r="A521" s="48"/>
      <c r="B521" s="134">
        <v>8030309</v>
      </c>
      <c r="C521" s="130" t="str">
        <f t="shared" si="189"/>
        <v>E-08030309</v>
      </c>
      <c r="D521" s="130">
        <v>471</v>
      </c>
      <c r="E521" s="134" t="s">
        <v>69</v>
      </c>
      <c r="F521" s="73" t="s">
        <v>424</v>
      </c>
      <c r="G521" s="193">
        <v>0</v>
      </c>
      <c r="H521" s="193">
        <f>1031.13-0.13</f>
        <v>1031</v>
      </c>
      <c r="I521" s="193">
        <v>0</v>
      </c>
      <c r="J521" s="193">
        <v>0</v>
      </c>
      <c r="K521" s="193">
        <v>0</v>
      </c>
      <c r="L521" s="193">
        <v>0</v>
      </c>
      <c r="M521" s="193">
        <v>0</v>
      </c>
      <c r="N521" s="193">
        <v>0</v>
      </c>
      <c r="O521" s="193">
        <f>106.2-0.2</f>
        <v>106</v>
      </c>
      <c r="P521" s="193">
        <v>0</v>
      </c>
      <c r="Q521" s="193">
        <v>0</v>
      </c>
      <c r="R521" s="193">
        <v>0</v>
      </c>
      <c r="S521" s="193">
        <v>0</v>
      </c>
      <c r="T521" s="193">
        <f t="shared" si="203"/>
        <v>1137</v>
      </c>
      <c r="U521"/>
      <c r="V521">
        <f>+PRESUPUESTO22[[#This Row],[EJECUTADO ]]-SUM(PRESUPUESTO22[[#This Row],[   ENERO ]:[DIC]])</f>
        <v>0</v>
      </c>
      <c r="W521"/>
      <c r="X521"/>
    </row>
    <row r="522" spans="1:24" ht="15.95" customHeight="1" x14ac:dyDescent="0.25">
      <c r="A522" s="48"/>
      <c r="B522" s="134">
        <v>8030310</v>
      </c>
      <c r="C522" s="130" t="str">
        <f t="shared" si="189"/>
        <v>E-08030310</v>
      </c>
      <c r="D522" s="130">
        <v>472</v>
      </c>
      <c r="E522" s="134" t="s">
        <v>69</v>
      </c>
      <c r="F522" s="73" t="s">
        <v>425</v>
      </c>
      <c r="G522" s="193">
        <v>0</v>
      </c>
      <c r="H522" s="193">
        <v>0</v>
      </c>
      <c r="I522" s="193">
        <v>0</v>
      </c>
      <c r="J522" s="193">
        <v>0</v>
      </c>
      <c r="K522" s="193">
        <v>0</v>
      </c>
      <c r="L522" s="193">
        <v>0</v>
      </c>
      <c r="M522" s="193">
        <f>2338.4-0.4</f>
        <v>2338</v>
      </c>
      <c r="N522" s="193">
        <v>0</v>
      </c>
      <c r="O522" s="193">
        <v>0</v>
      </c>
      <c r="P522" s="193">
        <v>0</v>
      </c>
      <c r="Q522" s="193">
        <v>0</v>
      </c>
      <c r="R522" s="193">
        <v>0</v>
      </c>
      <c r="S522" s="193">
        <v>0</v>
      </c>
      <c r="T522" s="193">
        <f t="shared" si="203"/>
        <v>2338</v>
      </c>
      <c r="U522"/>
      <c r="V522">
        <f>+PRESUPUESTO22[[#This Row],[EJECUTADO ]]-SUM(PRESUPUESTO22[[#This Row],[   ENERO ]:[DIC]])</f>
        <v>0</v>
      </c>
      <c r="W522"/>
      <c r="X522"/>
    </row>
    <row r="523" spans="1:24" ht="15.95" customHeight="1" x14ac:dyDescent="0.25">
      <c r="A523" s="48">
        <v>4</v>
      </c>
      <c r="B523" s="153">
        <v>80304</v>
      </c>
      <c r="C523" s="130" t="str">
        <f t="shared" si="189"/>
        <v>E-080304</v>
      </c>
      <c r="D523" s="130">
        <v>473</v>
      </c>
      <c r="E523" s="153" t="s">
        <v>69</v>
      </c>
      <c r="F523" s="212" t="s">
        <v>426</v>
      </c>
      <c r="G523" s="211">
        <f t="shared" ref="G523:T523" si="204">SUM(G524:G528)</f>
        <v>8500</v>
      </c>
      <c r="H523" s="211">
        <f t="shared" si="204"/>
        <v>0</v>
      </c>
      <c r="I523" s="211">
        <f t="shared" si="204"/>
        <v>0</v>
      </c>
      <c r="J523" s="211">
        <f t="shared" si="204"/>
        <v>0</v>
      </c>
      <c r="K523" s="211">
        <f t="shared" si="204"/>
        <v>0</v>
      </c>
      <c r="L523" s="211">
        <f t="shared" si="204"/>
        <v>0</v>
      </c>
      <c r="M523" s="211">
        <f t="shared" si="204"/>
        <v>80</v>
      </c>
      <c r="N523" s="211">
        <f t="shared" si="204"/>
        <v>80</v>
      </c>
      <c r="O523" s="211">
        <f t="shared" si="204"/>
        <v>80</v>
      </c>
      <c r="P523" s="211">
        <f t="shared" si="204"/>
        <v>80</v>
      </c>
      <c r="Q523" s="211">
        <f t="shared" si="204"/>
        <v>7153</v>
      </c>
      <c r="R523" s="211">
        <f t="shared" si="204"/>
        <v>-5173</v>
      </c>
      <c r="S523" s="211">
        <f t="shared" si="204"/>
        <v>0</v>
      </c>
      <c r="T523" s="211">
        <f t="shared" si="204"/>
        <v>2300</v>
      </c>
      <c r="U523"/>
      <c r="V523">
        <f>+PRESUPUESTO22[[#This Row],[EJECUTADO ]]-SUM(PRESUPUESTO22[[#This Row],[   ENERO ]:[DIC]])</f>
        <v>0</v>
      </c>
      <c r="W523"/>
      <c r="X523"/>
    </row>
    <row r="524" spans="1:24" ht="15.95" customHeight="1" x14ac:dyDescent="0.25">
      <c r="A524" s="48"/>
      <c r="B524" s="134">
        <v>8030401</v>
      </c>
      <c r="C524" s="130" t="str">
        <f t="shared" si="189"/>
        <v>E-08030401</v>
      </c>
      <c r="D524" s="130">
        <v>474</v>
      </c>
      <c r="E524" s="134" t="s">
        <v>72</v>
      </c>
      <c r="F524" s="73" t="s">
        <v>427</v>
      </c>
      <c r="G524" s="193">
        <v>560</v>
      </c>
      <c r="H524" s="193">
        <v>0</v>
      </c>
      <c r="I524" s="193">
        <v>0</v>
      </c>
      <c r="J524" s="193">
        <v>0</v>
      </c>
      <c r="K524" s="193">
        <v>0</v>
      </c>
      <c r="L524" s="193">
        <v>0</v>
      </c>
      <c r="M524" s="193">
        <v>80</v>
      </c>
      <c r="N524" s="193">
        <v>80</v>
      </c>
      <c r="O524" s="193">
        <v>80</v>
      </c>
      <c r="P524" s="193">
        <v>80</v>
      </c>
      <c r="Q524" s="193">
        <v>80</v>
      </c>
      <c r="R524" s="193">
        <v>80</v>
      </c>
      <c r="S524" s="193">
        <v>0</v>
      </c>
      <c r="T524" s="193">
        <f>SUM(H524:S524)</f>
        <v>480</v>
      </c>
      <c r="U524"/>
      <c r="V524">
        <f>+PRESUPUESTO22[[#This Row],[EJECUTADO ]]-SUM(PRESUPUESTO22[[#This Row],[   ENERO ]:[DIC]])</f>
        <v>0</v>
      </c>
      <c r="W524"/>
      <c r="X524"/>
    </row>
    <row r="525" spans="1:24" ht="15.95" customHeight="1" x14ac:dyDescent="0.25">
      <c r="A525" s="48"/>
      <c r="B525" s="134">
        <v>8030402</v>
      </c>
      <c r="C525" s="130" t="str">
        <f t="shared" si="189"/>
        <v>E-08030402</v>
      </c>
      <c r="D525" s="130">
        <v>475</v>
      </c>
      <c r="E525" s="134" t="s">
        <v>72</v>
      </c>
      <c r="F525" s="73" t="s">
        <v>1410</v>
      </c>
      <c r="G525" s="193">
        <f>3665-560</f>
        <v>3105</v>
      </c>
      <c r="H525" s="193">
        <v>0</v>
      </c>
      <c r="I525" s="193">
        <v>0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93">
        <v>0</v>
      </c>
      <c r="Q525" s="193">
        <v>0</v>
      </c>
      <c r="R525" s="193">
        <v>0</v>
      </c>
      <c r="S525" s="193">
        <v>0</v>
      </c>
      <c r="T525" s="193">
        <f>SUM(H525:S525)</f>
        <v>0</v>
      </c>
      <c r="U525"/>
      <c r="V525">
        <f>+PRESUPUESTO22[[#This Row],[EJECUTADO ]]-SUM(PRESUPUESTO22[[#This Row],[   ENERO ]:[DIC]])</f>
        <v>0</v>
      </c>
      <c r="W525"/>
      <c r="X525"/>
    </row>
    <row r="526" spans="1:24" ht="15.95" customHeight="1" x14ac:dyDescent="0.25">
      <c r="A526" s="48"/>
      <c r="B526" s="134">
        <v>8030403</v>
      </c>
      <c r="C526" s="358" t="str">
        <f t="shared" ref="C526:C528" si="205">"E"&amp;"-0"&amp;B526</f>
        <v>E-08030403</v>
      </c>
      <c r="D526" s="130">
        <v>476</v>
      </c>
      <c r="E526" s="134" t="s">
        <v>72</v>
      </c>
      <c r="F526" s="73" t="s">
        <v>1411</v>
      </c>
      <c r="G526" s="193">
        <v>2150</v>
      </c>
      <c r="H526" s="193">
        <v>0</v>
      </c>
      <c r="I526" s="193">
        <v>0</v>
      </c>
      <c r="J526" s="193">
        <v>0</v>
      </c>
      <c r="K526" s="193">
        <v>0</v>
      </c>
      <c r="L526" s="193">
        <v>0</v>
      </c>
      <c r="M526" s="193">
        <v>0</v>
      </c>
      <c r="N526" s="193">
        <v>0</v>
      </c>
      <c r="O526" s="193">
        <v>0</v>
      </c>
      <c r="P526" s="193">
        <v>0</v>
      </c>
      <c r="Q526" s="193">
        <v>326</v>
      </c>
      <c r="R526" s="193">
        <v>0</v>
      </c>
      <c r="S526" s="193">
        <v>0</v>
      </c>
      <c r="T526" s="193">
        <f>SUM(H526:S526)</f>
        <v>326</v>
      </c>
      <c r="U526"/>
      <c r="V526">
        <f>+PRESUPUESTO22[[#This Row],[EJECUTADO ]]-SUM(PRESUPUESTO22[[#This Row],[   ENERO ]:[DIC]])</f>
        <v>0</v>
      </c>
      <c r="W526"/>
      <c r="X526"/>
    </row>
    <row r="527" spans="1:24" ht="15.95" customHeight="1" x14ac:dyDescent="0.25">
      <c r="A527" s="48"/>
      <c r="B527" s="134">
        <v>8030404</v>
      </c>
      <c r="C527" s="358" t="str">
        <f t="shared" si="205"/>
        <v>E-08030404</v>
      </c>
      <c r="D527" s="130">
        <v>477</v>
      </c>
      <c r="E527" s="134" t="s">
        <v>72</v>
      </c>
      <c r="F527" s="73" t="s">
        <v>1412</v>
      </c>
      <c r="G527" s="193">
        <v>185</v>
      </c>
      <c r="H527" s="193">
        <v>0</v>
      </c>
      <c r="I527" s="193">
        <v>0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93">
        <v>0</v>
      </c>
      <c r="Q527" s="193">
        <v>0</v>
      </c>
      <c r="R527" s="193">
        <v>0</v>
      </c>
      <c r="S527" s="193">
        <v>0</v>
      </c>
      <c r="T527" s="193">
        <f>SUM(H527:S527)</f>
        <v>0</v>
      </c>
      <c r="U527"/>
      <c r="V527">
        <f>+PRESUPUESTO22[[#This Row],[EJECUTADO ]]-SUM(PRESUPUESTO22[[#This Row],[   ENERO ]:[DIC]])</f>
        <v>0</v>
      </c>
      <c r="W527"/>
      <c r="X527"/>
    </row>
    <row r="528" spans="1:24" ht="15.95" customHeight="1" x14ac:dyDescent="0.25">
      <c r="A528" s="48"/>
      <c r="B528" s="134">
        <v>8030405</v>
      </c>
      <c r="C528" s="130" t="str">
        <f t="shared" si="205"/>
        <v>E-08030405</v>
      </c>
      <c r="D528" s="130">
        <v>478</v>
      </c>
      <c r="E528" s="134" t="s">
        <v>72</v>
      </c>
      <c r="F528" s="73" t="s">
        <v>1413</v>
      </c>
      <c r="G528" s="193">
        <v>2500</v>
      </c>
      <c r="H528" s="193">
        <v>0</v>
      </c>
      <c r="I528" s="193">
        <v>0</v>
      </c>
      <c r="J528" s="193">
        <v>0</v>
      </c>
      <c r="K528" s="193">
        <v>0</v>
      </c>
      <c r="L528" s="193">
        <v>0</v>
      </c>
      <c r="M528" s="193">
        <v>0</v>
      </c>
      <c r="N528" s="193">
        <v>0</v>
      </c>
      <c r="O528" s="193">
        <v>0</v>
      </c>
      <c r="P528" s="193">
        <v>0</v>
      </c>
      <c r="Q528" s="193">
        <f>6000+397.2+349.75+0.05</f>
        <v>6747</v>
      </c>
      <c r="R528" s="193">
        <f>-6000+349.75+397.2+0.05</f>
        <v>-5253</v>
      </c>
      <c r="S528" s="193">
        <v>0</v>
      </c>
      <c r="T528" s="193">
        <f>SUM(H528:S528)</f>
        <v>1494</v>
      </c>
      <c r="U528"/>
      <c r="V528">
        <f>+PRESUPUESTO22[[#This Row],[EJECUTADO ]]-SUM(PRESUPUESTO22[[#This Row],[   ENERO ]:[DIC]])</f>
        <v>0</v>
      </c>
      <c r="W528"/>
      <c r="X528"/>
    </row>
    <row r="529" spans="1:24" ht="15.95" customHeight="1" x14ac:dyDescent="0.25">
      <c r="A529" s="48">
        <v>5</v>
      </c>
      <c r="B529" s="153">
        <v>80305</v>
      </c>
      <c r="C529" s="130" t="str">
        <f t="shared" si="189"/>
        <v>E-080305</v>
      </c>
      <c r="D529" s="130">
        <v>479</v>
      </c>
      <c r="E529" s="153" t="s">
        <v>69</v>
      </c>
      <c r="F529" s="212" t="s">
        <v>428</v>
      </c>
      <c r="G529" s="211">
        <v>390000</v>
      </c>
      <c r="H529" s="211">
        <f>+H530</f>
        <v>9833</v>
      </c>
      <c r="I529" s="211">
        <f t="shared" ref="I529:T529" si="206">+I530</f>
        <v>7899</v>
      </c>
      <c r="J529" s="211">
        <f t="shared" si="206"/>
        <v>0</v>
      </c>
      <c r="K529" s="211">
        <f t="shared" si="206"/>
        <v>5266</v>
      </c>
      <c r="L529" s="211">
        <f t="shared" si="206"/>
        <v>0</v>
      </c>
      <c r="M529" s="211">
        <f t="shared" si="206"/>
        <v>21922</v>
      </c>
      <c r="N529" s="211">
        <f t="shared" si="206"/>
        <v>0</v>
      </c>
      <c r="O529" s="211">
        <f t="shared" si="206"/>
        <v>0</v>
      </c>
      <c r="P529" s="211">
        <f t="shared" si="206"/>
        <v>0</v>
      </c>
      <c r="Q529" s="211">
        <f t="shared" si="206"/>
        <v>11713</v>
      </c>
      <c r="R529" s="211">
        <f t="shared" si="206"/>
        <v>930</v>
      </c>
      <c r="S529" s="211">
        <f t="shared" si="206"/>
        <v>0</v>
      </c>
      <c r="T529" s="211">
        <f t="shared" si="206"/>
        <v>57563</v>
      </c>
      <c r="U529"/>
      <c r="V529">
        <f>+PRESUPUESTO22[[#This Row],[EJECUTADO ]]-SUM(PRESUPUESTO22[[#This Row],[   ENERO ]:[DIC]])</f>
        <v>0</v>
      </c>
      <c r="W529"/>
      <c r="X529"/>
    </row>
    <row r="530" spans="1:24" ht="15.95" customHeight="1" x14ac:dyDescent="0.25">
      <c r="A530" s="48"/>
      <c r="B530" s="155">
        <v>8030501</v>
      </c>
      <c r="C530" s="130" t="str">
        <f t="shared" si="189"/>
        <v>E-08030501</v>
      </c>
      <c r="D530" s="130">
        <v>480</v>
      </c>
      <c r="E530" s="155" t="s">
        <v>72</v>
      </c>
      <c r="F530" s="214" t="s">
        <v>429</v>
      </c>
      <c r="G530" s="215">
        <f>SUM(G531:G539)</f>
        <v>390000</v>
      </c>
      <c r="H530" s="215">
        <f>SUM(H531:H539)</f>
        <v>9833</v>
      </c>
      <c r="I530" s="215">
        <f t="shared" ref="I530:T530" si="207">SUM(I531:I539)</f>
        <v>7899</v>
      </c>
      <c r="J530" s="215">
        <f t="shared" si="207"/>
        <v>0</v>
      </c>
      <c r="K530" s="215">
        <f t="shared" si="207"/>
        <v>5266</v>
      </c>
      <c r="L530" s="215">
        <f t="shared" si="207"/>
        <v>0</v>
      </c>
      <c r="M530" s="215">
        <f t="shared" si="207"/>
        <v>21922</v>
      </c>
      <c r="N530" s="215">
        <f t="shared" si="207"/>
        <v>0</v>
      </c>
      <c r="O530" s="215">
        <f t="shared" si="207"/>
        <v>0</v>
      </c>
      <c r="P530" s="215">
        <f t="shared" si="207"/>
        <v>0</v>
      </c>
      <c r="Q530" s="215">
        <f t="shared" si="207"/>
        <v>11713</v>
      </c>
      <c r="R530" s="215">
        <f t="shared" si="207"/>
        <v>930</v>
      </c>
      <c r="S530" s="215">
        <f t="shared" si="207"/>
        <v>0</v>
      </c>
      <c r="T530" s="215">
        <f t="shared" si="207"/>
        <v>57563</v>
      </c>
      <c r="U530"/>
      <c r="V530">
        <f>+PRESUPUESTO22[[#This Row],[EJECUTADO ]]-SUM(PRESUPUESTO22[[#This Row],[   ENERO ]:[DIC]])</f>
        <v>0</v>
      </c>
      <c r="W530"/>
      <c r="X530"/>
    </row>
    <row r="531" spans="1:24" ht="15.95" customHeight="1" x14ac:dyDescent="0.25">
      <c r="A531" s="48"/>
      <c r="B531" s="156">
        <v>803050101</v>
      </c>
      <c r="C531" s="130" t="str">
        <f t="shared" si="189"/>
        <v>E-0803050101</v>
      </c>
      <c r="D531" s="130">
        <v>481</v>
      </c>
      <c r="E531" s="156" t="s">
        <v>69</v>
      </c>
      <c r="F531" s="216" t="s">
        <v>430</v>
      </c>
      <c r="G531" s="193">
        <v>3000</v>
      </c>
      <c r="H531" s="193">
        <v>3000</v>
      </c>
      <c r="I531" s="193">
        <v>0</v>
      </c>
      <c r="J531" s="193">
        <v>0</v>
      </c>
      <c r="K531" s="193">
        <v>0</v>
      </c>
      <c r="L531" s="193">
        <v>0</v>
      </c>
      <c r="M531" s="193">
        <v>0</v>
      </c>
      <c r="N531" s="193">
        <v>0</v>
      </c>
      <c r="O531" s="193">
        <v>0</v>
      </c>
      <c r="P531" s="193">
        <v>0</v>
      </c>
      <c r="Q531" s="193">
        <v>0</v>
      </c>
      <c r="R531" s="193">
        <v>0</v>
      </c>
      <c r="S531" s="193">
        <v>0</v>
      </c>
      <c r="T531" s="193">
        <f t="shared" ref="T531:T539" si="208">SUM(H531:S531)</f>
        <v>3000</v>
      </c>
      <c r="U531"/>
      <c r="V531">
        <f>+PRESUPUESTO22[[#This Row],[EJECUTADO ]]-SUM(PRESUPUESTO22[[#This Row],[   ENERO ]:[DIC]])</f>
        <v>0</v>
      </c>
      <c r="W531"/>
      <c r="X531"/>
    </row>
    <row r="532" spans="1:24" ht="15.95" customHeight="1" x14ac:dyDescent="0.25">
      <c r="A532" s="48"/>
      <c r="B532" s="156">
        <v>803050102</v>
      </c>
      <c r="C532" s="130" t="str">
        <f t="shared" si="189"/>
        <v>E-0803050102</v>
      </c>
      <c r="D532" s="130">
        <v>482</v>
      </c>
      <c r="E532" s="156" t="s">
        <v>69</v>
      </c>
      <c r="F532" s="216" t="s">
        <v>431</v>
      </c>
      <c r="G532" s="193">
        <v>6835</v>
      </c>
      <c r="H532" s="193">
        <v>6833</v>
      </c>
      <c r="I532" s="193">
        <v>0</v>
      </c>
      <c r="J532" s="193">
        <v>0</v>
      </c>
      <c r="K532" s="193">
        <v>0</v>
      </c>
      <c r="L532" s="193">
        <v>0</v>
      </c>
      <c r="M532" s="193">
        <v>0</v>
      </c>
      <c r="N532" s="193">
        <v>0</v>
      </c>
      <c r="O532" s="193">
        <v>0</v>
      </c>
      <c r="P532" s="193">
        <v>0</v>
      </c>
      <c r="Q532" s="193">
        <v>0</v>
      </c>
      <c r="R532" s="193">
        <v>0</v>
      </c>
      <c r="S532" s="193">
        <v>0</v>
      </c>
      <c r="T532" s="193">
        <f t="shared" si="208"/>
        <v>6833</v>
      </c>
      <c r="U532"/>
      <c r="V532">
        <f>+PRESUPUESTO22[[#This Row],[EJECUTADO ]]-SUM(PRESUPUESTO22[[#This Row],[   ENERO ]:[DIC]])</f>
        <v>0</v>
      </c>
      <c r="W532"/>
      <c r="X532"/>
    </row>
    <row r="533" spans="1:24" ht="15.95" customHeight="1" x14ac:dyDescent="0.25">
      <c r="A533" s="48"/>
      <c r="B533" s="156">
        <v>803050103</v>
      </c>
      <c r="C533" s="130" t="str">
        <f t="shared" si="189"/>
        <v>E-0803050103</v>
      </c>
      <c r="D533" s="130">
        <v>483</v>
      </c>
      <c r="E533" s="156" t="s">
        <v>69</v>
      </c>
      <c r="F533" s="216" t="s">
        <v>1414</v>
      </c>
      <c r="G533" s="193">
        <v>13165</v>
      </c>
      <c r="H533" s="193">
        <v>0</v>
      </c>
      <c r="I533" s="193">
        <f>7898.7+0.3</f>
        <v>7899</v>
      </c>
      <c r="J533" s="193">
        <v>0</v>
      </c>
      <c r="K533" s="193">
        <f>5265.8+0.2</f>
        <v>5266</v>
      </c>
      <c r="L533" s="193">
        <v>0</v>
      </c>
      <c r="M533" s="193">
        <v>0</v>
      </c>
      <c r="N533" s="193">
        <v>0</v>
      </c>
      <c r="O533" s="193">
        <v>0</v>
      </c>
      <c r="P533" s="193">
        <v>0</v>
      </c>
      <c r="Q533" s="193">
        <v>0</v>
      </c>
      <c r="R533" s="193">
        <v>0</v>
      </c>
      <c r="S533" s="193">
        <v>0</v>
      </c>
      <c r="T533" s="193">
        <f t="shared" si="208"/>
        <v>13165</v>
      </c>
      <c r="U533"/>
      <c r="V533">
        <f>+PRESUPUESTO22[[#This Row],[EJECUTADO ]]-SUM(PRESUPUESTO22[[#This Row],[   ENERO ]:[DIC]])</f>
        <v>0</v>
      </c>
      <c r="W533"/>
      <c r="X533"/>
    </row>
    <row r="534" spans="1:24" ht="15.95" customHeight="1" x14ac:dyDescent="0.25">
      <c r="A534" s="48"/>
      <c r="B534" s="156">
        <v>803050104</v>
      </c>
      <c r="C534" s="130" t="str">
        <f t="shared" ref="C534:C595" si="209">"E"&amp;"-0"&amp;B534</f>
        <v>E-0803050104</v>
      </c>
      <c r="D534" s="130">
        <v>484</v>
      </c>
      <c r="E534" s="156" t="s">
        <v>69</v>
      </c>
      <c r="F534" s="216" t="s">
        <v>432</v>
      </c>
      <c r="G534" s="193">
        <v>90000</v>
      </c>
      <c r="H534" s="193">
        <v>0</v>
      </c>
      <c r="I534" s="193">
        <v>0</v>
      </c>
      <c r="J534" s="193">
        <v>0</v>
      </c>
      <c r="K534" s="193">
        <v>0</v>
      </c>
      <c r="L534" s="193">
        <v>0</v>
      </c>
      <c r="M534" s="193">
        <v>21922</v>
      </c>
      <c r="N534" s="193">
        <v>0</v>
      </c>
      <c r="O534" s="193">
        <v>0</v>
      </c>
      <c r="P534" s="193">
        <v>0</v>
      </c>
      <c r="Q534" s="193">
        <v>0</v>
      </c>
      <c r="R534" s="193">
        <v>0</v>
      </c>
      <c r="S534" s="193">
        <v>0</v>
      </c>
      <c r="T534" s="193">
        <f t="shared" si="208"/>
        <v>21922</v>
      </c>
      <c r="U534"/>
      <c r="V534">
        <f>+PRESUPUESTO22[[#This Row],[EJECUTADO ]]-SUM(PRESUPUESTO22[[#This Row],[   ENERO ]:[DIC]])</f>
        <v>0</v>
      </c>
      <c r="W534"/>
      <c r="X534"/>
    </row>
    <row r="535" spans="1:24" ht="15.95" customHeight="1" x14ac:dyDescent="0.25">
      <c r="A535" s="48"/>
      <c r="B535" s="156">
        <v>803050105</v>
      </c>
      <c r="C535" s="130" t="str">
        <f t="shared" si="209"/>
        <v>E-0803050105</v>
      </c>
      <c r="D535" s="130">
        <v>485</v>
      </c>
      <c r="E535" s="156" t="s">
        <v>69</v>
      </c>
      <c r="F535" s="216" t="s">
        <v>1415</v>
      </c>
      <c r="G535" s="193">
        <v>50000</v>
      </c>
      <c r="H535" s="193">
        <v>0</v>
      </c>
      <c r="I535" s="193">
        <v>0</v>
      </c>
      <c r="J535" s="193">
        <v>0</v>
      </c>
      <c r="K535" s="193">
        <v>0</v>
      </c>
      <c r="L535" s="193">
        <v>0</v>
      </c>
      <c r="M535" s="193">
        <v>0</v>
      </c>
      <c r="N535" s="193">
        <v>0</v>
      </c>
      <c r="O535" s="193">
        <v>0</v>
      </c>
      <c r="P535" s="193">
        <v>0</v>
      </c>
      <c r="Q535" s="193">
        <v>0</v>
      </c>
      <c r="R535" s="193">
        <v>930</v>
      </c>
      <c r="S535" s="193">
        <v>0</v>
      </c>
      <c r="T535" s="193">
        <f t="shared" si="208"/>
        <v>930</v>
      </c>
      <c r="U535"/>
      <c r="V535">
        <f>+PRESUPUESTO22[[#This Row],[EJECUTADO ]]-SUM(PRESUPUESTO22[[#This Row],[   ENERO ]:[DIC]])</f>
        <v>0</v>
      </c>
      <c r="W535"/>
      <c r="X535"/>
    </row>
    <row r="536" spans="1:24" ht="15.95" customHeight="1" x14ac:dyDescent="0.25">
      <c r="A536" s="48"/>
      <c r="B536" s="156">
        <v>803050106</v>
      </c>
      <c r="C536" s="130" t="str">
        <f t="shared" si="209"/>
        <v>E-0803050106</v>
      </c>
      <c r="D536" s="130">
        <v>486</v>
      </c>
      <c r="E536" s="156" t="s">
        <v>69</v>
      </c>
      <c r="F536" s="216" t="s">
        <v>433</v>
      </c>
      <c r="G536" s="193">
        <v>110000</v>
      </c>
      <c r="H536" s="193">
        <v>0</v>
      </c>
      <c r="I536" s="193">
        <v>0</v>
      </c>
      <c r="J536" s="193">
        <v>0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93">
        <v>0</v>
      </c>
      <c r="R536" s="193">
        <v>0</v>
      </c>
      <c r="S536" s="193">
        <v>0</v>
      </c>
      <c r="T536" s="193">
        <f t="shared" si="208"/>
        <v>0</v>
      </c>
      <c r="U536"/>
      <c r="V536">
        <f>+PRESUPUESTO22[[#This Row],[EJECUTADO ]]-SUM(PRESUPUESTO22[[#This Row],[   ENERO ]:[DIC]])</f>
        <v>0</v>
      </c>
      <c r="W536"/>
      <c r="X536"/>
    </row>
    <row r="537" spans="1:24" ht="15.95" customHeight="1" x14ac:dyDescent="0.25">
      <c r="A537" s="48"/>
      <c r="B537" s="156">
        <v>803050107</v>
      </c>
      <c r="C537" s="130" t="str">
        <f t="shared" si="209"/>
        <v>E-0803050107</v>
      </c>
      <c r="D537" s="130">
        <v>487</v>
      </c>
      <c r="E537" s="156" t="s">
        <v>69</v>
      </c>
      <c r="F537" s="216" t="s">
        <v>434</v>
      </c>
      <c r="G537" s="193">
        <v>20000</v>
      </c>
      <c r="H537" s="193">
        <v>0</v>
      </c>
      <c r="I537" s="193">
        <v>0</v>
      </c>
      <c r="J537" s="193">
        <v>0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93">
        <v>0</v>
      </c>
      <c r="R537" s="193">
        <v>0</v>
      </c>
      <c r="S537" s="193">
        <v>0</v>
      </c>
      <c r="T537" s="193">
        <f t="shared" si="208"/>
        <v>0</v>
      </c>
      <c r="U537"/>
      <c r="V537">
        <f>+PRESUPUESTO22[[#This Row],[EJECUTADO ]]-SUM(PRESUPUESTO22[[#This Row],[   ENERO ]:[DIC]])</f>
        <v>0</v>
      </c>
      <c r="W537"/>
      <c r="X537"/>
    </row>
    <row r="538" spans="1:24" ht="15.95" customHeight="1" x14ac:dyDescent="0.25">
      <c r="A538" s="48"/>
      <c r="B538" s="156">
        <v>803050109</v>
      </c>
      <c r="C538" s="130" t="str">
        <f>"E"&amp;"-0"&amp;B538</f>
        <v>E-0803050109</v>
      </c>
      <c r="D538" s="130">
        <v>488</v>
      </c>
      <c r="E538" s="156" t="s">
        <v>69</v>
      </c>
      <c r="F538" s="216" t="s">
        <v>1416</v>
      </c>
      <c r="G538" s="193">
        <v>0</v>
      </c>
      <c r="H538" s="193">
        <v>0</v>
      </c>
      <c r="I538" s="193">
        <v>0</v>
      </c>
      <c r="J538" s="193">
        <v>0</v>
      </c>
      <c r="K538" s="193">
        <v>0</v>
      </c>
      <c r="L538" s="193">
        <v>0</v>
      </c>
      <c r="M538" s="193">
        <v>0</v>
      </c>
      <c r="N538" s="193">
        <v>0</v>
      </c>
      <c r="O538" s="193">
        <v>0</v>
      </c>
      <c r="P538" s="193">
        <v>0</v>
      </c>
      <c r="Q538" s="193">
        <f>7956.47-0.47</f>
        <v>7956</v>
      </c>
      <c r="R538" s="193">
        <v>0</v>
      </c>
      <c r="S538" s="193">
        <v>0</v>
      </c>
      <c r="T538" s="193">
        <f t="shared" si="208"/>
        <v>7956</v>
      </c>
      <c r="U538"/>
      <c r="V538">
        <f>+PRESUPUESTO22[[#This Row],[EJECUTADO ]]-SUM(PRESUPUESTO22[[#This Row],[   ENERO ]:[DIC]])</f>
        <v>0</v>
      </c>
      <c r="W538"/>
      <c r="X538"/>
    </row>
    <row r="539" spans="1:24" ht="15.95" customHeight="1" x14ac:dyDescent="0.25">
      <c r="A539" s="48"/>
      <c r="B539" s="156">
        <v>803050108</v>
      </c>
      <c r="C539" s="130" t="str">
        <f t="shared" si="209"/>
        <v>E-0803050108</v>
      </c>
      <c r="D539" s="130">
        <v>489</v>
      </c>
      <c r="E539" s="156" t="s">
        <v>69</v>
      </c>
      <c r="F539" s="216" t="s">
        <v>1417</v>
      </c>
      <c r="G539" s="193">
        <v>97000</v>
      </c>
      <c r="H539" s="193">
        <v>0</v>
      </c>
      <c r="I539" s="193">
        <v>0</v>
      </c>
      <c r="J539" s="193">
        <v>0</v>
      </c>
      <c r="K539" s="193">
        <v>0</v>
      </c>
      <c r="L539" s="193">
        <v>0</v>
      </c>
      <c r="M539" s="193">
        <v>0</v>
      </c>
      <c r="N539" s="193">
        <v>0</v>
      </c>
      <c r="O539" s="193">
        <v>0</v>
      </c>
      <c r="P539" s="193">
        <v>0</v>
      </c>
      <c r="Q539" s="193">
        <v>3757</v>
      </c>
      <c r="R539" s="193">
        <v>0</v>
      </c>
      <c r="S539" s="193">
        <v>0</v>
      </c>
      <c r="T539" s="193">
        <f t="shared" si="208"/>
        <v>3757</v>
      </c>
      <c r="U539"/>
      <c r="V539">
        <f>+PRESUPUESTO22[[#This Row],[EJECUTADO ]]-SUM(PRESUPUESTO22[[#This Row],[   ENERO ]:[DIC]])</f>
        <v>0</v>
      </c>
      <c r="W539"/>
      <c r="X539"/>
    </row>
    <row r="540" spans="1:24" ht="15.95" customHeight="1" x14ac:dyDescent="0.25">
      <c r="A540" s="48">
        <v>6</v>
      </c>
      <c r="B540" s="153">
        <v>80306</v>
      </c>
      <c r="C540" s="130" t="str">
        <f t="shared" si="209"/>
        <v>E-080306</v>
      </c>
      <c r="D540" s="130">
        <v>490</v>
      </c>
      <c r="E540" s="153" t="s">
        <v>69</v>
      </c>
      <c r="F540" s="212" t="s">
        <v>435</v>
      </c>
      <c r="G540" s="211"/>
      <c r="H540" s="211">
        <f t="shared" ref="H540:T540" si="210">+H541+H551</f>
        <v>34314</v>
      </c>
      <c r="I540" s="211">
        <f t="shared" si="210"/>
        <v>54297</v>
      </c>
      <c r="J540" s="211">
        <f t="shared" si="210"/>
        <v>59929</v>
      </c>
      <c r="K540" s="211">
        <f t="shared" si="210"/>
        <v>72187</v>
      </c>
      <c r="L540" s="211">
        <f t="shared" si="210"/>
        <v>110719</v>
      </c>
      <c r="M540" s="211">
        <f t="shared" si="210"/>
        <v>-324589</v>
      </c>
      <c r="N540" s="211">
        <f t="shared" si="210"/>
        <v>36203</v>
      </c>
      <c r="O540" s="211">
        <f t="shared" si="210"/>
        <v>36861</v>
      </c>
      <c r="P540" s="211">
        <f t="shared" si="210"/>
        <v>-79921</v>
      </c>
      <c r="Q540" s="211">
        <f t="shared" si="210"/>
        <v>0</v>
      </c>
      <c r="R540" s="211">
        <f t="shared" si="210"/>
        <v>0</v>
      </c>
      <c r="S540" s="211">
        <f t="shared" si="210"/>
        <v>0</v>
      </c>
      <c r="T540" s="211">
        <f t="shared" si="210"/>
        <v>0</v>
      </c>
      <c r="U540"/>
      <c r="V540">
        <f>+PRESUPUESTO22[[#This Row],[EJECUTADO ]]-SUM(PRESUPUESTO22[[#This Row],[   ENERO ]:[DIC]])</f>
        <v>0</v>
      </c>
      <c r="W540"/>
      <c r="X540"/>
    </row>
    <row r="541" spans="1:24" ht="15.95" customHeight="1" x14ac:dyDescent="0.25">
      <c r="A541" s="48"/>
      <c r="B541" s="136">
        <v>8030601</v>
      </c>
      <c r="C541" s="130" t="str">
        <f t="shared" si="209"/>
        <v>E-08030601</v>
      </c>
      <c r="D541" s="130">
        <v>491</v>
      </c>
      <c r="E541" s="136" t="s">
        <v>69</v>
      </c>
      <c r="F541" s="129" t="s">
        <v>436</v>
      </c>
      <c r="G541" s="217">
        <v>823000</v>
      </c>
      <c r="H541" s="217">
        <f t="shared" ref="H541:T541" si="211">SUM(H542:H548)</f>
        <v>4322</v>
      </c>
      <c r="I541" s="217">
        <f t="shared" si="211"/>
        <v>23235</v>
      </c>
      <c r="J541" s="217">
        <f t="shared" si="211"/>
        <v>23620</v>
      </c>
      <c r="K541" s="217">
        <f t="shared" si="211"/>
        <v>23348</v>
      </c>
      <c r="L541" s="217">
        <f t="shared" si="211"/>
        <v>62680</v>
      </c>
      <c r="M541" s="217">
        <f t="shared" si="211"/>
        <v>-130348</v>
      </c>
      <c r="N541" s="217">
        <f t="shared" si="211"/>
        <v>36203</v>
      </c>
      <c r="O541" s="217">
        <f t="shared" si="211"/>
        <v>36861</v>
      </c>
      <c r="P541" s="217">
        <f t="shared" si="211"/>
        <v>-79921</v>
      </c>
      <c r="Q541" s="217">
        <f t="shared" si="211"/>
        <v>0</v>
      </c>
      <c r="R541" s="217">
        <f t="shared" si="211"/>
        <v>0</v>
      </c>
      <c r="S541" s="217">
        <f t="shared" si="211"/>
        <v>0</v>
      </c>
      <c r="T541" s="217">
        <f t="shared" si="211"/>
        <v>0</v>
      </c>
      <c r="U541"/>
      <c r="V541">
        <f>+PRESUPUESTO22[[#This Row],[EJECUTADO ]]-SUM(PRESUPUESTO22[[#This Row],[   ENERO ]:[DIC]])</f>
        <v>0</v>
      </c>
      <c r="W541"/>
      <c r="X541"/>
    </row>
    <row r="542" spans="1:24" ht="15.95" customHeight="1" x14ac:dyDescent="0.25">
      <c r="A542" s="48"/>
      <c r="B542" s="134">
        <v>803060101</v>
      </c>
      <c r="C542" s="130" t="str">
        <f t="shared" si="209"/>
        <v>E-0803060101</v>
      </c>
      <c r="D542" s="130">
        <v>492</v>
      </c>
      <c r="E542" s="134" t="s">
        <v>69</v>
      </c>
      <c r="F542" s="73" t="s">
        <v>437</v>
      </c>
      <c r="G542" s="193"/>
      <c r="H542" s="193">
        <v>3733</v>
      </c>
      <c r="I542" s="193">
        <v>22615</v>
      </c>
      <c r="J542" s="193">
        <v>23000</v>
      </c>
      <c r="K542" s="193">
        <v>22766</v>
      </c>
      <c r="L542" s="193">
        <f>22475+4525+5700+25460</f>
        <v>58160</v>
      </c>
      <c r="M542" s="193">
        <f>600+600+600+600</f>
        <v>2400</v>
      </c>
      <c r="N542" s="193">
        <f>1200+26142.5+0.5</f>
        <v>27343</v>
      </c>
      <c r="O542" s="193">
        <f>26500+1200</f>
        <v>27700</v>
      </c>
      <c r="P542" s="193">
        <v>0</v>
      </c>
      <c r="Q542" s="193">
        <v>0</v>
      </c>
      <c r="R542" s="193">
        <v>0</v>
      </c>
      <c r="S542" s="193">
        <v>0</v>
      </c>
      <c r="T542" s="193">
        <f t="shared" ref="T542:T550" si="212">SUM(H542:S542)</f>
        <v>187717</v>
      </c>
      <c r="U542"/>
      <c r="V542">
        <f>+PRESUPUESTO22[[#This Row],[EJECUTADO ]]-SUM(PRESUPUESTO22[[#This Row],[   ENERO ]:[DIC]])</f>
        <v>0</v>
      </c>
      <c r="W542"/>
      <c r="X542"/>
    </row>
    <row r="543" spans="1:24" ht="15.95" customHeight="1" x14ac:dyDescent="0.25">
      <c r="A543" s="48"/>
      <c r="B543" s="134">
        <v>803060102</v>
      </c>
      <c r="C543" s="130" t="str">
        <f t="shared" si="209"/>
        <v>E-0803060102</v>
      </c>
      <c r="D543" s="130">
        <v>493</v>
      </c>
      <c r="E543" s="134" t="s">
        <v>69</v>
      </c>
      <c r="F543" s="73" t="s">
        <v>438</v>
      </c>
      <c r="G543" s="193"/>
      <c r="H543" s="193">
        <f>588.53+0.47</f>
        <v>589</v>
      </c>
      <c r="I543" s="193">
        <f>620.26-0.26</f>
        <v>620</v>
      </c>
      <c r="J543" s="193">
        <f>620.26-0.26</f>
        <v>620</v>
      </c>
      <c r="K543" s="193">
        <f>582.27-0.27</f>
        <v>582</v>
      </c>
      <c r="L543" s="193">
        <f>4520.32-0.32</f>
        <v>4520</v>
      </c>
      <c r="M543" s="193">
        <f>4418.75+0.25</f>
        <v>4419</v>
      </c>
      <c r="N543" s="193">
        <v>7327</v>
      </c>
      <c r="O543" s="193">
        <v>6961</v>
      </c>
      <c r="P543" s="193">
        <v>0</v>
      </c>
      <c r="Q543" s="193">
        <v>0</v>
      </c>
      <c r="R543" s="193">
        <v>0</v>
      </c>
      <c r="S543" s="193"/>
      <c r="T543" s="193">
        <f t="shared" si="212"/>
        <v>25638</v>
      </c>
      <c r="U543"/>
      <c r="V543">
        <f>+PRESUPUESTO22[[#This Row],[EJECUTADO ]]-SUM(PRESUPUESTO22[[#This Row],[   ENERO ]:[DIC]])</f>
        <v>0</v>
      </c>
      <c r="W543"/>
      <c r="X543"/>
    </row>
    <row r="544" spans="1:24" ht="15.95" customHeight="1" x14ac:dyDescent="0.25">
      <c r="A544" s="48"/>
      <c r="B544" s="134">
        <v>803060103</v>
      </c>
      <c r="C544" s="130" t="str">
        <f t="shared" si="209"/>
        <v>E-0803060103</v>
      </c>
      <c r="D544" s="130">
        <v>494</v>
      </c>
      <c r="E544" s="134" t="s">
        <v>69</v>
      </c>
      <c r="F544" s="73" t="s">
        <v>439</v>
      </c>
      <c r="G544" s="193"/>
      <c r="H544" s="193">
        <v>0</v>
      </c>
      <c r="I544" s="193">
        <v>0</v>
      </c>
      <c r="J544" s="193">
        <v>0</v>
      </c>
      <c r="K544" s="193">
        <v>0</v>
      </c>
      <c r="L544" s="193">
        <v>0</v>
      </c>
      <c r="M544" s="193">
        <v>0</v>
      </c>
      <c r="N544" s="193">
        <f>577.25-0.25</f>
        <v>577</v>
      </c>
      <c r="O544" s="193">
        <v>0</v>
      </c>
      <c r="P544" s="193">
        <v>0</v>
      </c>
      <c r="Q544" s="193">
        <v>0</v>
      </c>
      <c r="R544" s="193">
        <v>0</v>
      </c>
      <c r="S544" s="193">
        <v>0</v>
      </c>
      <c r="T544" s="193">
        <f t="shared" si="212"/>
        <v>577</v>
      </c>
      <c r="U544"/>
      <c r="V544">
        <f>+PRESUPUESTO22[[#This Row],[EJECUTADO ]]-SUM(PRESUPUESTO22[[#This Row],[   ENERO ]:[DIC]])</f>
        <v>0</v>
      </c>
      <c r="W544"/>
      <c r="X544"/>
    </row>
    <row r="545" spans="1:24" ht="15.95" customHeight="1" x14ac:dyDescent="0.25">
      <c r="A545" s="48"/>
      <c r="B545" s="134">
        <v>803060104</v>
      </c>
      <c r="C545" s="130" t="str">
        <f t="shared" si="209"/>
        <v>E-0803060104</v>
      </c>
      <c r="D545" s="130">
        <v>495</v>
      </c>
      <c r="E545" s="134" t="s">
        <v>69</v>
      </c>
      <c r="F545" s="73" t="s">
        <v>440</v>
      </c>
      <c r="G545" s="193"/>
      <c r="H545" s="193">
        <v>0</v>
      </c>
      <c r="I545" s="193">
        <v>0</v>
      </c>
      <c r="J545" s="193">
        <v>0</v>
      </c>
      <c r="K545" s="193">
        <v>0</v>
      </c>
      <c r="L545" s="193">
        <v>0</v>
      </c>
      <c r="M545" s="193">
        <v>0</v>
      </c>
      <c r="N545" s="193">
        <f>956.48-0.48</f>
        <v>956</v>
      </c>
      <c r="O545" s="193">
        <v>0</v>
      </c>
      <c r="P545" s="193">
        <v>0</v>
      </c>
      <c r="Q545" s="193">
        <v>0</v>
      </c>
      <c r="R545" s="193">
        <v>0</v>
      </c>
      <c r="S545" s="193">
        <v>0</v>
      </c>
      <c r="T545" s="193">
        <f t="shared" si="212"/>
        <v>956</v>
      </c>
      <c r="U545"/>
      <c r="V545">
        <f>+PRESUPUESTO22[[#This Row],[EJECUTADO ]]-SUM(PRESUPUESTO22[[#This Row],[   ENERO ]:[DIC]])</f>
        <v>0</v>
      </c>
      <c r="W545"/>
      <c r="X545"/>
    </row>
    <row r="546" spans="1:24" ht="15.95" customHeight="1" x14ac:dyDescent="0.25">
      <c r="A546" s="48"/>
      <c r="B546" s="134">
        <v>803060105</v>
      </c>
      <c r="C546" s="130" t="str">
        <f t="shared" si="209"/>
        <v>E-0803060105</v>
      </c>
      <c r="D546" s="130">
        <v>496</v>
      </c>
      <c r="E546" s="134" t="s">
        <v>69</v>
      </c>
      <c r="F546" s="73" t="s">
        <v>441</v>
      </c>
      <c r="G546" s="193"/>
      <c r="H546" s="193">
        <v>0</v>
      </c>
      <c r="I546" s="193">
        <v>0</v>
      </c>
      <c r="J546" s="193">
        <v>0</v>
      </c>
      <c r="K546" s="193">
        <v>0</v>
      </c>
      <c r="L546" s="193">
        <v>0</v>
      </c>
      <c r="M546" s="193">
        <v>0</v>
      </c>
      <c r="N546" s="193">
        <v>0</v>
      </c>
      <c r="O546" s="193">
        <f>367.2-0.2</f>
        <v>367</v>
      </c>
      <c r="P546" s="193">
        <v>0</v>
      </c>
      <c r="Q546" s="193">
        <v>0</v>
      </c>
      <c r="R546" s="193">
        <v>0</v>
      </c>
      <c r="S546" s="193">
        <v>0</v>
      </c>
      <c r="T546" s="193">
        <f t="shared" si="212"/>
        <v>367</v>
      </c>
      <c r="U546"/>
      <c r="V546">
        <f>+PRESUPUESTO22[[#This Row],[EJECUTADO ]]-SUM(PRESUPUESTO22[[#This Row],[   ENERO ]:[DIC]])</f>
        <v>0</v>
      </c>
      <c r="W546"/>
      <c r="X546"/>
    </row>
    <row r="547" spans="1:24" ht="15.95" customHeight="1" x14ac:dyDescent="0.25">
      <c r="A547" s="48"/>
      <c r="B547" s="134">
        <v>803060106</v>
      </c>
      <c r="C547" s="130" t="str">
        <f t="shared" si="209"/>
        <v>E-0803060106</v>
      </c>
      <c r="D547" s="130">
        <v>497</v>
      </c>
      <c r="E547" s="134" t="s">
        <v>69</v>
      </c>
      <c r="F547" s="73" t="s">
        <v>442</v>
      </c>
      <c r="G547" s="193"/>
      <c r="H547" s="193">
        <v>0</v>
      </c>
      <c r="I547" s="193">
        <v>0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f>1832.63+0.37</f>
        <v>1833</v>
      </c>
      <c r="P547" s="193">
        <v>0</v>
      </c>
      <c r="Q547" s="193">
        <v>0</v>
      </c>
      <c r="R547" s="193">
        <v>0</v>
      </c>
      <c r="S547" s="193"/>
      <c r="T547" s="193">
        <f t="shared" si="212"/>
        <v>1833</v>
      </c>
      <c r="U547"/>
      <c r="V547">
        <f>+PRESUPUESTO22[[#This Row],[EJECUTADO ]]-SUM(PRESUPUESTO22[[#This Row],[   ENERO ]:[DIC]])</f>
        <v>0</v>
      </c>
      <c r="W547"/>
      <c r="X547"/>
    </row>
    <row r="548" spans="1:24" ht="15.95" customHeight="1" x14ac:dyDescent="0.25">
      <c r="A548" s="48"/>
      <c r="B548" s="134">
        <v>803060107</v>
      </c>
      <c r="C548" s="130" t="str">
        <f t="shared" si="209"/>
        <v>E-0803060107</v>
      </c>
      <c r="D548" s="130">
        <v>498</v>
      </c>
      <c r="E548" s="134" t="s">
        <v>69</v>
      </c>
      <c r="F548" s="73" t="s">
        <v>443</v>
      </c>
      <c r="G548" s="193"/>
      <c r="H548" s="193">
        <v>0</v>
      </c>
      <c r="I548" s="193">
        <v>0</v>
      </c>
      <c r="J548" s="193">
        <v>0</v>
      </c>
      <c r="K548" s="193">
        <v>0</v>
      </c>
      <c r="L548" s="193">
        <v>0</v>
      </c>
      <c r="M548" s="193">
        <f>-137166.78-0.22</f>
        <v>-137167</v>
      </c>
      <c r="N548" s="193">
        <v>0</v>
      </c>
      <c r="O548" s="193">
        <v>0</v>
      </c>
      <c r="P548" s="193">
        <v>-79921</v>
      </c>
      <c r="Q548" s="193">
        <v>0</v>
      </c>
      <c r="R548" s="193">
        <v>0</v>
      </c>
      <c r="S548" s="193">
        <v>0</v>
      </c>
      <c r="T548" s="193">
        <f t="shared" si="212"/>
        <v>-217088</v>
      </c>
      <c r="U548"/>
      <c r="V548">
        <f>+PRESUPUESTO22[[#This Row],[EJECUTADO ]]-SUM(PRESUPUESTO22[[#This Row],[   ENERO ]:[DIC]])</f>
        <v>0</v>
      </c>
      <c r="W548"/>
      <c r="X548"/>
    </row>
    <row r="549" spans="1:24" ht="15.95" customHeight="1" x14ac:dyDescent="0.25">
      <c r="A549" s="48"/>
      <c r="B549" s="134">
        <v>803060108</v>
      </c>
      <c r="C549" s="130" t="str">
        <f t="shared" si="209"/>
        <v>E-0803060108</v>
      </c>
      <c r="D549" s="130">
        <v>499</v>
      </c>
      <c r="E549" s="134" t="s">
        <v>69</v>
      </c>
      <c r="F549" s="73" t="s">
        <v>444</v>
      </c>
      <c r="G549" s="193"/>
      <c r="H549" s="193">
        <v>0</v>
      </c>
      <c r="I549" s="193">
        <v>0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93">
        <v>0</v>
      </c>
      <c r="Q549" s="193">
        <v>0</v>
      </c>
      <c r="R549" s="193">
        <v>0</v>
      </c>
      <c r="S549" s="193">
        <v>0</v>
      </c>
      <c r="T549" s="193">
        <f t="shared" si="212"/>
        <v>0</v>
      </c>
      <c r="U549"/>
      <c r="V549">
        <f>+PRESUPUESTO22[[#This Row],[EJECUTADO ]]-SUM(PRESUPUESTO22[[#This Row],[   ENERO ]:[DIC]])</f>
        <v>0</v>
      </c>
      <c r="W549"/>
      <c r="X549"/>
    </row>
    <row r="550" spans="1:24" ht="15.95" customHeight="1" x14ac:dyDescent="0.25">
      <c r="A550" s="48"/>
      <c r="B550" s="134">
        <v>803060109</v>
      </c>
      <c r="C550" s="130" t="str">
        <f t="shared" si="209"/>
        <v>E-0803060109</v>
      </c>
      <c r="D550" s="130">
        <v>500</v>
      </c>
      <c r="E550" s="134" t="s">
        <v>69</v>
      </c>
      <c r="F550" s="73" t="s">
        <v>445</v>
      </c>
      <c r="G550" s="193"/>
      <c r="H550" s="193">
        <v>0</v>
      </c>
      <c r="I550" s="193">
        <v>0</v>
      </c>
      <c r="J550" s="193">
        <v>0</v>
      </c>
      <c r="K550" s="193">
        <v>0</v>
      </c>
      <c r="L550" s="193">
        <v>0</v>
      </c>
      <c r="M550" s="193">
        <v>0</v>
      </c>
      <c r="N550" s="193">
        <v>0</v>
      </c>
      <c r="O550" s="193">
        <v>0</v>
      </c>
      <c r="P550" s="193">
        <v>0</v>
      </c>
      <c r="Q550" s="193">
        <v>0</v>
      </c>
      <c r="R550" s="193">
        <v>0</v>
      </c>
      <c r="S550" s="193">
        <v>0</v>
      </c>
      <c r="T550" s="193">
        <f t="shared" si="212"/>
        <v>0</v>
      </c>
      <c r="U550"/>
      <c r="V550">
        <f>+PRESUPUESTO22[[#This Row],[EJECUTADO ]]-SUM(PRESUPUESTO22[[#This Row],[   ENERO ]:[DIC]])</f>
        <v>0</v>
      </c>
      <c r="W550"/>
      <c r="X550"/>
    </row>
    <row r="551" spans="1:24" ht="15.95" customHeight="1" x14ac:dyDescent="0.25">
      <c r="A551" s="48"/>
      <c r="B551" s="136">
        <v>8030602</v>
      </c>
      <c r="C551" s="130" t="str">
        <f t="shared" si="209"/>
        <v>E-08030602</v>
      </c>
      <c r="D551" s="130">
        <v>501</v>
      </c>
      <c r="E551" s="136" t="s">
        <v>69</v>
      </c>
      <c r="F551" s="129" t="s">
        <v>446</v>
      </c>
      <c r="G551" s="217">
        <v>1000000</v>
      </c>
      <c r="H551" s="217">
        <f t="shared" ref="H551:T551" si="213">SUM(H552:H555)</f>
        <v>29992</v>
      </c>
      <c r="I551" s="217">
        <f t="shared" si="213"/>
        <v>31062</v>
      </c>
      <c r="J551" s="217">
        <f t="shared" si="213"/>
        <v>36309</v>
      </c>
      <c r="K551" s="217">
        <f t="shared" si="213"/>
        <v>48839</v>
      </c>
      <c r="L551" s="217">
        <f t="shared" si="213"/>
        <v>48039</v>
      </c>
      <c r="M551" s="217">
        <f t="shared" si="213"/>
        <v>-194241</v>
      </c>
      <c r="N551" s="217">
        <f t="shared" si="213"/>
        <v>0</v>
      </c>
      <c r="O551" s="217">
        <f t="shared" si="213"/>
        <v>0</v>
      </c>
      <c r="P551" s="217">
        <f t="shared" si="213"/>
        <v>0</v>
      </c>
      <c r="Q551" s="217">
        <f t="shared" si="213"/>
        <v>0</v>
      </c>
      <c r="R551" s="217">
        <f t="shared" si="213"/>
        <v>0</v>
      </c>
      <c r="S551" s="217">
        <f t="shared" si="213"/>
        <v>0</v>
      </c>
      <c r="T551" s="217">
        <f t="shared" si="213"/>
        <v>0</v>
      </c>
      <c r="U551"/>
      <c r="V551">
        <f>+PRESUPUESTO22[[#This Row],[EJECUTADO ]]-SUM(PRESUPUESTO22[[#This Row],[   ENERO ]:[DIC]])</f>
        <v>0</v>
      </c>
      <c r="W551"/>
      <c r="X551"/>
    </row>
    <row r="552" spans="1:24" ht="15.95" customHeight="1" x14ac:dyDescent="0.25">
      <c r="A552" s="48"/>
      <c r="B552" s="134">
        <v>803060201</v>
      </c>
      <c r="C552" s="130" t="str">
        <f t="shared" si="209"/>
        <v>E-0803060201</v>
      </c>
      <c r="D552" s="130">
        <v>502</v>
      </c>
      <c r="E552" s="134" t="s">
        <v>69</v>
      </c>
      <c r="F552" s="73" t="s">
        <v>447</v>
      </c>
      <c r="G552" s="193"/>
      <c r="H552" s="193">
        <v>16800</v>
      </c>
      <c r="I552" s="193">
        <v>18615</v>
      </c>
      <c r="J552" s="193">
        <v>19000</v>
      </c>
      <c r="K552" s="193">
        <v>19000</v>
      </c>
      <c r="L552" s="193">
        <v>19000</v>
      </c>
      <c r="M552" s="193">
        <v>19000</v>
      </c>
      <c r="N552" s="193">
        <v>0</v>
      </c>
      <c r="O552" s="193">
        <v>0</v>
      </c>
      <c r="P552" s="193">
        <v>0</v>
      </c>
      <c r="Q552" s="193">
        <v>0</v>
      </c>
      <c r="R552" s="193">
        <v>0</v>
      </c>
      <c r="S552" s="193">
        <v>0</v>
      </c>
      <c r="T552" s="193">
        <f>SUM(H552:S552)</f>
        <v>111415</v>
      </c>
      <c r="U552"/>
      <c r="V552">
        <f>+PRESUPUESTO22[[#This Row],[EJECUTADO ]]-SUM(PRESUPUESTO22[[#This Row],[   ENERO ]:[DIC]])</f>
        <v>0</v>
      </c>
      <c r="W552"/>
      <c r="X552"/>
    </row>
    <row r="553" spans="1:24" ht="15.95" customHeight="1" x14ac:dyDescent="0.25">
      <c r="A553" s="48"/>
      <c r="B553" s="134">
        <v>803060202</v>
      </c>
      <c r="C553" s="130" t="str">
        <f t="shared" si="209"/>
        <v>E-0803060202</v>
      </c>
      <c r="D553" s="130">
        <v>503</v>
      </c>
      <c r="E553" s="134" t="s">
        <v>69</v>
      </c>
      <c r="F553" s="73" t="s">
        <v>448</v>
      </c>
      <c r="G553" s="193"/>
      <c r="H553" s="193">
        <v>10600</v>
      </c>
      <c r="I553" s="193">
        <v>9600</v>
      </c>
      <c r="J553" s="193">
        <v>14400</v>
      </c>
      <c r="K553" s="193">
        <v>26930</v>
      </c>
      <c r="L553" s="193">
        <v>26130</v>
      </c>
      <c r="M553" s="193">
        <f>23896.29+1433.71</f>
        <v>25330</v>
      </c>
      <c r="N553" s="193">
        <v>0</v>
      </c>
      <c r="O553" s="193">
        <v>0</v>
      </c>
      <c r="P553" s="193">
        <v>0</v>
      </c>
      <c r="Q553" s="193">
        <v>0</v>
      </c>
      <c r="R553" s="193">
        <v>0</v>
      </c>
      <c r="S553" s="193">
        <v>0</v>
      </c>
      <c r="T553" s="193">
        <f>SUM(H553:S553)</f>
        <v>112990</v>
      </c>
      <c r="U553"/>
      <c r="V553">
        <f>+PRESUPUESTO22[[#This Row],[EJECUTADO ]]-SUM(PRESUPUESTO22[[#This Row],[   ENERO ]:[DIC]])</f>
        <v>0</v>
      </c>
      <c r="W553"/>
      <c r="X553"/>
    </row>
    <row r="554" spans="1:24" ht="15.95" customHeight="1" x14ac:dyDescent="0.25">
      <c r="A554" s="48"/>
      <c r="B554" s="134">
        <v>803060203</v>
      </c>
      <c r="C554" s="130" t="str">
        <f t="shared" si="209"/>
        <v>E-0803060203</v>
      </c>
      <c r="D554" s="130">
        <v>504</v>
      </c>
      <c r="E554" s="134" t="s">
        <v>69</v>
      </c>
      <c r="F554" s="73" t="s">
        <v>438</v>
      </c>
      <c r="G554" s="193"/>
      <c r="H554" s="193">
        <f>2591.73+0.27</f>
        <v>2592</v>
      </c>
      <c r="I554" s="193">
        <f>3467-620.26+0.26</f>
        <v>2847</v>
      </c>
      <c r="J554" s="193">
        <f>3529-620.26+0.26</f>
        <v>2909</v>
      </c>
      <c r="K554" s="193">
        <f>3491-582.27+0.27</f>
        <v>2909</v>
      </c>
      <c r="L554" s="193">
        <v>2909</v>
      </c>
      <c r="M554" s="193">
        <v>2909</v>
      </c>
      <c r="N554" s="193">
        <v>0</v>
      </c>
      <c r="O554" s="193">
        <v>0</v>
      </c>
      <c r="P554" s="193">
        <v>0</v>
      </c>
      <c r="Q554" s="193">
        <v>0</v>
      </c>
      <c r="R554" s="193">
        <v>0</v>
      </c>
      <c r="S554" s="193"/>
      <c r="T554" s="193">
        <f>SUM(H554:S554)</f>
        <v>17075</v>
      </c>
      <c r="U554"/>
      <c r="V554">
        <f>+PRESUPUESTO22[[#This Row],[EJECUTADO ]]-SUM(PRESUPUESTO22[[#This Row],[   ENERO ]:[DIC]])</f>
        <v>0</v>
      </c>
      <c r="W554"/>
      <c r="X554"/>
    </row>
    <row r="555" spans="1:24" ht="15.95" customHeight="1" x14ac:dyDescent="0.25">
      <c r="A555" s="48"/>
      <c r="B555" s="134">
        <v>803060204</v>
      </c>
      <c r="C555" s="130" t="str">
        <f t="shared" si="209"/>
        <v>E-0803060204</v>
      </c>
      <c r="D555" s="130">
        <v>505</v>
      </c>
      <c r="E555" s="134" t="s">
        <v>69</v>
      </c>
      <c r="F555" s="73" t="s">
        <v>443</v>
      </c>
      <c r="G555" s="193"/>
      <c r="H555" s="193">
        <v>0</v>
      </c>
      <c r="I555" s="193">
        <v>0</v>
      </c>
      <c r="J555" s="193">
        <v>0</v>
      </c>
      <c r="K555" s="193">
        <v>0</v>
      </c>
      <c r="L555" s="193">
        <v>0</v>
      </c>
      <c r="M555" s="193">
        <v>-241480</v>
      </c>
      <c r="N555" s="193">
        <v>0</v>
      </c>
      <c r="O555" s="193">
        <v>0</v>
      </c>
      <c r="P555" s="193">
        <v>0</v>
      </c>
      <c r="Q555" s="193">
        <v>0</v>
      </c>
      <c r="R555" s="193">
        <v>0</v>
      </c>
      <c r="S555" s="193">
        <v>0</v>
      </c>
      <c r="T555" s="193">
        <f>SUM(H555:S555)</f>
        <v>-241480</v>
      </c>
      <c r="U555"/>
      <c r="V555">
        <f>+PRESUPUESTO22[[#This Row],[EJECUTADO ]]-SUM(PRESUPUESTO22[[#This Row],[   ENERO ]:[DIC]])</f>
        <v>0</v>
      </c>
      <c r="W555"/>
      <c r="X555"/>
    </row>
    <row r="556" spans="1:24" ht="15.95" customHeight="1" x14ac:dyDescent="0.25">
      <c r="A556" s="49">
        <v>9</v>
      </c>
      <c r="B556" s="131">
        <v>9</v>
      </c>
      <c r="C556" s="130" t="str">
        <f t="shared" si="209"/>
        <v>E-09</v>
      </c>
      <c r="D556" s="130">
        <v>506</v>
      </c>
      <c r="E556" s="131" t="s">
        <v>67</v>
      </c>
      <c r="F556" s="50" t="s">
        <v>35</v>
      </c>
      <c r="G556" s="188">
        <f t="shared" ref="G556:T556" si="214">+G557+G567+G573+G586+G589</f>
        <v>735000</v>
      </c>
      <c r="H556" s="188">
        <f t="shared" si="214"/>
        <v>52698</v>
      </c>
      <c r="I556" s="188">
        <f>+I557+I567+I573+I586+I589</f>
        <v>68371</v>
      </c>
      <c r="J556" s="188">
        <f t="shared" si="214"/>
        <v>83885</v>
      </c>
      <c r="K556" s="188">
        <f t="shared" si="214"/>
        <v>50793</v>
      </c>
      <c r="L556" s="188">
        <f t="shared" si="214"/>
        <v>48756.997000000003</v>
      </c>
      <c r="M556" s="188">
        <f t="shared" si="214"/>
        <v>50399</v>
      </c>
      <c r="N556" s="188">
        <f t="shared" si="214"/>
        <v>60570</v>
      </c>
      <c r="O556" s="188">
        <f t="shared" si="214"/>
        <v>52942</v>
      </c>
      <c r="P556" s="188">
        <f t="shared" si="214"/>
        <v>93739</v>
      </c>
      <c r="Q556" s="188">
        <f t="shared" si="214"/>
        <v>86457</v>
      </c>
      <c r="R556" s="188">
        <f t="shared" si="214"/>
        <v>49737</v>
      </c>
      <c r="S556" s="188">
        <f t="shared" si="214"/>
        <v>0</v>
      </c>
      <c r="T556" s="188">
        <f t="shared" si="214"/>
        <v>698347.99699999997</v>
      </c>
      <c r="U556"/>
      <c r="V556">
        <f>+PRESUPUESTO22[[#This Row],[EJECUTADO ]]-SUM(PRESUPUESTO22[[#This Row],[   ENERO ]:[DIC]])</f>
        <v>0</v>
      </c>
      <c r="W556"/>
      <c r="X556" t="s">
        <v>1</v>
      </c>
    </row>
    <row r="557" spans="1:24" ht="15.95" customHeight="1" x14ac:dyDescent="0.25">
      <c r="A557" s="53">
        <v>9.1</v>
      </c>
      <c r="B557" s="157">
        <v>901</v>
      </c>
      <c r="C557" s="130" t="str">
        <f t="shared" si="209"/>
        <v>E-0901</v>
      </c>
      <c r="D557" s="130">
        <v>507</v>
      </c>
      <c r="E557" s="157" t="s">
        <v>69</v>
      </c>
      <c r="F557" s="219" t="s">
        <v>449</v>
      </c>
      <c r="G557" s="190">
        <f t="shared" ref="G557:T557" si="215">SUM(G558:G566)</f>
        <v>645150</v>
      </c>
      <c r="H557" s="190">
        <f t="shared" si="215"/>
        <v>51640</v>
      </c>
      <c r="I557" s="190">
        <f t="shared" si="215"/>
        <v>60486</v>
      </c>
      <c r="J557" s="190">
        <f t="shared" si="215"/>
        <v>67413</v>
      </c>
      <c r="K557" s="190">
        <f t="shared" si="215"/>
        <v>50695</v>
      </c>
      <c r="L557" s="190">
        <f t="shared" si="215"/>
        <v>48317.997000000003</v>
      </c>
      <c r="M557" s="190">
        <f t="shared" si="215"/>
        <v>49345</v>
      </c>
      <c r="N557" s="190">
        <f t="shared" si="215"/>
        <v>59771</v>
      </c>
      <c r="O557" s="190">
        <f t="shared" si="215"/>
        <v>52664</v>
      </c>
      <c r="P557" s="190">
        <f t="shared" si="215"/>
        <v>72606</v>
      </c>
      <c r="Q557" s="190">
        <f t="shared" si="215"/>
        <v>63130</v>
      </c>
      <c r="R557" s="190">
        <f t="shared" si="215"/>
        <v>45065</v>
      </c>
      <c r="S557" s="190">
        <f t="shared" si="215"/>
        <v>0</v>
      </c>
      <c r="T557" s="190">
        <f t="shared" si="215"/>
        <v>621132.99699999997</v>
      </c>
      <c r="U557"/>
      <c r="V557">
        <f>+PRESUPUESTO22[[#This Row],[EJECUTADO ]]-SUM(PRESUPUESTO22[[#This Row],[   ENERO ]:[DIC]])</f>
        <v>0</v>
      </c>
      <c r="W557"/>
      <c r="X557" s="8" t="s">
        <v>1</v>
      </c>
    </row>
    <row r="558" spans="1:24" ht="15.95" customHeight="1" x14ac:dyDescent="0.25">
      <c r="A558" s="52">
        <v>1</v>
      </c>
      <c r="B558" s="154">
        <v>90101</v>
      </c>
      <c r="C558" s="130" t="str">
        <f t="shared" si="209"/>
        <v>E-090101</v>
      </c>
      <c r="D558" s="130">
        <v>508</v>
      </c>
      <c r="E558" s="154" t="s">
        <v>72</v>
      </c>
      <c r="F558" s="213" t="s">
        <v>438</v>
      </c>
      <c r="G558" s="193">
        <v>480000</v>
      </c>
      <c r="H558" s="193">
        <v>42445</v>
      </c>
      <c r="I558" s="193">
        <v>37188</v>
      </c>
      <c r="J558" s="193">
        <v>39643</v>
      </c>
      <c r="K558" s="193">
        <v>41707</v>
      </c>
      <c r="L558" s="193">
        <f>39556.55+0.45</f>
        <v>39557</v>
      </c>
      <c r="M558" s="193">
        <v>39100</v>
      </c>
      <c r="N558" s="193">
        <f>39208.32-0.32</f>
        <v>39208</v>
      </c>
      <c r="O558" s="193">
        <v>38073</v>
      </c>
      <c r="P558" s="193">
        <f>42041.81+0.19</f>
        <v>42042</v>
      </c>
      <c r="Q558" s="193">
        <f>39624.5+0.5</f>
        <v>39625</v>
      </c>
      <c r="R558" s="193">
        <f>16152.56+9906.47+10494.98+436.8+2153.69+0.5</f>
        <v>39145</v>
      </c>
      <c r="S558" s="193">
        <v>0</v>
      </c>
      <c r="T558" s="193">
        <f t="shared" ref="T558:T566" si="216">SUM(H558:S558)</f>
        <v>437733</v>
      </c>
      <c r="U558" t="s">
        <v>1</v>
      </c>
      <c r="V558">
        <f>+PRESUPUESTO22[[#This Row],[EJECUTADO ]]-SUM(PRESUPUESTO22[[#This Row],[   ENERO ]:[DIC]])</f>
        <v>0</v>
      </c>
      <c r="W558"/>
      <c r="X558" t="s">
        <v>1</v>
      </c>
    </row>
    <row r="559" spans="1:24" ht="15.95" customHeight="1" x14ac:dyDescent="0.25">
      <c r="A559" s="52">
        <f>+A558+1</f>
        <v>2</v>
      </c>
      <c r="B559" s="154">
        <v>90102</v>
      </c>
      <c r="C559" s="130" t="str">
        <f t="shared" si="209"/>
        <v>E-090102</v>
      </c>
      <c r="D559" s="130">
        <v>509</v>
      </c>
      <c r="E559" s="154" t="s">
        <v>72</v>
      </c>
      <c r="F559" s="213" t="s">
        <v>450</v>
      </c>
      <c r="G559" s="193">
        <v>34000</v>
      </c>
      <c r="H559" s="193">
        <f>600+240+1161</f>
        <v>2001</v>
      </c>
      <c r="I559" s="193">
        <f>500+240+2025.94+0.06</f>
        <v>2766</v>
      </c>
      <c r="J559" s="193">
        <f>559+240+1634.94+0.06</f>
        <v>2434</v>
      </c>
      <c r="K559" s="193">
        <f>1341.23+540.55+240+0.22</f>
        <v>2121.9999999999995</v>
      </c>
      <c r="L559" s="193">
        <f>627.78+500+240+1302.017+0.2</f>
        <v>2669.9969999999998</v>
      </c>
      <c r="M559" s="193">
        <f>1293.29+251.3+500+0.41</f>
        <v>2045</v>
      </c>
      <c r="N559" s="193">
        <f>500+240+1277.53+0.47</f>
        <v>2018</v>
      </c>
      <c r="O559" s="193">
        <f>500+240+1841.19+100-0.19</f>
        <v>2681</v>
      </c>
      <c r="P559" s="193">
        <f>500+240+1403.73+0.27</f>
        <v>2144</v>
      </c>
      <c r="Q559" s="193">
        <f>500+240+1380.69+100+0.31+100</f>
        <v>2321</v>
      </c>
      <c r="R559" s="193">
        <f>500+240+1808.37+100-0.37</f>
        <v>2648</v>
      </c>
      <c r="S559" s="193">
        <v>0</v>
      </c>
      <c r="T559" s="193">
        <f t="shared" si="216"/>
        <v>25849.996999999999</v>
      </c>
      <c r="U559"/>
      <c r="V559">
        <f>+PRESUPUESTO22[[#This Row],[EJECUTADO ]]-SUM(PRESUPUESTO22[[#This Row],[   ENERO ]:[DIC]])</f>
        <v>0</v>
      </c>
      <c r="W559"/>
      <c r="X559"/>
    </row>
    <row r="560" spans="1:24" ht="15.95" customHeight="1" x14ac:dyDescent="0.25">
      <c r="A560" s="52">
        <f>+A559+1</f>
        <v>3</v>
      </c>
      <c r="B560" s="154">
        <v>90103</v>
      </c>
      <c r="C560" s="130" t="str">
        <f t="shared" si="209"/>
        <v>E-090103</v>
      </c>
      <c r="D560" s="130">
        <v>510</v>
      </c>
      <c r="E560" s="154" t="s">
        <v>72</v>
      </c>
      <c r="F560" s="213" t="s">
        <v>451</v>
      </c>
      <c r="G560" s="193">
        <v>12000</v>
      </c>
      <c r="H560" s="193">
        <v>0</v>
      </c>
      <c r="I560" s="193">
        <v>0</v>
      </c>
      <c r="J560" s="193">
        <v>0</v>
      </c>
      <c r="K560" s="193">
        <v>0</v>
      </c>
      <c r="L560" s="193">
        <v>0</v>
      </c>
      <c r="M560" s="193">
        <f>75+864.89+0.11</f>
        <v>940</v>
      </c>
      <c r="N560" s="193">
        <f>3842+3500+1000+1500+1943.6+621.24+0.16</f>
        <v>12407</v>
      </c>
      <c r="O560" s="193">
        <v>0</v>
      </c>
      <c r="P560" s="193">
        <v>0</v>
      </c>
      <c r="Q560" s="193">
        <v>270</v>
      </c>
      <c r="R560" s="193">
        <v>0</v>
      </c>
      <c r="S560" s="193">
        <v>0</v>
      </c>
      <c r="T560" s="193">
        <f t="shared" si="216"/>
        <v>13617</v>
      </c>
      <c r="U560"/>
      <c r="V560">
        <f>+PRESUPUESTO22[[#This Row],[EJECUTADO ]]-SUM(PRESUPUESTO22[[#This Row],[   ENERO ]:[DIC]])</f>
        <v>0</v>
      </c>
      <c r="W560"/>
      <c r="X560"/>
    </row>
    <row r="561" spans="1:24" ht="15.95" customHeight="1" x14ac:dyDescent="0.25">
      <c r="A561" s="52">
        <f t="shared" ref="A561" si="217">+A560+1</f>
        <v>4</v>
      </c>
      <c r="B561" s="154">
        <v>90104</v>
      </c>
      <c r="C561" s="130" t="str">
        <f t="shared" si="209"/>
        <v>E-090104</v>
      </c>
      <c r="D561" s="130">
        <v>511</v>
      </c>
      <c r="E561" s="154" t="s">
        <v>72</v>
      </c>
      <c r="F561" s="213" t="s">
        <v>452</v>
      </c>
      <c r="G561" s="193">
        <v>13150</v>
      </c>
      <c r="H561" s="193">
        <v>983</v>
      </c>
      <c r="I561" s="193">
        <f>58.45-0.45</f>
        <v>58</v>
      </c>
      <c r="J561" s="193">
        <v>180</v>
      </c>
      <c r="K561" s="193">
        <f>3459.05-0.05</f>
        <v>3459</v>
      </c>
      <c r="L561" s="193">
        <f>603.38+208.99+380.79-0.16</f>
        <v>1193</v>
      </c>
      <c r="M561" s="193">
        <f>1144.09+365.43+0.48</f>
        <v>1510</v>
      </c>
      <c r="N561" s="193">
        <f>230.16+1264.34+0.5</f>
        <v>1495</v>
      </c>
      <c r="O561" s="193">
        <f>230.16+986.22-0.38</f>
        <v>1216</v>
      </c>
      <c r="P561" s="193">
        <f>1023.28-0.28</f>
        <v>1023</v>
      </c>
      <c r="Q561" s="193">
        <f>265.57+115.08+0.35</f>
        <v>381</v>
      </c>
      <c r="R561" s="193">
        <f>1292.23+330.12-0.35</f>
        <v>1622</v>
      </c>
      <c r="S561" s="193">
        <v>0</v>
      </c>
      <c r="T561" s="193">
        <f t="shared" si="216"/>
        <v>13120</v>
      </c>
      <c r="U561"/>
      <c r="V561">
        <f>+PRESUPUESTO22[[#This Row],[EJECUTADO ]]-SUM(PRESUPUESTO22[[#This Row],[   ENERO ]:[DIC]])</f>
        <v>0</v>
      </c>
      <c r="W561"/>
      <c r="X561"/>
    </row>
    <row r="562" spans="1:24" ht="15.95" customHeight="1" x14ac:dyDescent="0.25">
      <c r="A562" s="52">
        <f>+A561+1</f>
        <v>5</v>
      </c>
      <c r="B562" s="154">
        <v>90105</v>
      </c>
      <c r="C562" s="130" t="str">
        <f t="shared" si="209"/>
        <v>E-090105</v>
      </c>
      <c r="D562" s="130">
        <v>512</v>
      </c>
      <c r="E562" s="154" t="s">
        <v>72</v>
      </c>
      <c r="F562" s="213" t="s">
        <v>453</v>
      </c>
      <c r="G562" s="193">
        <v>100000</v>
      </c>
      <c r="H562" s="193">
        <f>4100.05+1139.99+846.23-0.27</f>
        <v>6086</v>
      </c>
      <c r="I562" s="193">
        <f>4713.42+9426.85+4855.07+1478.86-0.2</f>
        <v>20474</v>
      </c>
      <c r="J562" s="193">
        <v>25000</v>
      </c>
      <c r="K562" s="193">
        <v>0</v>
      </c>
      <c r="L562" s="193">
        <f>1199.35+3698.63+0.02</f>
        <v>4898</v>
      </c>
      <c r="M562" s="193">
        <f>2408.55+1470.96+0.49</f>
        <v>3880</v>
      </c>
      <c r="N562" s="193">
        <v>0</v>
      </c>
      <c r="O562" s="193">
        <f>9100.48-0.48</f>
        <v>9100</v>
      </c>
      <c r="P562" s="193">
        <f>5615.01+1881.86+0.13</f>
        <v>7497</v>
      </c>
      <c r="Q562" s="193">
        <f>19734.85+0.15</f>
        <v>19735</v>
      </c>
      <c r="R562" s="193">
        <v>0</v>
      </c>
      <c r="S562" s="193">
        <v>0</v>
      </c>
      <c r="T562" s="193">
        <f t="shared" si="216"/>
        <v>96670</v>
      </c>
      <c r="U562"/>
      <c r="V562">
        <f>+PRESUPUESTO22[[#This Row],[EJECUTADO ]]-SUM(PRESUPUESTO22[[#This Row],[   ENERO ]:[DIC]])</f>
        <v>0</v>
      </c>
      <c r="W562"/>
      <c r="X562" t="s">
        <v>1</v>
      </c>
    </row>
    <row r="563" spans="1:24" ht="15.95" customHeight="1" x14ac:dyDescent="0.25">
      <c r="A563" s="52">
        <f>+A562+1</f>
        <v>6</v>
      </c>
      <c r="B563" s="154">
        <v>90106</v>
      </c>
      <c r="C563" s="130" t="str">
        <f t="shared" si="209"/>
        <v>E-090106</v>
      </c>
      <c r="D563" s="130">
        <v>513</v>
      </c>
      <c r="E563" s="154" t="s">
        <v>72</v>
      </c>
      <c r="F563" s="213" t="s">
        <v>454</v>
      </c>
      <c r="G563" s="193">
        <v>5000</v>
      </c>
      <c r="H563" s="193">
        <v>0</v>
      </c>
      <c r="I563" s="193">
        <v>0</v>
      </c>
      <c r="J563" s="193">
        <v>0</v>
      </c>
      <c r="K563" s="193">
        <v>300</v>
      </c>
      <c r="L563" s="193">
        <v>0</v>
      </c>
      <c r="M563" s="193">
        <v>0</v>
      </c>
      <c r="N563" s="193">
        <v>300</v>
      </c>
      <c r="O563" s="193">
        <v>0</v>
      </c>
      <c r="P563" s="193">
        <v>300</v>
      </c>
      <c r="Q563" s="193">
        <v>0</v>
      </c>
      <c r="R563" s="193">
        <v>600</v>
      </c>
      <c r="S563" s="193">
        <v>0</v>
      </c>
      <c r="T563" s="193">
        <f t="shared" si="216"/>
        <v>1500</v>
      </c>
      <c r="U563"/>
      <c r="V563">
        <f>+PRESUPUESTO22[[#This Row],[EJECUTADO ]]-SUM(PRESUPUESTO22[[#This Row],[   ENERO ]:[DIC]])</f>
        <v>0</v>
      </c>
      <c r="W563"/>
      <c r="X563"/>
    </row>
    <row r="564" spans="1:24" ht="15.95" customHeight="1" x14ac:dyDescent="0.25">
      <c r="A564" s="52">
        <f>+A563+1</f>
        <v>7</v>
      </c>
      <c r="B564" s="154">
        <v>90107</v>
      </c>
      <c r="C564" s="130" t="str">
        <f t="shared" si="209"/>
        <v>E-090107</v>
      </c>
      <c r="D564" s="130">
        <v>514</v>
      </c>
      <c r="E564" s="154" t="s">
        <v>72</v>
      </c>
      <c r="F564" s="213" t="s">
        <v>455</v>
      </c>
      <c r="G564" s="193">
        <v>1000</v>
      </c>
      <c r="H564" s="193">
        <v>125</v>
      </c>
      <c r="I564" s="193">
        <v>0</v>
      </c>
      <c r="J564" s="193">
        <f>56+100</f>
        <v>156</v>
      </c>
      <c r="K564" s="193">
        <v>0</v>
      </c>
      <c r="L564" s="193">
        <v>0</v>
      </c>
      <c r="M564" s="193">
        <v>0</v>
      </c>
      <c r="N564" s="193">
        <v>0</v>
      </c>
      <c r="O564" s="193">
        <v>0</v>
      </c>
      <c r="P564" s="193">
        <v>0</v>
      </c>
      <c r="Q564" s="193">
        <f>88+60</f>
        <v>148</v>
      </c>
      <c r="R564" s="193">
        <f>850+200</f>
        <v>1050</v>
      </c>
      <c r="S564" s="193">
        <v>0</v>
      </c>
      <c r="T564" s="193">
        <f t="shared" si="216"/>
        <v>1479</v>
      </c>
      <c r="U564"/>
      <c r="V564">
        <f>+PRESUPUESTO22[[#This Row],[EJECUTADO ]]-SUM(PRESUPUESTO22[[#This Row],[   ENERO ]:[DIC]])</f>
        <v>0</v>
      </c>
      <c r="W564"/>
      <c r="X564"/>
    </row>
    <row r="565" spans="1:24" ht="15.95" customHeight="1" x14ac:dyDescent="0.25">
      <c r="A565" s="52"/>
      <c r="B565" s="154">
        <v>90108</v>
      </c>
      <c r="C565" s="130" t="str">
        <f t="shared" si="209"/>
        <v>E-090108</v>
      </c>
      <c r="D565" s="130">
        <v>515</v>
      </c>
      <c r="E565" s="154" t="s">
        <v>72</v>
      </c>
      <c r="F565" s="213" t="s">
        <v>456</v>
      </c>
      <c r="G565" s="193">
        <v>0</v>
      </c>
      <c r="H565" s="193">
        <v>0</v>
      </c>
      <c r="I565" s="193">
        <v>0</v>
      </c>
      <c r="J565" s="193">
        <v>0</v>
      </c>
      <c r="K565" s="193">
        <f>3106.96+0.04</f>
        <v>3107</v>
      </c>
      <c r="L565" s="193">
        <v>0</v>
      </c>
      <c r="M565" s="193">
        <v>0</v>
      </c>
      <c r="N565" s="193">
        <f>225+2000+400+1717.6+0.4</f>
        <v>4343</v>
      </c>
      <c r="O565" s="193">
        <f>1094.18-0.18+500</f>
        <v>1594</v>
      </c>
      <c r="P565" s="193">
        <v>19600</v>
      </c>
      <c r="Q565" s="193">
        <f>500+150</f>
        <v>650</v>
      </c>
      <c r="R565" s="193">
        <v>0</v>
      </c>
      <c r="S565" s="193">
        <v>0</v>
      </c>
      <c r="T565" s="193">
        <f t="shared" si="216"/>
        <v>29294</v>
      </c>
      <c r="U565"/>
      <c r="V565">
        <f>+PRESUPUESTO22[[#This Row],[EJECUTADO ]]-SUM(PRESUPUESTO22[[#This Row],[   ENERO ]:[DIC]])</f>
        <v>0</v>
      </c>
      <c r="W565"/>
      <c r="X565"/>
    </row>
    <row r="566" spans="1:24" ht="15.95" customHeight="1" x14ac:dyDescent="0.25">
      <c r="A566" s="52"/>
      <c r="B566" s="154">
        <v>90109</v>
      </c>
      <c r="C566" s="130" t="str">
        <f t="shared" si="209"/>
        <v>E-090109</v>
      </c>
      <c r="D566" s="130">
        <v>516</v>
      </c>
      <c r="E566" s="154" t="s">
        <v>72</v>
      </c>
      <c r="F566" s="213" t="s">
        <v>457</v>
      </c>
      <c r="G566" s="193">
        <v>0</v>
      </c>
      <c r="H566" s="193">
        <v>0</v>
      </c>
      <c r="I566" s="193">
        <v>0</v>
      </c>
      <c r="J566" s="193">
        <v>0</v>
      </c>
      <c r="K566" s="193">
        <v>0</v>
      </c>
      <c r="L566" s="193">
        <v>0</v>
      </c>
      <c r="M566" s="193">
        <v>1870</v>
      </c>
      <c r="N566" s="193">
        <v>0</v>
      </c>
      <c r="O566" s="193">
        <v>0</v>
      </c>
      <c r="P566" s="193">
        <v>0</v>
      </c>
      <c r="Q566" s="193">
        <v>0</v>
      </c>
      <c r="R566" s="193">
        <v>0</v>
      </c>
      <c r="S566" s="193">
        <v>0</v>
      </c>
      <c r="T566" s="193">
        <f t="shared" si="216"/>
        <v>1870</v>
      </c>
      <c r="U566"/>
      <c r="V566">
        <f>+PRESUPUESTO22[[#This Row],[EJECUTADO ]]-SUM(PRESUPUESTO22[[#This Row],[   ENERO ]:[DIC]])</f>
        <v>0</v>
      </c>
      <c r="W566"/>
      <c r="X566"/>
    </row>
    <row r="567" spans="1:24" ht="15.95" customHeight="1" x14ac:dyDescent="0.25">
      <c r="A567" s="53">
        <v>9.1999999999999993</v>
      </c>
      <c r="B567" s="157">
        <v>902</v>
      </c>
      <c r="C567" s="130" t="str">
        <f t="shared" si="209"/>
        <v>E-0902</v>
      </c>
      <c r="D567" s="130">
        <v>517</v>
      </c>
      <c r="E567" s="157" t="s">
        <v>69</v>
      </c>
      <c r="F567" s="219" t="s">
        <v>458</v>
      </c>
      <c r="G567" s="190">
        <f t="shared" ref="G567:T567" si="218">SUM(G568:G572)</f>
        <v>10750</v>
      </c>
      <c r="H567" s="190">
        <f t="shared" si="218"/>
        <v>0</v>
      </c>
      <c r="I567" s="190">
        <f t="shared" si="218"/>
        <v>212</v>
      </c>
      <c r="J567" s="190">
        <f t="shared" si="218"/>
        <v>9934</v>
      </c>
      <c r="K567" s="190">
        <f t="shared" si="218"/>
        <v>0</v>
      </c>
      <c r="L567" s="190">
        <f t="shared" si="218"/>
        <v>0</v>
      </c>
      <c r="M567" s="190">
        <f t="shared" si="218"/>
        <v>0</v>
      </c>
      <c r="N567" s="190">
        <f t="shared" si="218"/>
        <v>0</v>
      </c>
      <c r="O567" s="190">
        <f t="shared" si="218"/>
        <v>0</v>
      </c>
      <c r="P567" s="190">
        <f t="shared" si="218"/>
        <v>350</v>
      </c>
      <c r="Q567" s="190">
        <f t="shared" si="218"/>
        <v>26</v>
      </c>
      <c r="R567" s="190">
        <f t="shared" si="218"/>
        <v>456</v>
      </c>
      <c r="S567" s="190">
        <f t="shared" si="218"/>
        <v>0</v>
      </c>
      <c r="T567" s="190">
        <f t="shared" si="218"/>
        <v>10978</v>
      </c>
      <c r="U567"/>
      <c r="V567">
        <f>+PRESUPUESTO22[[#This Row],[EJECUTADO ]]-SUM(PRESUPUESTO22[[#This Row],[   ENERO ]:[DIC]])</f>
        <v>0</v>
      </c>
      <c r="W567"/>
      <c r="X567"/>
    </row>
    <row r="568" spans="1:24" ht="15.95" customHeight="1" x14ac:dyDescent="0.25">
      <c r="A568" s="52">
        <v>1</v>
      </c>
      <c r="B568" s="154">
        <v>90201</v>
      </c>
      <c r="C568" s="130" t="str">
        <f t="shared" si="209"/>
        <v>E-090201</v>
      </c>
      <c r="D568" s="130">
        <v>518</v>
      </c>
      <c r="E568" s="154" t="s">
        <v>72</v>
      </c>
      <c r="F568" s="213" t="s">
        <v>459</v>
      </c>
      <c r="G568" s="193">
        <v>300</v>
      </c>
      <c r="H568" s="193">
        <v>0</v>
      </c>
      <c r="I568" s="193">
        <v>0</v>
      </c>
      <c r="J568" s="193">
        <v>0</v>
      </c>
      <c r="K568" s="193">
        <v>0</v>
      </c>
      <c r="L568" s="193">
        <v>0</v>
      </c>
      <c r="M568" s="193">
        <v>0</v>
      </c>
      <c r="N568" s="193">
        <v>0</v>
      </c>
      <c r="O568" s="193">
        <v>0</v>
      </c>
      <c r="P568" s="193">
        <v>0</v>
      </c>
      <c r="Q568" s="193">
        <v>0</v>
      </c>
      <c r="R568" s="193">
        <v>0</v>
      </c>
      <c r="S568" s="193">
        <v>0</v>
      </c>
      <c r="T568" s="193">
        <f>SUM(H568:S568)</f>
        <v>0</v>
      </c>
      <c r="U568"/>
      <c r="V568">
        <f>+PRESUPUESTO22[[#This Row],[EJECUTADO ]]-SUM(PRESUPUESTO22[[#This Row],[   ENERO ]:[DIC]])</f>
        <v>0</v>
      </c>
      <c r="W568"/>
      <c r="X568"/>
    </row>
    <row r="569" spans="1:24" ht="15.95" customHeight="1" x14ac:dyDescent="0.25">
      <c r="A569" s="52">
        <f>+A568+1</f>
        <v>2</v>
      </c>
      <c r="B569" s="154">
        <v>90202</v>
      </c>
      <c r="C569" s="130" t="str">
        <f t="shared" si="209"/>
        <v>E-090202</v>
      </c>
      <c r="D569" s="130">
        <v>519</v>
      </c>
      <c r="E569" s="154" t="s">
        <v>72</v>
      </c>
      <c r="F569" s="213" t="s">
        <v>460</v>
      </c>
      <c r="G569" s="193">
        <v>10000</v>
      </c>
      <c r="H569" s="193">
        <v>0</v>
      </c>
      <c r="I569" s="193">
        <v>0</v>
      </c>
      <c r="J569" s="193">
        <f>9849.65+84+0.35</f>
        <v>9934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93">
        <v>0</v>
      </c>
      <c r="Q569" s="193">
        <v>0</v>
      </c>
      <c r="R569" s="193">
        <v>0</v>
      </c>
      <c r="S569" s="193">
        <v>0</v>
      </c>
      <c r="T569" s="193">
        <f>SUM(H569:S569)</f>
        <v>9934</v>
      </c>
      <c r="U569"/>
      <c r="V569">
        <f>+PRESUPUESTO22[[#This Row],[EJECUTADO ]]-SUM(PRESUPUESTO22[[#This Row],[   ENERO ]:[DIC]])</f>
        <v>0</v>
      </c>
      <c r="W569"/>
      <c r="X569"/>
    </row>
    <row r="570" spans="1:24" ht="15.95" customHeight="1" x14ac:dyDescent="0.25">
      <c r="A570" s="52">
        <f t="shared" ref="A570:A571" si="219">+A569+1</f>
        <v>3</v>
      </c>
      <c r="B570" s="154">
        <v>90203</v>
      </c>
      <c r="C570" s="130" t="str">
        <f t="shared" si="209"/>
        <v>E-090203</v>
      </c>
      <c r="D570" s="130">
        <v>520</v>
      </c>
      <c r="E570" s="154" t="s">
        <v>72</v>
      </c>
      <c r="F570" s="213" t="s">
        <v>461</v>
      </c>
      <c r="G570" s="193">
        <v>350</v>
      </c>
      <c r="H570" s="193">
        <v>0</v>
      </c>
      <c r="I570" s="193">
        <v>0</v>
      </c>
      <c r="J570" s="193">
        <v>0</v>
      </c>
      <c r="K570" s="193">
        <v>0</v>
      </c>
      <c r="L570" s="193">
        <v>0</v>
      </c>
      <c r="M570" s="193">
        <v>0</v>
      </c>
      <c r="N570" s="193">
        <v>0</v>
      </c>
      <c r="O570" s="193">
        <v>0</v>
      </c>
      <c r="P570" s="193">
        <v>350</v>
      </c>
      <c r="Q570" s="193">
        <v>0</v>
      </c>
      <c r="R570" s="193">
        <v>0</v>
      </c>
      <c r="S570" s="193">
        <v>0</v>
      </c>
      <c r="T570" s="193">
        <f>SUM(H570:S570)</f>
        <v>350</v>
      </c>
      <c r="U570"/>
      <c r="V570">
        <f>+PRESUPUESTO22[[#This Row],[EJECUTADO ]]-SUM(PRESUPUESTO22[[#This Row],[   ENERO ]:[DIC]])</f>
        <v>0</v>
      </c>
      <c r="W570"/>
      <c r="X570"/>
    </row>
    <row r="571" spans="1:24" ht="15.95" customHeight="1" x14ac:dyDescent="0.25">
      <c r="A571" s="52">
        <f t="shared" si="219"/>
        <v>4</v>
      </c>
      <c r="B571" s="154">
        <v>90204</v>
      </c>
      <c r="C571" s="130" t="str">
        <f t="shared" si="209"/>
        <v>E-090204</v>
      </c>
      <c r="D571" s="130">
        <v>521</v>
      </c>
      <c r="E571" s="154" t="s">
        <v>72</v>
      </c>
      <c r="F571" s="213" t="s">
        <v>462</v>
      </c>
      <c r="G571" s="193">
        <v>100</v>
      </c>
      <c r="H571" s="193">
        <v>0</v>
      </c>
      <c r="I571" s="193">
        <f>211.5+0.5</f>
        <v>212</v>
      </c>
      <c r="J571" s="193">
        <v>0</v>
      </c>
      <c r="K571" s="193">
        <v>0</v>
      </c>
      <c r="L571" s="193">
        <v>0</v>
      </c>
      <c r="M571" s="193">
        <v>0</v>
      </c>
      <c r="N571" s="193">
        <v>0</v>
      </c>
      <c r="O571" s="193">
        <v>0</v>
      </c>
      <c r="P571" s="193">
        <v>0</v>
      </c>
      <c r="Q571" s="193">
        <f>26.25-0.25</f>
        <v>26</v>
      </c>
      <c r="R571" s="193">
        <v>0</v>
      </c>
      <c r="S571" s="193">
        <v>0</v>
      </c>
      <c r="T571" s="193">
        <f>SUM(H571:S571)</f>
        <v>238</v>
      </c>
      <c r="U571"/>
      <c r="V571">
        <f>+PRESUPUESTO22[[#This Row],[EJECUTADO ]]-SUM(PRESUPUESTO22[[#This Row],[   ENERO ]:[DIC]])</f>
        <v>0</v>
      </c>
      <c r="W571"/>
      <c r="X571"/>
    </row>
    <row r="572" spans="1:24" ht="15.95" customHeight="1" x14ac:dyDescent="0.25">
      <c r="A572" s="52"/>
      <c r="B572" s="156">
        <v>90205</v>
      </c>
      <c r="C572" s="130" t="str">
        <f>"E"&amp;"-0"&amp;B572</f>
        <v>E-090205</v>
      </c>
      <c r="D572" s="130">
        <v>522</v>
      </c>
      <c r="E572" s="156" t="s">
        <v>72</v>
      </c>
      <c r="F572" s="213" t="s">
        <v>1418</v>
      </c>
      <c r="G572" s="193">
        <v>0</v>
      </c>
      <c r="H572" s="193"/>
      <c r="I572" s="193"/>
      <c r="J572" s="193"/>
      <c r="K572" s="193"/>
      <c r="L572" s="193"/>
      <c r="M572" s="193"/>
      <c r="N572" s="193"/>
      <c r="O572" s="193"/>
      <c r="P572" s="193">
        <v>0</v>
      </c>
      <c r="Q572" s="193">
        <v>0</v>
      </c>
      <c r="R572" s="193">
        <f>95.43+201.45+159.05+0.07</f>
        <v>456</v>
      </c>
      <c r="S572" s="193"/>
      <c r="T572" s="193">
        <f>SUM(H572:S572)</f>
        <v>456</v>
      </c>
      <c r="U572"/>
      <c r="V572">
        <f>+PRESUPUESTO22[[#This Row],[EJECUTADO ]]-SUM(PRESUPUESTO22[[#This Row],[   ENERO ]:[DIC]])</f>
        <v>0</v>
      </c>
      <c r="W572"/>
      <c r="X572"/>
    </row>
    <row r="573" spans="1:24" ht="15.95" customHeight="1" x14ac:dyDescent="0.25">
      <c r="A573" s="53">
        <v>9.3000000000000007</v>
      </c>
      <c r="B573" s="157">
        <v>903</v>
      </c>
      <c r="C573" s="130" t="str">
        <f t="shared" si="209"/>
        <v>E-0903</v>
      </c>
      <c r="D573" s="130">
        <v>523</v>
      </c>
      <c r="E573" s="157" t="s">
        <v>72</v>
      </c>
      <c r="F573" s="219" t="s">
        <v>463</v>
      </c>
      <c r="G573" s="190">
        <v>2000</v>
      </c>
      <c r="H573" s="190">
        <f>SUM(H574:H580)</f>
        <v>189</v>
      </c>
      <c r="I573" s="190">
        <f t="shared" ref="I573:T573" si="220">SUM(I574:I580)</f>
        <v>361</v>
      </c>
      <c r="J573" s="190">
        <f t="shared" si="220"/>
        <v>208</v>
      </c>
      <c r="K573" s="190">
        <f t="shared" si="220"/>
        <v>51</v>
      </c>
      <c r="L573" s="190">
        <f t="shared" si="220"/>
        <v>25</v>
      </c>
      <c r="M573" s="190">
        <f t="shared" si="220"/>
        <v>25</v>
      </c>
      <c r="N573" s="190">
        <f t="shared" si="220"/>
        <v>25</v>
      </c>
      <c r="O573" s="190">
        <f t="shared" si="220"/>
        <v>106</v>
      </c>
      <c r="P573" s="190">
        <f t="shared" si="220"/>
        <v>85</v>
      </c>
      <c r="Q573" s="190">
        <f t="shared" si="220"/>
        <v>328</v>
      </c>
      <c r="R573" s="190">
        <f t="shared" si="220"/>
        <v>741.99999999999989</v>
      </c>
      <c r="S573" s="190">
        <f t="shared" si="220"/>
        <v>0</v>
      </c>
      <c r="T573" s="190">
        <f t="shared" si="220"/>
        <v>2145</v>
      </c>
      <c r="U573"/>
      <c r="V573">
        <f>+PRESUPUESTO22[[#This Row],[EJECUTADO ]]-SUM(PRESUPUESTO22[[#This Row],[   ENERO ]:[DIC]])</f>
        <v>0</v>
      </c>
      <c r="W573"/>
      <c r="X573"/>
    </row>
    <row r="574" spans="1:24" ht="15.95" customHeight="1" x14ac:dyDescent="0.25">
      <c r="A574" s="52">
        <v>1</v>
      </c>
      <c r="B574" s="154">
        <v>90301</v>
      </c>
      <c r="C574" s="130" t="str">
        <f t="shared" si="209"/>
        <v>E-090301</v>
      </c>
      <c r="D574" s="130">
        <v>524</v>
      </c>
      <c r="E574" s="154" t="s">
        <v>69</v>
      </c>
      <c r="F574" s="213" t="s">
        <v>464</v>
      </c>
      <c r="G574" s="193">
        <v>0</v>
      </c>
      <c r="H574" s="193">
        <f>22.86+0.14</f>
        <v>23</v>
      </c>
      <c r="I574" s="193">
        <v>0</v>
      </c>
      <c r="J574" s="193">
        <v>0</v>
      </c>
      <c r="K574" s="193">
        <v>0</v>
      </c>
      <c r="L574" s="193">
        <v>0</v>
      </c>
      <c r="M574" s="193">
        <v>0</v>
      </c>
      <c r="N574" s="193">
        <v>0</v>
      </c>
      <c r="O574" s="193">
        <v>0</v>
      </c>
      <c r="P574" s="193">
        <v>0</v>
      </c>
      <c r="Q574" s="193">
        <v>0</v>
      </c>
      <c r="R574" s="193">
        <v>0</v>
      </c>
      <c r="S574" s="193">
        <v>0</v>
      </c>
      <c r="T574" s="193">
        <f t="shared" ref="T574:T579" si="221">SUM(H574:S574)</f>
        <v>23</v>
      </c>
      <c r="U574"/>
      <c r="V574">
        <f>+PRESUPUESTO22[[#This Row],[EJECUTADO ]]-SUM(PRESUPUESTO22[[#This Row],[   ENERO ]:[DIC]])</f>
        <v>0</v>
      </c>
      <c r="W574"/>
      <c r="X574"/>
    </row>
    <row r="575" spans="1:24" ht="15.95" customHeight="1" x14ac:dyDescent="0.25">
      <c r="A575" s="52">
        <f>+A574+1</f>
        <v>2</v>
      </c>
      <c r="B575" s="154">
        <v>90302</v>
      </c>
      <c r="C575" s="130" t="str">
        <f t="shared" si="209"/>
        <v>E-090302</v>
      </c>
      <c r="D575" s="130">
        <v>525</v>
      </c>
      <c r="E575" s="154" t="s">
        <v>69</v>
      </c>
      <c r="F575" s="213" t="s">
        <v>413</v>
      </c>
      <c r="G575" s="193">
        <v>0</v>
      </c>
      <c r="H575" s="193">
        <v>0</v>
      </c>
      <c r="I575" s="193">
        <v>0</v>
      </c>
      <c r="J575" s="193">
        <f>92.57+0.94+0.49</f>
        <v>93.999999999999986</v>
      </c>
      <c r="K575" s="193">
        <v>0</v>
      </c>
      <c r="L575" s="193">
        <v>0</v>
      </c>
      <c r="M575" s="193">
        <v>0</v>
      </c>
      <c r="N575" s="193">
        <v>0</v>
      </c>
      <c r="O575" s="193">
        <v>0</v>
      </c>
      <c r="P575" s="193">
        <v>0</v>
      </c>
      <c r="Q575" s="193">
        <v>0</v>
      </c>
      <c r="R575" s="193">
        <v>0</v>
      </c>
      <c r="S575" s="193">
        <v>0</v>
      </c>
      <c r="T575" s="193">
        <f t="shared" si="221"/>
        <v>93.999999999999986</v>
      </c>
      <c r="U575"/>
      <c r="V575">
        <f>+PRESUPUESTO22[[#This Row],[EJECUTADO ]]-SUM(PRESUPUESTO22[[#This Row],[   ENERO ]:[DIC]])</f>
        <v>0</v>
      </c>
      <c r="W575"/>
      <c r="X575"/>
    </row>
    <row r="576" spans="1:24" ht="15.95" customHeight="1" x14ac:dyDescent="0.25">
      <c r="A576" s="52">
        <f t="shared" ref="A576:A577" si="222">+A575+1</f>
        <v>3</v>
      </c>
      <c r="B576" s="154">
        <v>90303</v>
      </c>
      <c r="C576" s="130" t="str">
        <f t="shared" si="209"/>
        <v>E-090303</v>
      </c>
      <c r="D576" s="130">
        <v>526</v>
      </c>
      <c r="E576" s="154" t="s">
        <v>69</v>
      </c>
      <c r="F576" s="213" t="s">
        <v>465</v>
      </c>
      <c r="G576" s="193">
        <v>0</v>
      </c>
      <c r="H576" s="193">
        <f>61.47-0.47</f>
        <v>61</v>
      </c>
      <c r="I576" s="193">
        <f>25.95+0.05</f>
        <v>26</v>
      </c>
      <c r="J576" s="193">
        <f>36.1-0.1</f>
        <v>36</v>
      </c>
      <c r="K576" s="193">
        <f>33.48-0.48</f>
        <v>33</v>
      </c>
      <c r="L576" s="193">
        <v>25</v>
      </c>
      <c r="M576" s="193">
        <v>25</v>
      </c>
      <c r="N576" s="193">
        <v>25</v>
      </c>
      <c r="O576" s="193">
        <v>24</v>
      </c>
      <c r="P576" s="193">
        <f>24.5+0.5</f>
        <v>25</v>
      </c>
      <c r="Q576" s="193">
        <v>25</v>
      </c>
      <c r="R576" s="193">
        <f>23.92+0.08</f>
        <v>24</v>
      </c>
      <c r="S576" s="193">
        <v>0</v>
      </c>
      <c r="T576" s="193">
        <f t="shared" si="221"/>
        <v>329</v>
      </c>
      <c r="U576"/>
      <c r="V576">
        <f>+PRESUPUESTO22[[#This Row],[EJECUTADO ]]-SUM(PRESUPUESTO22[[#This Row],[   ENERO ]:[DIC]])</f>
        <v>0</v>
      </c>
      <c r="W576"/>
      <c r="X576"/>
    </row>
    <row r="577" spans="1:24" ht="15.95" customHeight="1" x14ac:dyDescent="0.25">
      <c r="A577" s="52">
        <f t="shared" si="222"/>
        <v>4</v>
      </c>
      <c r="B577" s="154">
        <v>90304</v>
      </c>
      <c r="C577" s="130" t="str">
        <f t="shared" si="209"/>
        <v>E-090304</v>
      </c>
      <c r="D577" s="130">
        <v>527</v>
      </c>
      <c r="E577" s="154" t="s">
        <v>69</v>
      </c>
      <c r="F577" s="213" t="s">
        <v>466</v>
      </c>
      <c r="G577" s="193">
        <v>0</v>
      </c>
      <c r="H577" s="193">
        <v>0</v>
      </c>
      <c r="I577" s="193">
        <v>0</v>
      </c>
      <c r="J577" s="193">
        <v>0</v>
      </c>
      <c r="K577" s="193">
        <v>6</v>
      </c>
      <c r="L577" s="193">
        <v>0</v>
      </c>
      <c r="M577" s="193">
        <v>0</v>
      </c>
      <c r="N577" s="193">
        <v>0</v>
      </c>
      <c r="O577" s="193">
        <f>41.55+0.45</f>
        <v>42</v>
      </c>
      <c r="P577" s="193">
        <v>0</v>
      </c>
      <c r="Q577" s="193">
        <f>222.68+0.32</f>
        <v>223</v>
      </c>
      <c r="R577" s="193">
        <v>0</v>
      </c>
      <c r="S577" s="193">
        <v>0</v>
      </c>
      <c r="T577" s="193">
        <f t="shared" si="221"/>
        <v>271</v>
      </c>
      <c r="U577"/>
      <c r="V577">
        <f>+PRESUPUESTO22[[#This Row],[EJECUTADO ]]-SUM(PRESUPUESTO22[[#This Row],[   ENERO ]:[DIC]])</f>
        <v>0</v>
      </c>
      <c r="W577"/>
      <c r="X577"/>
    </row>
    <row r="578" spans="1:24" ht="15.95" customHeight="1" x14ac:dyDescent="0.25">
      <c r="A578" s="52"/>
      <c r="B578" s="156">
        <v>90306</v>
      </c>
      <c r="C578" s="130" t="str">
        <f>"E"&amp;"-0"&amp;B578</f>
        <v>E-090306</v>
      </c>
      <c r="D578" s="130">
        <v>528</v>
      </c>
      <c r="E578" s="156" t="s">
        <v>69</v>
      </c>
      <c r="F578" s="213" t="s">
        <v>1419</v>
      </c>
      <c r="G578" s="193">
        <v>0</v>
      </c>
      <c r="H578" s="193">
        <v>0</v>
      </c>
      <c r="I578" s="193">
        <v>0</v>
      </c>
      <c r="J578" s="193">
        <v>0</v>
      </c>
      <c r="K578" s="193">
        <v>0</v>
      </c>
      <c r="L578" s="193">
        <v>0</v>
      </c>
      <c r="M578" s="193">
        <v>0</v>
      </c>
      <c r="N578" s="193">
        <v>0</v>
      </c>
      <c r="O578" s="193">
        <v>0</v>
      </c>
      <c r="P578" s="193">
        <v>0</v>
      </c>
      <c r="Q578" s="193">
        <v>80</v>
      </c>
      <c r="R578" s="193">
        <v>0</v>
      </c>
      <c r="S578" s="193">
        <v>0</v>
      </c>
      <c r="T578" s="193">
        <f t="shared" si="221"/>
        <v>80</v>
      </c>
      <c r="U578"/>
      <c r="V578">
        <f>+PRESUPUESTO22[[#This Row],[EJECUTADO ]]-SUM(PRESUPUESTO22[[#This Row],[   ENERO ]:[DIC]])</f>
        <v>0</v>
      </c>
      <c r="W578"/>
      <c r="X578"/>
    </row>
    <row r="579" spans="1:24" ht="15.95" customHeight="1" x14ac:dyDescent="0.25">
      <c r="A579" s="52">
        <f>+A577+1</f>
        <v>5</v>
      </c>
      <c r="B579" s="154">
        <v>90305</v>
      </c>
      <c r="C579" s="130" t="str">
        <f t="shared" si="209"/>
        <v>E-090305</v>
      </c>
      <c r="D579" s="130">
        <v>529</v>
      </c>
      <c r="E579" s="154" t="s">
        <v>69</v>
      </c>
      <c r="F579" s="213" t="s">
        <v>467</v>
      </c>
      <c r="G579" s="193">
        <v>0</v>
      </c>
      <c r="H579" s="193">
        <v>105</v>
      </c>
      <c r="I579" s="193">
        <v>0</v>
      </c>
      <c r="J579" s="193">
        <v>0</v>
      </c>
      <c r="K579" s="193">
        <f>11.76+0.24</f>
        <v>12</v>
      </c>
      <c r="L579" s="193">
        <v>0</v>
      </c>
      <c r="M579" s="193">
        <v>0</v>
      </c>
      <c r="N579" s="193">
        <v>0</v>
      </c>
      <c r="O579" s="193">
        <f>39.88+0.12</f>
        <v>40</v>
      </c>
      <c r="P579" s="193">
        <f>35.61+24.09+0.3</f>
        <v>60</v>
      </c>
      <c r="Q579" s="193">
        <v>0</v>
      </c>
      <c r="R579" s="193">
        <f>457.44+17.72+242.91-0.07</f>
        <v>717.99999999999989</v>
      </c>
      <c r="S579" s="193">
        <v>0</v>
      </c>
      <c r="T579" s="193">
        <f t="shared" si="221"/>
        <v>934.99999999999989</v>
      </c>
      <c r="U579"/>
      <c r="V579">
        <f>+PRESUPUESTO22[[#This Row],[EJECUTADO ]]-SUM(PRESUPUESTO22[[#This Row],[   ENERO ]:[DIC]])</f>
        <v>0</v>
      </c>
      <c r="W579"/>
      <c r="X579"/>
    </row>
    <row r="580" spans="1:24" ht="15.95" customHeight="1" x14ac:dyDescent="0.25">
      <c r="A580" s="52"/>
      <c r="B580" s="158">
        <v>904</v>
      </c>
      <c r="C580" s="130" t="str">
        <f t="shared" si="209"/>
        <v>E-0904</v>
      </c>
      <c r="D580" s="130">
        <v>530</v>
      </c>
      <c r="E580" s="158" t="s">
        <v>69</v>
      </c>
      <c r="F580" s="220" t="s">
        <v>468</v>
      </c>
      <c r="G580" s="221">
        <f>SUM(G581:G585)</f>
        <v>0</v>
      </c>
      <c r="H580" s="221">
        <f>SUM(H581:H585)</f>
        <v>0</v>
      </c>
      <c r="I580" s="221">
        <f t="shared" ref="I580:T580" si="223">SUM(I581:I585)</f>
        <v>335</v>
      </c>
      <c r="J580" s="221">
        <f t="shared" si="223"/>
        <v>78</v>
      </c>
      <c r="K580" s="221">
        <f t="shared" si="223"/>
        <v>0</v>
      </c>
      <c r="L580" s="221">
        <f t="shared" si="223"/>
        <v>0</v>
      </c>
      <c r="M580" s="221">
        <f t="shared" si="223"/>
        <v>0</v>
      </c>
      <c r="N580" s="221">
        <f t="shared" si="223"/>
        <v>0</v>
      </c>
      <c r="O580" s="221">
        <f t="shared" si="223"/>
        <v>0</v>
      </c>
      <c r="P580" s="221">
        <f t="shared" si="223"/>
        <v>0</v>
      </c>
      <c r="Q580" s="221">
        <f t="shared" si="223"/>
        <v>0</v>
      </c>
      <c r="R580" s="221">
        <f t="shared" si="223"/>
        <v>0</v>
      </c>
      <c r="S580" s="221">
        <f t="shared" si="223"/>
        <v>0</v>
      </c>
      <c r="T580" s="221">
        <f t="shared" si="223"/>
        <v>413</v>
      </c>
      <c r="U580"/>
      <c r="V580">
        <f>+PRESUPUESTO22[[#This Row],[EJECUTADO ]]-SUM(PRESUPUESTO22[[#This Row],[   ENERO ]:[DIC]])</f>
        <v>0</v>
      </c>
      <c r="W580"/>
      <c r="X580"/>
    </row>
    <row r="581" spans="1:24" ht="15.95" customHeight="1" x14ac:dyDescent="0.25">
      <c r="A581" s="52"/>
      <c r="B581" s="154">
        <v>90401</v>
      </c>
      <c r="C581" s="130" t="str">
        <f t="shared" si="209"/>
        <v>E-090401</v>
      </c>
      <c r="D581" s="130">
        <v>531</v>
      </c>
      <c r="E581" s="154" t="s">
        <v>69</v>
      </c>
      <c r="F581" s="213" t="s">
        <v>469</v>
      </c>
      <c r="G581" s="351">
        <v>0</v>
      </c>
      <c r="H581" s="193">
        <v>0</v>
      </c>
      <c r="I581" s="193">
        <v>90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93">
        <v>0</v>
      </c>
      <c r="Q581" s="193">
        <v>0</v>
      </c>
      <c r="R581" s="193">
        <v>0</v>
      </c>
      <c r="S581" s="193">
        <v>0</v>
      </c>
      <c r="T581" s="193">
        <f>SUM(H581:S581)</f>
        <v>90</v>
      </c>
      <c r="U581"/>
      <c r="V581">
        <f>+PRESUPUESTO22[[#This Row],[EJECUTADO ]]-SUM(PRESUPUESTO22[[#This Row],[   ENERO ]:[DIC]])</f>
        <v>0</v>
      </c>
      <c r="W581"/>
      <c r="X581"/>
    </row>
    <row r="582" spans="1:24" ht="15.95" customHeight="1" x14ac:dyDescent="0.25">
      <c r="A582" s="52"/>
      <c r="B582" s="154">
        <v>90402</v>
      </c>
      <c r="C582" s="130" t="str">
        <f t="shared" si="209"/>
        <v>E-090402</v>
      </c>
      <c r="D582" s="130">
        <v>532</v>
      </c>
      <c r="E582" s="154" t="s">
        <v>69</v>
      </c>
      <c r="F582" s="213" t="s">
        <v>470</v>
      </c>
      <c r="G582" s="351">
        <v>0</v>
      </c>
      <c r="H582" s="193">
        <v>0</v>
      </c>
      <c r="I582" s="193">
        <v>26</v>
      </c>
      <c r="J582" s="193">
        <v>0</v>
      </c>
      <c r="K582" s="193">
        <v>0</v>
      </c>
      <c r="L582" s="193">
        <v>0</v>
      </c>
      <c r="M582" s="193">
        <v>0</v>
      </c>
      <c r="N582" s="193">
        <v>0</v>
      </c>
      <c r="O582" s="193">
        <v>0</v>
      </c>
      <c r="P582" s="193">
        <v>0</v>
      </c>
      <c r="Q582" s="193">
        <v>0</v>
      </c>
      <c r="R582" s="193">
        <v>0</v>
      </c>
      <c r="S582" s="193">
        <v>0</v>
      </c>
      <c r="T582" s="193">
        <f>SUM(H582:S582)</f>
        <v>26</v>
      </c>
      <c r="U582"/>
      <c r="V582">
        <f>+PRESUPUESTO22[[#This Row],[EJECUTADO ]]-SUM(PRESUPUESTO22[[#This Row],[   ENERO ]:[DIC]])</f>
        <v>0</v>
      </c>
      <c r="W582"/>
      <c r="X582"/>
    </row>
    <row r="583" spans="1:24" ht="15.95" customHeight="1" x14ac:dyDescent="0.25">
      <c r="A583" s="52"/>
      <c r="B583" s="154">
        <v>90403</v>
      </c>
      <c r="C583" s="130" t="str">
        <f t="shared" si="209"/>
        <v>E-090403</v>
      </c>
      <c r="D583" s="130">
        <v>533</v>
      </c>
      <c r="E583" s="154" t="s">
        <v>69</v>
      </c>
      <c r="F583" s="213" t="s">
        <v>471</v>
      </c>
      <c r="G583" s="351">
        <v>0</v>
      </c>
      <c r="H583" s="193">
        <v>0</v>
      </c>
      <c r="I583" s="193">
        <v>55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93">
        <v>0</v>
      </c>
      <c r="Q583" s="193">
        <v>0</v>
      </c>
      <c r="R583" s="193">
        <v>0</v>
      </c>
      <c r="S583" s="193">
        <v>0</v>
      </c>
      <c r="T583" s="193">
        <f>SUM(H583:S583)</f>
        <v>55</v>
      </c>
      <c r="U583"/>
      <c r="V583">
        <f>+PRESUPUESTO22[[#This Row],[EJECUTADO ]]-SUM(PRESUPUESTO22[[#This Row],[   ENERO ]:[DIC]])</f>
        <v>0</v>
      </c>
      <c r="W583"/>
      <c r="X583"/>
    </row>
    <row r="584" spans="1:24" ht="15.95" customHeight="1" x14ac:dyDescent="0.25">
      <c r="A584" s="52"/>
      <c r="B584" s="154">
        <v>90404</v>
      </c>
      <c r="C584" s="130" t="str">
        <f t="shared" si="209"/>
        <v>E-090404</v>
      </c>
      <c r="D584" s="130">
        <v>534</v>
      </c>
      <c r="E584" s="154" t="s">
        <v>69</v>
      </c>
      <c r="F584" s="213" t="s">
        <v>472</v>
      </c>
      <c r="G584" s="351">
        <v>0</v>
      </c>
      <c r="H584" s="193">
        <v>0</v>
      </c>
      <c r="I584" s="193">
        <v>164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93">
        <v>0</v>
      </c>
      <c r="Q584" s="193">
        <v>0</v>
      </c>
      <c r="R584" s="193">
        <v>0</v>
      </c>
      <c r="S584" s="193">
        <v>0</v>
      </c>
      <c r="T584" s="193">
        <f>SUM(H584:S584)</f>
        <v>164</v>
      </c>
      <c r="U584"/>
      <c r="V584">
        <f>+PRESUPUESTO22[[#This Row],[EJECUTADO ]]-SUM(PRESUPUESTO22[[#This Row],[   ENERO ]:[DIC]])</f>
        <v>0</v>
      </c>
      <c r="W584"/>
      <c r="X584"/>
    </row>
    <row r="585" spans="1:24" ht="15.95" customHeight="1" x14ac:dyDescent="0.25">
      <c r="A585" s="52"/>
      <c r="B585" s="154">
        <v>90405</v>
      </c>
      <c r="C585" s="130" t="str">
        <f t="shared" si="209"/>
        <v>E-090405</v>
      </c>
      <c r="D585" s="130">
        <v>535</v>
      </c>
      <c r="E585" s="154" t="s">
        <v>69</v>
      </c>
      <c r="F585" s="213" t="s">
        <v>473</v>
      </c>
      <c r="G585" s="193">
        <v>0</v>
      </c>
      <c r="H585" s="193">
        <v>0</v>
      </c>
      <c r="I585" s="193">
        <v>0</v>
      </c>
      <c r="J585" s="193">
        <v>78</v>
      </c>
      <c r="K585" s="193">
        <v>0</v>
      </c>
      <c r="L585" s="193">
        <v>0</v>
      </c>
      <c r="M585" s="193">
        <v>0</v>
      </c>
      <c r="N585" s="193">
        <v>0</v>
      </c>
      <c r="O585" s="193">
        <v>0</v>
      </c>
      <c r="P585" s="193">
        <v>0</v>
      </c>
      <c r="Q585" s="193">
        <v>0</v>
      </c>
      <c r="R585" s="193">
        <v>0</v>
      </c>
      <c r="S585" s="193">
        <v>0</v>
      </c>
      <c r="T585" s="193">
        <f>SUM(H585:S585)</f>
        <v>78</v>
      </c>
      <c r="U585"/>
      <c r="V585">
        <f>+PRESUPUESTO22[[#This Row],[EJECUTADO ]]-SUM(PRESUPUESTO22[[#This Row],[   ENERO ]:[DIC]])</f>
        <v>0</v>
      </c>
      <c r="W585"/>
      <c r="X585"/>
    </row>
    <row r="586" spans="1:24" ht="15.95" customHeight="1" x14ac:dyDescent="0.25">
      <c r="A586" s="52">
        <v>9.4</v>
      </c>
      <c r="B586" s="157">
        <v>905</v>
      </c>
      <c r="C586" s="130" t="str">
        <f t="shared" si="209"/>
        <v>E-0905</v>
      </c>
      <c r="D586" s="130">
        <v>536</v>
      </c>
      <c r="E586" s="157" t="s">
        <v>72</v>
      </c>
      <c r="F586" s="219" t="s">
        <v>474</v>
      </c>
      <c r="G586" s="190">
        <v>2100</v>
      </c>
      <c r="H586" s="190">
        <f t="shared" ref="H586:T586" si="224">SUM(H587:H588)</f>
        <v>0</v>
      </c>
      <c r="I586" s="190">
        <f t="shared" si="224"/>
        <v>0</v>
      </c>
      <c r="J586" s="190">
        <f t="shared" si="224"/>
        <v>885</v>
      </c>
      <c r="K586" s="190">
        <f t="shared" si="224"/>
        <v>0</v>
      </c>
      <c r="L586" s="190">
        <f t="shared" si="224"/>
        <v>0</v>
      </c>
      <c r="M586" s="190">
        <f t="shared" si="224"/>
        <v>0</v>
      </c>
      <c r="N586" s="190">
        <f t="shared" si="224"/>
        <v>0</v>
      </c>
      <c r="O586" s="190">
        <f t="shared" si="224"/>
        <v>0</v>
      </c>
      <c r="P586" s="190">
        <f t="shared" si="224"/>
        <v>461</v>
      </c>
      <c r="Q586" s="190">
        <f t="shared" si="224"/>
        <v>0</v>
      </c>
      <c r="R586" s="190">
        <f t="shared" si="224"/>
        <v>0</v>
      </c>
      <c r="S586" s="190">
        <f t="shared" si="224"/>
        <v>0</v>
      </c>
      <c r="T586" s="190">
        <f t="shared" si="224"/>
        <v>1346</v>
      </c>
      <c r="U586"/>
      <c r="V586">
        <f>+PRESUPUESTO22[[#This Row],[EJECUTADO ]]-SUM(PRESUPUESTO22[[#This Row],[   ENERO ]:[DIC]])</f>
        <v>0</v>
      </c>
      <c r="W586"/>
      <c r="X586"/>
    </row>
    <row r="587" spans="1:24" ht="15.95" customHeight="1" x14ac:dyDescent="0.25">
      <c r="A587" s="52"/>
      <c r="B587" s="154">
        <v>90501</v>
      </c>
      <c r="C587" s="130" t="str">
        <f t="shared" si="209"/>
        <v>E-090501</v>
      </c>
      <c r="D587" s="130">
        <v>537</v>
      </c>
      <c r="E587" s="154" t="s">
        <v>69</v>
      </c>
      <c r="F587" s="213" t="s">
        <v>475</v>
      </c>
      <c r="G587" s="193">
        <v>0</v>
      </c>
      <c r="H587" s="193">
        <v>0</v>
      </c>
      <c r="I587" s="193">
        <v>0</v>
      </c>
      <c r="J587" s="193">
        <f>885.2-0.2</f>
        <v>885</v>
      </c>
      <c r="K587" s="193">
        <v>0</v>
      </c>
      <c r="L587" s="193">
        <v>0</v>
      </c>
      <c r="M587" s="193">
        <v>0</v>
      </c>
      <c r="N587" s="193">
        <v>0</v>
      </c>
      <c r="O587" s="193">
        <v>0</v>
      </c>
      <c r="P587" s="193">
        <f>461.25-0.25</f>
        <v>461</v>
      </c>
      <c r="Q587" s="193">
        <v>0</v>
      </c>
      <c r="R587" s="193">
        <v>0</v>
      </c>
      <c r="S587" s="193">
        <v>0</v>
      </c>
      <c r="T587" s="193">
        <f>SUM(H587:S587)</f>
        <v>1346</v>
      </c>
      <c r="U587"/>
      <c r="V587">
        <f>+PRESUPUESTO22[[#This Row],[EJECUTADO ]]-SUM(PRESUPUESTO22[[#This Row],[   ENERO ]:[DIC]])</f>
        <v>0</v>
      </c>
      <c r="W587"/>
      <c r="X587"/>
    </row>
    <row r="588" spans="1:24" ht="15.95" customHeight="1" x14ac:dyDescent="0.25">
      <c r="A588" s="52"/>
      <c r="B588" s="154">
        <v>90502</v>
      </c>
      <c r="C588" s="130" t="str">
        <f t="shared" si="209"/>
        <v>E-090502</v>
      </c>
      <c r="D588" s="130">
        <v>538</v>
      </c>
      <c r="E588" s="154" t="s">
        <v>69</v>
      </c>
      <c r="F588" s="213" t="s">
        <v>476</v>
      </c>
      <c r="G588" s="193">
        <v>0</v>
      </c>
      <c r="H588" s="193">
        <v>0</v>
      </c>
      <c r="I588" s="193">
        <v>0</v>
      </c>
      <c r="J588" s="193">
        <v>0</v>
      </c>
      <c r="K588" s="193">
        <v>0</v>
      </c>
      <c r="L588" s="193">
        <v>0</v>
      </c>
      <c r="M588" s="193">
        <v>0</v>
      </c>
      <c r="N588" s="193">
        <v>0</v>
      </c>
      <c r="O588" s="193">
        <v>0</v>
      </c>
      <c r="P588" s="193">
        <v>0</v>
      </c>
      <c r="Q588" s="193">
        <v>0</v>
      </c>
      <c r="R588" s="193">
        <v>0</v>
      </c>
      <c r="S588" s="193">
        <v>0</v>
      </c>
      <c r="T588" s="193">
        <f>SUM(H588:S588)</f>
        <v>0</v>
      </c>
      <c r="U588"/>
      <c r="V588">
        <f>+PRESUPUESTO22[[#This Row],[EJECUTADO ]]-SUM(PRESUPUESTO22[[#This Row],[   ENERO ]:[DIC]])</f>
        <v>0</v>
      </c>
      <c r="W588"/>
      <c r="X588"/>
    </row>
    <row r="589" spans="1:24" ht="15.95" customHeight="1" x14ac:dyDescent="0.25">
      <c r="A589" s="52">
        <v>9.5</v>
      </c>
      <c r="B589" s="157">
        <v>906</v>
      </c>
      <c r="C589" s="130" t="str">
        <f t="shared" si="209"/>
        <v>E-0906</v>
      </c>
      <c r="D589" s="130">
        <v>539</v>
      </c>
      <c r="E589" s="157" t="s">
        <v>72</v>
      </c>
      <c r="F589" s="219" t="s">
        <v>477</v>
      </c>
      <c r="G589" s="190">
        <v>75000</v>
      </c>
      <c r="H589" s="190">
        <f>SUM(H590:H595)</f>
        <v>869</v>
      </c>
      <c r="I589" s="190">
        <f t="shared" ref="I589:T589" si="225">SUM(I590:I595)</f>
        <v>7312</v>
      </c>
      <c r="J589" s="190">
        <f t="shared" si="225"/>
        <v>5445</v>
      </c>
      <c r="K589" s="190">
        <f t="shared" si="225"/>
        <v>47</v>
      </c>
      <c r="L589" s="190">
        <f t="shared" si="225"/>
        <v>414</v>
      </c>
      <c r="M589" s="190">
        <f t="shared" si="225"/>
        <v>1029</v>
      </c>
      <c r="N589" s="190">
        <f t="shared" si="225"/>
        <v>774</v>
      </c>
      <c r="O589" s="190">
        <f t="shared" si="225"/>
        <v>172</v>
      </c>
      <c r="P589" s="190">
        <f t="shared" si="225"/>
        <v>20237</v>
      </c>
      <c r="Q589" s="190">
        <f t="shared" si="225"/>
        <v>22972.999999999996</v>
      </c>
      <c r="R589" s="190">
        <f t="shared" si="225"/>
        <v>3474.0000000000005</v>
      </c>
      <c r="S589" s="190">
        <f t="shared" si="225"/>
        <v>0</v>
      </c>
      <c r="T589" s="190">
        <f t="shared" si="225"/>
        <v>62746</v>
      </c>
      <c r="U589"/>
      <c r="V589">
        <f>+PRESUPUESTO22[[#This Row],[EJECUTADO ]]-SUM(PRESUPUESTO22[[#This Row],[   ENERO ]:[DIC]])</f>
        <v>0</v>
      </c>
      <c r="W589"/>
      <c r="X589"/>
    </row>
    <row r="590" spans="1:24" ht="15.95" customHeight="1" x14ac:dyDescent="0.25">
      <c r="A590" s="52"/>
      <c r="B590" s="154">
        <v>90601</v>
      </c>
      <c r="C590" s="130" t="str">
        <f t="shared" si="209"/>
        <v>E-090601</v>
      </c>
      <c r="D590" s="130">
        <v>540</v>
      </c>
      <c r="E590" s="154" t="s">
        <v>69</v>
      </c>
      <c r="F590" s="213" t="s">
        <v>1420</v>
      </c>
      <c r="G590" s="193">
        <v>0</v>
      </c>
      <c r="H590" s="193">
        <v>0</v>
      </c>
      <c r="I590" s="193">
        <v>0</v>
      </c>
      <c r="J590" s="193">
        <f>2082.06+678+339-0.06</f>
        <v>3099</v>
      </c>
      <c r="K590" s="193">
        <v>0</v>
      </c>
      <c r="L590" s="193">
        <v>0</v>
      </c>
      <c r="M590" s="193">
        <v>0</v>
      </c>
      <c r="N590" s="193">
        <v>0</v>
      </c>
      <c r="O590" s="193">
        <v>0</v>
      </c>
      <c r="P590" s="193">
        <v>0</v>
      </c>
      <c r="Q590" s="193">
        <f>6281.42+226+1017+1186.5+3390+975+406.8+8362.48+1127.68+0.12</f>
        <v>22972.999999999996</v>
      </c>
      <c r="R590" s="193">
        <f>611.11+1000+1703.38-0.49</f>
        <v>3314.0000000000005</v>
      </c>
      <c r="S590" s="193">
        <v>0</v>
      </c>
      <c r="T590" s="193">
        <f t="shared" ref="T590:T595" si="226">SUM(H590:S590)</f>
        <v>29385.999999999996</v>
      </c>
      <c r="U590"/>
      <c r="V590">
        <f>+PRESUPUESTO22[[#This Row],[EJECUTADO ]]-SUM(PRESUPUESTO22[[#This Row],[   ENERO ]:[DIC]])</f>
        <v>0</v>
      </c>
      <c r="W590"/>
      <c r="X590"/>
    </row>
    <row r="591" spans="1:24" ht="15.95" customHeight="1" x14ac:dyDescent="0.25">
      <c r="A591" s="52"/>
      <c r="B591" s="154">
        <v>90602</v>
      </c>
      <c r="C591" s="130" t="str">
        <f t="shared" si="209"/>
        <v>E-090602</v>
      </c>
      <c r="D591" s="130">
        <v>541</v>
      </c>
      <c r="E591" s="154" t="s">
        <v>69</v>
      </c>
      <c r="F591" s="213" t="s">
        <v>478</v>
      </c>
      <c r="G591" s="193">
        <v>0</v>
      </c>
      <c r="H591" s="193">
        <v>49</v>
      </c>
      <c r="I591" s="193">
        <f>297+3084+1462.5+0.5</f>
        <v>4844</v>
      </c>
      <c r="J591" s="193">
        <f>423.5+0.5</f>
        <v>424</v>
      </c>
      <c r="K591" s="193">
        <v>47</v>
      </c>
      <c r="L591" s="193">
        <f>161.5+0.5</f>
        <v>162</v>
      </c>
      <c r="M591" s="193">
        <v>20</v>
      </c>
      <c r="N591" s="193">
        <v>774</v>
      </c>
      <c r="O591" s="193">
        <v>172</v>
      </c>
      <c r="P591" s="193">
        <v>0</v>
      </c>
      <c r="Q591" s="193">
        <v>0</v>
      </c>
      <c r="R591" s="193">
        <f>105+55.46-0.46</f>
        <v>160</v>
      </c>
      <c r="S591" s="193">
        <v>0</v>
      </c>
      <c r="T591" s="193">
        <f t="shared" si="226"/>
        <v>6652</v>
      </c>
      <c r="U591"/>
      <c r="V591">
        <f>+PRESUPUESTO22[[#This Row],[EJECUTADO ]]-SUM(PRESUPUESTO22[[#This Row],[   ENERO ]:[DIC]])</f>
        <v>0</v>
      </c>
      <c r="W591"/>
      <c r="X591"/>
    </row>
    <row r="592" spans="1:24" ht="15.95" customHeight="1" x14ac:dyDescent="0.25">
      <c r="A592" s="52"/>
      <c r="B592" s="154">
        <v>90603</v>
      </c>
      <c r="C592" s="130" t="str">
        <f t="shared" si="209"/>
        <v>E-090603</v>
      </c>
      <c r="D592" s="130">
        <v>542</v>
      </c>
      <c r="E592" s="154" t="s">
        <v>69</v>
      </c>
      <c r="F592" s="213" t="s">
        <v>479</v>
      </c>
      <c r="G592" s="193">
        <v>0</v>
      </c>
      <c r="H592" s="193">
        <v>0</v>
      </c>
      <c r="I592" s="193">
        <f>660+1765.06+42.48+0.46</f>
        <v>2468</v>
      </c>
      <c r="J592" s="193">
        <f>82.5+1289.05+550+0.45</f>
        <v>1922</v>
      </c>
      <c r="K592" s="193">
        <v>0</v>
      </c>
      <c r="L592" s="193">
        <v>0</v>
      </c>
      <c r="M592" s="193">
        <f>709.08+300-0.08</f>
        <v>1009</v>
      </c>
      <c r="N592" s="193">
        <v>0</v>
      </c>
      <c r="O592" s="193">
        <v>0</v>
      </c>
      <c r="P592" s="193">
        <v>637</v>
      </c>
      <c r="Q592" s="193">
        <v>0</v>
      </c>
      <c r="R592" s="193">
        <v>0</v>
      </c>
      <c r="S592" s="193">
        <v>0</v>
      </c>
      <c r="T592" s="193">
        <f t="shared" si="226"/>
        <v>6036</v>
      </c>
      <c r="U592"/>
      <c r="V592">
        <f>+PRESUPUESTO22[[#This Row],[EJECUTADO ]]-SUM(PRESUPUESTO22[[#This Row],[   ENERO ]:[DIC]])</f>
        <v>0</v>
      </c>
      <c r="W592"/>
      <c r="X592"/>
    </row>
    <row r="593" spans="1:25" ht="15.95" customHeight="1" x14ac:dyDescent="0.25">
      <c r="A593" s="52"/>
      <c r="B593" s="154">
        <v>90604</v>
      </c>
      <c r="C593" s="130" t="str">
        <f t="shared" si="209"/>
        <v>E-090604</v>
      </c>
      <c r="D593" s="130">
        <v>543</v>
      </c>
      <c r="E593" s="154" t="s">
        <v>69</v>
      </c>
      <c r="F593" s="213" t="s">
        <v>480</v>
      </c>
      <c r="G593" s="193">
        <v>0</v>
      </c>
      <c r="H593" s="193">
        <f>480.65+339+0.35</f>
        <v>820</v>
      </c>
      <c r="I593" s="193">
        <v>0</v>
      </c>
      <c r="J593" s="193">
        <v>0</v>
      </c>
      <c r="K593" s="193">
        <v>0</v>
      </c>
      <c r="L593" s="193">
        <v>0</v>
      </c>
      <c r="M593" s="193">
        <v>0</v>
      </c>
      <c r="N593" s="193">
        <v>0</v>
      </c>
      <c r="O593" s="193">
        <v>0</v>
      </c>
      <c r="P593" s="193">
        <v>0</v>
      </c>
      <c r="Q593" s="193">
        <v>0</v>
      </c>
      <c r="R593" s="193">
        <v>0</v>
      </c>
      <c r="S593" s="193">
        <v>0</v>
      </c>
      <c r="T593" s="193">
        <f t="shared" si="226"/>
        <v>820</v>
      </c>
      <c r="U593"/>
      <c r="V593">
        <f>+PRESUPUESTO22[[#This Row],[EJECUTADO ]]-SUM(PRESUPUESTO22[[#This Row],[   ENERO ]:[DIC]])</f>
        <v>0</v>
      </c>
      <c r="W593"/>
      <c r="X593"/>
    </row>
    <row r="594" spans="1:25" ht="15.95" customHeight="1" x14ac:dyDescent="0.25">
      <c r="A594" s="52"/>
      <c r="B594" s="154">
        <v>90605</v>
      </c>
      <c r="C594" s="130" t="str">
        <f t="shared" si="209"/>
        <v>E-090605</v>
      </c>
      <c r="D594" s="130">
        <v>544</v>
      </c>
      <c r="E594" s="154" t="s">
        <v>69</v>
      </c>
      <c r="F594" s="213" t="s">
        <v>481</v>
      </c>
      <c r="G594" s="193">
        <v>0</v>
      </c>
      <c r="H594" s="193">
        <v>0</v>
      </c>
      <c r="I594" s="193">
        <v>0</v>
      </c>
      <c r="J594" s="193">
        <v>0</v>
      </c>
      <c r="K594" s="193">
        <v>0</v>
      </c>
      <c r="L594" s="193">
        <v>0</v>
      </c>
      <c r="M594" s="193">
        <v>0</v>
      </c>
      <c r="N594" s="193">
        <v>0</v>
      </c>
      <c r="O594" s="193">
        <v>0</v>
      </c>
      <c r="P594" s="193">
        <v>19600</v>
      </c>
      <c r="Q594" s="193">
        <v>0</v>
      </c>
      <c r="R594" s="193">
        <v>0</v>
      </c>
      <c r="S594" s="193">
        <v>0</v>
      </c>
      <c r="T594" s="193">
        <f t="shared" si="226"/>
        <v>19600</v>
      </c>
      <c r="U594"/>
      <c r="V594">
        <f>+PRESUPUESTO22[[#This Row],[EJECUTADO ]]-SUM(PRESUPUESTO22[[#This Row],[   ENERO ]:[DIC]])</f>
        <v>0</v>
      </c>
      <c r="W594"/>
      <c r="X594"/>
    </row>
    <row r="595" spans="1:25" ht="15.95" customHeight="1" x14ac:dyDescent="0.25">
      <c r="A595" s="52"/>
      <c r="B595" s="154">
        <v>90606</v>
      </c>
      <c r="C595" s="130" t="str">
        <f t="shared" si="209"/>
        <v>E-090606</v>
      </c>
      <c r="D595" s="130">
        <v>545</v>
      </c>
      <c r="E595" s="154" t="s">
        <v>69</v>
      </c>
      <c r="F595" s="213" t="s">
        <v>482</v>
      </c>
      <c r="G595" s="193">
        <v>0</v>
      </c>
      <c r="H595" s="193">
        <v>0</v>
      </c>
      <c r="I595" s="193">
        <v>0</v>
      </c>
      <c r="J595" s="193">
        <v>0</v>
      </c>
      <c r="K595" s="193">
        <v>0</v>
      </c>
      <c r="L595" s="218">
        <f>252.46-0.46</f>
        <v>252</v>
      </c>
      <c r="M595" s="193">
        <v>0</v>
      </c>
      <c r="N595" s="193">
        <v>0</v>
      </c>
      <c r="O595" s="193">
        <v>0</v>
      </c>
      <c r="P595" s="193">
        <v>0</v>
      </c>
      <c r="Q595" s="193">
        <v>0</v>
      </c>
      <c r="R595" s="193">
        <v>0</v>
      </c>
      <c r="S595" s="193">
        <v>0</v>
      </c>
      <c r="T595" s="193">
        <f t="shared" si="226"/>
        <v>252</v>
      </c>
      <c r="U595"/>
      <c r="V595">
        <f>+PRESUPUESTO22[[#This Row],[EJECUTADO ]]-SUM(PRESUPUESTO22[[#This Row],[   ENERO ]:[DIC]])</f>
        <v>0</v>
      </c>
      <c r="W595"/>
      <c r="X595"/>
    </row>
    <row r="596" spans="1:25" ht="18.75" customHeight="1" x14ac:dyDescent="0.25">
      <c r="A596" s="49">
        <v>10</v>
      </c>
      <c r="B596" s="131">
        <v>10</v>
      </c>
      <c r="C596" s="130" t="str">
        <f>"E"&amp;"-"&amp;B596</f>
        <v>E-10</v>
      </c>
      <c r="D596" s="130">
        <v>546</v>
      </c>
      <c r="E596" s="131" t="s">
        <v>67</v>
      </c>
      <c r="F596" s="50" t="s">
        <v>36</v>
      </c>
      <c r="G596" s="188">
        <f t="shared" ref="G596:T596" si="227">SUM(G597:G604)</f>
        <v>600000</v>
      </c>
      <c r="H596" s="188">
        <f t="shared" si="227"/>
        <v>38556</v>
      </c>
      <c r="I596" s="188">
        <f t="shared" si="227"/>
        <v>41456</v>
      </c>
      <c r="J596" s="188">
        <f t="shared" si="227"/>
        <v>52551</v>
      </c>
      <c r="K596" s="188">
        <f t="shared" si="227"/>
        <v>38983</v>
      </c>
      <c r="L596" s="188">
        <f t="shared" si="227"/>
        <v>41837</v>
      </c>
      <c r="M596" s="188">
        <f t="shared" si="227"/>
        <v>42519</v>
      </c>
      <c r="N596" s="188">
        <f t="shared" si="227"/>
        <v>61934</v>
      </c>
      <c r="O596" s="188">
        <f t="shared" si="227"/>
        <v>42012</v>
      </c>
      <c r="P596" s="188">
        <f t="shared" si="227"/>
        <v>46432</v>
      </c>
      <c r="Q596" s="188">
        <f t="shared" si="227"/>
        <v>45835.000000000007</v>
      </c>
      <c r="R596" s="188">
        <f t="shared" si="227"/>
        <v>50049</v>
      </c>
      <c r="S596" s="188">
        <f t="shared" si="227"/>
        <v>0</v>
      </c>
      <c r="T596" s="188">
        <f t="shared" si="227"/>
        <v>502164</v>
      </c>
      <c r="U596"/>
      <c r="V596">
        <f>+PRESUPUESTO22[[#This Row],[EJECUTADO ]]-SUM(PRESUPUESTO22[[#This Row],[   ENERO ]:[DIC]])</f>
        <v>0</v>
      </c>
      <c r="W596"/>
      <c r="X596"/>
    </row>
    <row r="597" spans="1:25" ht="15.95" customHeight="1" x14ac:dyDescent="0.25">
      <c r="A597" s="48"/>
      <c r="B597" s="154">
        <v>1001</v>
      </c>
      <c r="C597" s="130" t="str">
        <f t="shared" ref="C597:C660" si="228">"E"&amp;"-"&amp;B597</f>
        <v>E-1001</v>
      </c>
      <c r="D597" s="130">
        <v>547</v>
      </c>
      <c r="E597" s="154" t="s">
        <v>72</v>
      </c>
      <c r="F597" s="213" t="s">
        <v>483</v>
      </c>
      <c r="G597" s="193">
        <v>250000</v>
      </c>
      <c r="H597" s="193">
        <f>5632.91+1316.04+1026.48+432.86+6191.85+10.47+0.39</f>
        <v>14611</v>
      </c>
      <c r="I597" s="193">
        <f>7713.66+24.62+7588.35+597.3+525.34+10.43+0.3</f>
        <v>16460</v>
      </c>
      <c r="J597" s="193">
        <f>8326.37+562.33+1.48+515.88+83.89+8606.94+11.31+9127.79+0.01</f>
        <v>27236</v>
      </c>
      <c r="K597" s="193">
        <f>571.85+575.05+7030.44+8251.21+489.55+249.06+11.01-0.17</f>
        <v>17178</v>
      </c>
      <c r="L597" s="193">
        <f>1175.46+491.29+920.57+10.73+9478.58+7132.88+0.49</f>
        <v>19210.000000000004</v>
      </c>
      <c r="M597" s="193">
        <f>2613.55+559.07+588.37+9861.52+10.77+7967.28+0.44</f>
        <v>21601</v>
      </c>
      <c r="N597" s="193">
        <f>464.08+469.76+453.83+8782.98+48.5+8421.87-0.02</f>
        <v>18641</v>
      </c>
      <c r="O597" s="193">
        <f>10.11+527.23+729.48+8642.87+10.63+10.73+9387.2-0.25</f>
        <v>19318</v>
      </c>
      <c r="P597" s="193">
        <f>1.48+554.2+9842.89+9.18+570.04+9196.37-0.16</f>
        <v>20174.000000000004</v>
      </c>
      <c r="Q597" s="193">
        <f>1.48+622.67+9780.21+513.8+10.26+6494.15+0.43</f>
        <v>17423</v>
      </c>
      <c r="R597" s="193">
        <f>3451.2+1.48+407.05+9297.88+196.57+542.17+12.19+9528.87-0.41</f>
        <v>23437</v>
      </c>
      <c r="S597" s="193">
        <v>0</v>
      </c>
      <c r="T597" s="193">
        <f t="shared" ref="T597:T604" si="229">SUM(H597:S597)</f>
        <v>215289</v>
      </c>
      <c r="U597"/>
      <c r="V597">
        <f>+PRESUPUESTO22[[#This Row],[EJECUTADO ]]-SUM(PRESUPUESTO22[[#This Row],[   ENERO ]:[DIC]])</f>
        <v>0</v>
      </c>
      <c r="W597"/>
      <c r="X597"/>
    </row>
    <row r="598" spans="1:25" ht="15.95" customHeight="1" x14ac:dyDescent="0.25">
      <c r="A598" s="48"/>
      <c r="B598" s="154">
        <v>1002</v>
      </c>
      <c r="C598" s="130" t="str">
        <f t="shared" si="228"/>
        <v>E-1002</v>
      </c>
      <c r="D598" s="130">
        <v>548</v>
      </c>
      <c r="E598" s="154" t="s">
        <v>72</v>
      </c>
      <c r="F598" s="213" t="s">
        <v>484</v>
      </c>
      <c r="G598" s="193">
        <v>150000</v>
      </c>
      <c r="H598" s="193">
        <f>2210.3+1939.68+10.63+3759.19+158.08+1900.61+89-0.49</f>
        <v>10067.000000000002</v>
      </c>
      <c r="I598" s="193">
        <f>2124.06+221.86+2825.3+96.87+3759.19+1900.61+32+0.11</f>
        <v>10960.000000000002</v>
      </c>
      <c r="J598" s="193">
        <f>2210.3+698.46+28+3759.19+10.63+1900.61+11.94+288+1862.57+0.3</f>
        <v>10770</v>
      </c>
      <c r="K598" s="193">
        <f>238+358.36+2059.86+1900.61+3459.19+28-0.02</f>
        <v>8044</v>
      </c>
      <c r="L598" s="193">
        <f>678.31+3759.19+2.83+1900.61+28.86+2210.3-0.1</f>
        <v>8579.9999999999982</v>
      </c>
      <c r="M598" s="193">
        <f>3759.19+57.72+1911.24+2210.3+10+1862.57-0.02</f>
        <v>9811</v>
      </c>
      <c r="N598" s="193">
        <f>3759.19+358.36+17574+1900.61+2726.67+2210.3-0.13</f>
        <v>28529</v>
      </c>
      <c r="O598" s="193">
        <f>42.03+3759.19+200+1900.61+125+1.47+49.33+2210.3+0.07</f>
        <v>8288</v>
      </c>
      <c r="P598" s="193">
        <f>10.63+3759.18+1900.61+14.33+2210.3-0.05</f>
        <v>7895</v>
      </c>
      <c r="Q598" s="193">
        <f>80.01+2056.28+10.63+3759.19+2250+1900.61+0.28+2210.3-0.3</f>
        <v>12267.000000000004</v>
      </c>
      <c r="R598" s="193">
        <f>144+214.43+10.63+453.72+3759.19+1723.35+177.28+359+408+3759.19+2210.3-0.09</f>
        <v>13219</v>
      </c>
      <c r="S598" s="193">
        <v>0</v>
      </c>
      <c r="T598" s="193">
        <f t="shared" si="229"/>
        <v>128430</v>
      </c>
      <c r="U598"/>
      <c r="V598">
        <f>+PRESUPUESTO22[[#This Row],[EJECUTADO ]]-SUM(PRESUPUESTO22[[#This Row],[   ENERO ]:[DIC]])</f>
        <v>0</v>
      </c>
      <c r="W598"/>
      <c r="X598"/>
    </row>
    <row r="599" spans="1:25" ht="15.95" customHeight="1" x14ac:dyDescent="0.25">
      <c r="A599" s="48"/>
      <c r="B599" s="154">
        <v>1003</v>
      </c>
      <c r="C599" s="130" t="str">
        <f t="shared" si="228"/>
        <v>E-1003</v>
      </c>
      <c r="D599" s="130">
        <v>549</v>
      </c>
      <c r="E599" s="154" t="s">
        <v>72</v>
      </c>
      <c r="F599" s="213" t="s">
        <v>485</v>
      </c>
      <c r="G599" s="193">
        <v>65000</v>
      </c>
      <c r="H599" s="193">
        <f>2581.43+274.3+242.42+40-0.15</f>
        <v>3138</v>
      </c>
      <c r="I599" s="193">
        <f>3271.88+108.3+557.32+0.5</f>
        <v>3938.0000000000005</v>
      </c>
      <c r="J599" s="193">
        <f>3071.39+55.6+334.47+32+3061.99-0.45</f>
        <v>6555</v>
      </c>
      <c r="K599" s="193">
        <f>212.5+300.13+3827.34+0.03</f>
        <v>4340</v>
      </c>
      <c r="L599" s="193">
        <f>394.51+185+402.41+64+2566.45-0.37</f>
        <v>3612</v>
      </c>
      <c r="M599" s="193">
        <f>380.33+401.74+2666.67+32+0.26</f>
        <v>3481</v>
      </c>
      <c r="N599" s="193">
        <f>372.61+159.3+2726.67+0.42</f>
        <v>3259</v>
      </c>
      <c r="O599" s="193">
        <f>384.43+285.9+64+4698.83-0.16</f>
        <v>5433</v>
      </c>
      <c r="P599" s="193">
        <f>143.9+216.15+5070.5+0.45-372</f>
        <v>5059</v>
      </c>
      <c r="Q599" s="193">
        <f>36+206.36+400.33+26+5100+0.31</f>
        <v>5769.0000000000009</v>
      </c>
      <c r="R599" s="193">
        <f>-2069.65+409.88+525.82+3695.54+0.41</f>
        <v>2562</v>
      </c>
      <c r="S599" s="193">
        <v>0</v>
      </c>
      <c r="T599" s="193">
        <f t="shared" si="229"/>
        <v>47146</v>
      </c>
      <c r="U599"/>
      <c r="V599">
        <f>+PRESUPUESTO22[[#This Row],[EJECUTADO ]]-SUM(PRESUPUESTO22[[#This Row],[   ENERO ]:[DIC]])</f>
        <v>0</v>
      </c>
      <c r="W599"/>
      <c r="X599"/>
    </row>
    <row r="600" spans="1:25" ht="15.95" customHeight="1" x14ac:dyDescent="0.25">
      <c r="A600" s="48"/>
      <c r="B600" s="154">
        <v>1004</v>
      </c>
      <c r="C600" s="130" t="str">
        <f t="shared" si="228"/>
        <v>E-1004</v>
      </c>
      <c r="D600" s="130">
        <v>550</v>
      </c>
      <c r="E600" s="154" t="s">
        <v>72</v>
      </c>
      <c r="F600" s="213" t="s">
        <v>486</v>
      </c>
      <c r="G600" s="193">
        <v>60000</v>
      </c>
      <c r="H600" s="193">
        <f>338.99+2800.29+11.95-0.23</f>
        <v>3150.9999999999995</v>
      </c>
      <c r="I600" s="193">
        <f>338.99+2822.22-0.21</f>
        <v>3161</v>
      </c>
      <c r="J600" s="193">
        <f>11.95+1298.8+338.59-0.34</f>
        <v>1649</v>
      </c>
      <c r="K600" s="193">
        <f>338.99+2935.82+23.9+0.29</f>
        <v>3299.0000000000005</v>
      </c>
      <c r="L600" s="193">
        <f>5277.07+338.99-0.06</f>
        <v>5615.9999999999991</v>
      </c>
      <c r="M600" s="193">
        <f>1513.91+338.99+178.32-0.22</f>
        <v>2031</v>
      </c>
      <c r="N600" s="193">
        <f>5291.81+20+338.99+0.2</f>
        <v>5651</v>
      </c>
      <c r="O600" s="193">
        <f>11.95+1619.25+338.99+11.95-0.14</f>
        <v>1982</v>
      </c>
      <c r="P600" s="193">
        <f>338.99+5513.83+0.18</f>
        <v>5853</v>
      </c>
      <c r="Q600" s="193">
        <f>11.95+339+3425.14+11.95-0.04</f>
        <v>3787.9999999999995</v>
      </c>
      <c r="R600" s="193">
        <f>338.99+3384.8+11.95+0.26</f>
        <v>3736</v>
      </c>
      <c r="S600" s="193">
        <v>0</v>
      </c>
      <c r="T600" s="193">
        <f t="shared" si="229"/>
        <v>39917</v>
      </c>
      <c r="U600"/>
      <c r="V600">
        <f>+PRESUPUESTO22[[#This Row],[EJECUTADO ]]-SUM(PRESUPUESTO22[[#This Row],[   ENERO ]:[DIC]])</f>
        <v>0</v>
      </c>
      <c r="W600"/>
      <c r="X600"/>
    </row>
    <row r="601" spans="1:25" ht="15.95" customHeight="1" x14ac:dyDescent="0.25">
      <c r="A601" s="48" t="s">
        <v>1</v>
      </c>
      <c r="B601" s="154">
        <v>1005</v>
      </c>
      <c r="C601" s="130" t="str">
        <f t="shared" si="228"/>
        <v>E-1005</v>
      </c>
      <c r="D601" s="130">
        <v>551</v>
      </c>
      <c r="E601" s="154" t="s">
        <v>72</v>
      </c>
      <c r="F601" s="213" t="s">
        <v>487</v>
      </c>
      <c r="G601" s="193">
        <v>15000</v>
      </c>
      <c r="H601" s="193">
        <f>3284.68+0.32</f>
        <v>3285</v>
      </c>
      <c r="I601" s="193">
        <v>3200</v>
      </c>
      <c r="J601" s="193">
        <v>2065</v>
      </c>
      <c r="K601" s="193">
        <v>2245</v>
      </c>
      <c r="L601" s="193">
        <f>1127.61+0.39</f>
        <v>1128</v>
      </c>
      <c r="M601" s="193">
        <f>1774.62+0.38</f>
        <v>1775</v>
      </c>
      <c r="N601" s="193">
        <f>1885.72+0.28</f>
        <v>1886</v>
      </c>
      <c r="O601" s="193">
        <f>3184.7+0.3</f>
        <v>3185</v>
      </c>
      <c r="P601" s="193">
        <f>1946.37+1692.93-0.3</f>
        <v>3639</v>
      </c>
      <c r="Q601" s="193">
        <f>2656.3-0.3</f>
        <v>2656</v>
      </c>
      <c r="R601" s="193">
        <f>2651.2-0.2</f>
        <v>2651</v>
      </c>
      <c r="S601" s="193">
        <v>0</v>
      </c>
      <c r="T601" s="193">
        <f t="shared" si="229"/>
        <v>27715</v>
      </c>
      <c r="U601"/>
      <c r="V601">
        <f>+PRESUPUESTO22[[#This Row],[EJECUTADO ]]-SUM(PRESUPUESTO22[[#This Row],[   ENERO ]:[DIC]])</f>
        <v>0</v>
      </c>
      <c r="W601"/>
      <c r="X601"/>
    </row>
    <row r="602" spans="1:25" ht="15.95" customHeight="1" x14ac:dyDescent="0.25">
      <c r="A602" s="48"/>
      <c r="B602" s="154">
        <v>1006</v>
      </c>
      <c r="C602" s="130" t="str">
        <f t="shared" si="228"/>
        <v>E-1006</v>
      </c>
      <c r="D602" s="130">
        <v>552</v>
      </c>
      <c r="E602" s="154" t="s">
        <v>72</v>
      </c>
      <c r="F602" s="213" t="s">
        <v>488</v>
      </c>
      <c r="G602" s="193">
        <v>45000</v>
      </c>
      <c r="H602" s="193">
        <f>3154.71+0.29</f>
        <v>3155</v>
      </c>
      <c r="I602" s="193">
        <f>3154.71+0.29</f>
        <v>3155</v>
      </c>
      <c r="J602" s="193">
        <f>3155.71+0.29</f>
        <v>3156</v>
      </c>
      <c r="K602" s="193">
        <f>3154.71+0.29</f>
        <v>3155</v>
      </c>
      <c r="L602" s="193">
        <f>3155.71+0.29</f>
        <v>3156</v>
      </c>
      <c r="M602" s="193">
        <f>3155.71+0.29</f>
        <v>3156</v>
      </c>
      <c r="N602" s="193">
        <f>3133.41-0.41</f>
        <v>3133</v>
      </c>
      <c r="O602" s="193">
        <f>3133.41-0.41</f>
        <v>3133</v>
      </c>
      <c r="P602" s="193">
        <f>3133.41-0.41</f>
        <v>3133</v>
      </c>
      <c r="Q602" s="193">
        <f>3133.41-0.41</f>
        <v>3133</v>
      </c>
      <c r="R602" s="193">
        <f>3133.44-0.44</f>
        <v>3133</v>
      </c>
      <c r="S602" s="193">
        <v>0</v>
      </c>
      <c r="T602" s="193">
        <f t="shared" si="229"/>
        <v>34598</v>
      </c>
      <c r="U602"/>
      <c r="V602">
        <f>+PRESUPUESTO22[[#This Row],[EJECUTADO ]]-SUM(PRESUPUESTO22[[#This Row],[   ENERO ]:[DIC]])</f>
        <v>0</v>
      </c>
      <c r="W602"/>
      <c r="X602"/>
    </row>
    <row r="603" spans="1:25" ht="15.95" customHeight="1" x14ac:dyDescent="0.25">
      <c r="A603" s="48"/>
      <c r="B603" s="154">
        <v>1007</v>
      </c>
      <c r="C603" s="130" t="str">
        <f t="shared" si="228"/>
        <v>E-1007</v>
      </c>
      <c r="D603" s="130">
        <v>553</v>
      </c>
      <c r="E603" s="154" t="s">
        <v>72</v>
      </c>
      <c r="F603" s="213" t="s">
        <v>489</v>
      </c>
      <c r="G603" s="193">
        <v>14000</v>
      </c>
      <c r="H603" s="193">
        <f>549.03+89.17+340.14-0.34</f>
        <v>977.99999999999989</v>
      </c>
      <c r="I603" s="193">
        <f>86+496.12-0.12</f>
        <v>582</v>
      </c>
      <c r="J603" s="193">
        <f>89.17+601.55+340.14+89.17-0.03</f>
        <v>1120</v>
      </c>
      <c r="K603" s="193">
        <f>539.07+89.17-0.24</f>
        <v>628</v>
      </c>
      <c r="L603" s="193">
        <f>534.78+0.22</f>
        <v>535</v>
      </c>
      <c r="M603" s="193">
        <f>105+534.75+23.9+0.35</f>
        <v>664</v>
      </c>
      <c r="N603" s="193">
        <f>340.14+495.14-0.28</f>
        <v>835</v>
      </c>
      <c r="O603" s="193">
        <f>89.17+495.14+89.17-0.48</f>
        <v>672.99999999999989</v>
      </c>
      <c r="P603" s="193">
        <f>137.45+541.58-0.03</f>
        <v>679</v>
      </c>
      <c r="Q603" s="193">
        <f>89.17+541.58+89.17+0.08</f>
        <v>720</v>
      </c>
      <c r="R603" s="193">
        <f>340.14+541.58+89.17+340.14-0.03</f>
        <v>1311</v>
      </c>
      <c r="S603" s="193">
        <v>0</v>
      </c>
      <c r="T603" s="193">
        <f t="shared" si="229"/>
        <v>8725</v>
      </c>
      <c r="U603"/>
      <c r="V603">
        <f>+PRESUPUESTO22[[#This Row],[EJECUTADO ]]-SUM(PRESUPUESTO22[[#This Row],[   ENERO ]:[DIC]])</f>
        <v>0</v>
      </c>
      <c r="W603"/>
      <c r="X603"/>
    </row>
    <row r="604" spans="1:25" ht="15.95" customHeight="1" x14ac:dyDescent="0.25">
      <c r="A604" s="48"/>
      <c r="B604" s="154">
        <v>1008</v>
      </c>
      <c r="C604" s="130" t="str">
        <f t="shared" si="228"/>
        <v>E-1008</v>
      </c>
      <c r="D604" s="130">
        <v>554</v>
      </c>
      <c r="E604" s="154" t="s">
        <v>72</v>
      </c>
      <c r="F604" s="213" t="s">
        <v>490</v>
      </c>
      <c r="G604" s="193">
        <v>1000</v>
      </c>
      <c r="H604" s="193">
        <f>170.62+0.38</f>
        <v>171</v>
      </c>
      <c r="I604" s="193">
        <v>0</v>
      </c>
      <c r="J604" s="193">
        <v>0</v>
      </c>
      <c r="K604" s="193">
        <f>93.93+0.07</f>
        <v>94</v>
      </c>
      <c r="L604" s="193">
        <v>0</v>
      </c>
      <c r="M604" s="193">
        <v>0</v>
      </c>
      <c r="N604" s="193">
        <v>0</v>
      </c>
      <c r="O604" s="193">
        <v>0</v>
      </c>
      <c r="P604" s="193">
        <v>0</v>
      </c>
      <c r="Q604" s="193">
        <f>79.42-0.42</f>
        <v>79</v>
      </c>
      <c r="R604" s="193">
        <v>0</v>
      </c>
      <c r="S604" s="193">
        <v>0</v>
      </c>
      <c r="T604" s="193">
        <f t="shared" si="229"/>
        <v>344</v>
      </c>
      <c r="U604"/>
      <c r="V604">
        <f>+PRESUPUESTO22[[#This Row],[EJECUTADO ]]-SUM(PRESUPUESTO22[[#This Row],[   ENERO ]:[DIC]])</f>
        <v>0</v>
      </c>
      <c r="W604"/>
      <c r="X604"/>
    </row>
    <row r="605" spans="1:25" ht="15.95" customHeight="1" x14ac:dyDescent="0.25">
      <c r="A605" s="49">
        <v>11</v>
      </c>
      <c r="B605" s="131">
        <v>11</v>
      </c>
      <c r="C605" s="130" t="str">
        <f t="shared" si="228"/>
        <v>E-11</v>
      </c>
      <c r="D605" s="130">
        <v>555</v>
      </c>
      <c r="E605" s="131" t="s">
        <v>67</v>
      </c>
      <c r="F605" s="50" t="s">
        <v>37</v>
      </c>
      <c r="G605" s="188">
        <f t="shared" ref="G605:T605" si="230">+G606+G609+G614+G620+G612</f>
        <v>775000</v>
      </c>
      <c r="H605" s="188">
        <f t="shared" si="230"/>
        <v>64336</v>
      </c>
      <c r="I605" s="188">
        <f t="shared" si="230"/>
        <v>62266</v>
      </c>
      <c r="J605" s="188">
        <f t="shared" si="230"/>
        <v>62518</v>
      </c>
      <c r="K605" s="188">
        <f t="shared" si="230"/>
        <v>63484</v>
      </c>
      <c r="L605" s="188">
        <f t="shared" si="230"/>
        <v>62568</v>
      </c>
      <c r="M605" s="188">
        <f t="shared" si="230"/>
        <v>62679</v>
      </c>
      <c r="N605" s="188">
        <f t="shared" si="230"/>
        <v>62568</v>
      </c>
      <c r="O605" s="188">
        <f t="shared" si="230"/>
        <v>65798</v>
      </c>
      <c r="P605" s="188">
        <f t="shared" si="230"/>
        <v>106484</v>
      </c>
      <c r="Q605" s="188">
        <f t="shared" si="230"/>
        <v>98860</v>
      </c>
      <c r="R605" s="188">
        <f t="shared" si="230"/>
        <v>96895</v>
      </c>
      <c r="S605" s="188">
        <f t="shared" si="230"/>
        <v>0</v>
      </c>
      <c r="T605" s="188">
        <f t="shared" si="230"/>
        <v>808456</v>
      </c>
      <c r="U605"/>
      <c r="V605">
        <f>+PRESUPUESTO22[[#This Row],[EJECUTADO ]]-SUM(PRESUPUESTO22[[#This Row],[   ENERO ]:[DIC]])</f>
        <v>0</v>
      </c>
      <c r="W605"/>
      <c r="X605"/>
    </row>
    <row r="606" spans="1:25" ht="15.95" customHeight="1" x14ac:dyDescent="0.25">
      <c r="A606" s="54">
        <v>1</v>
      </c>
      <c r="B606" s="157">
        <v>1101</v>
      </c>
      <c r="C606" s="130" t="str">
        <f t="shared" si="228"/>
        <v>E-1101</v>
      </c>
      <c r="D606" s="130">
        <v>556</v>
      </c>
      <c r="E606" s="157" t="s">
        <v>69</v>
      </c>
      <c r="F606" s="219" t="s">
        <v>491</v>
      </c>
      <c r="G606" s="190">
        <f>SUM(G607:G608)</f>
        <v>751960</v>
      </c>
      <c r="H606" s="190">
        <f>SUM(H607:H608)</f>
        <v>61246</v>
      </c>
      <c r="I606" s="190">
        <f t="shared" ref="I606:T606" si="231">SUM(I607:I608)</f>
        <v>61246</v>
      </c>
      <c r="J606" s="190">
        <f t="shared" si="231"/>
        <v>61498</v>
      </c>
      <c r="K606" s="190">
        <f t="shared" si="231"/>
        <v>62446</v>
      </c>
      <c r="L606" s="190">
        <f t="shared" si="231"/>
        <v>61493</v>
      </c>
      <c r="M606" s="190">
        <f t="shared" si="231"/>
        <v>60999</v>
      </c>
      <c r="N606" s="190">
        <f t="shared" si="231"/>
        <v>61493</v>
      </c>
      <c r="O606" s="190">
        <f t="shared" si="231"/>
        <v>62446</v>
      </c>
      <c r="P606" s="190">
        <f t="shared" si="231"/>
        <v>98086</v>
      </c>
      <c r="Q606" s="190">
        <f t="shared" si="231"/>
        <v>98360</v>
      </c>
      <c r="R606" s="190">
        <f t="shared" si="231"/>
        <v>96395</v>
      </c>
      <c r="S606" s="190">
        <f t="shared" si="231"/>
        <v>0</v>
      </c>
      <c r="T606" s="190">
        <f t="shared" si="231"/>
        <v>785708</v>
      </c>
      <c r="U606"/>
      <c r="V606">
        <f>+PRESUPUESTO22[[#This Row],[EJECUTADO ]]-SUM(PRESUPUESTO22[[#This Row],[   ENERO ]:[DIC]])</f>
        <v>0</v>
      </c>
      <c r="W606"/>
      <c r="X606"/>
    </row>
    <row r="607" spans="1:25" ht="15.95" customHeight="1" x14ac:dyDescent="0.25">
      <c r="A607" s="54"/>
      <c r="B607" s="154">
        <v>110101</v>
      </c>
      <c r="C607" s="130" t="str">
        <f t="shared" si="228"/>
        <v>E-110101</v>
      </c>
      <c r="D607" s="130">
        <v>557</v>
      </c>
      <c r="E607" s="154" t="s">
        <v>72</v>
      </c>
      <c r="F607" s="213" t="s">
        <v>492</v>
      </c>
      <c r="G607" s="193">
        <v>177360</v>
      </c>
      <c r="H607" s="193">
        <v>13363</v>
      </c>
      <c r="I607" s="193">
        <v>13363</v>
      </c>
      <c r="J607" s="193">
        <v>13615</v>
      </c>
      <c r="K607" s="193">
        <v>14563</v>
      </c>
      <c r="L607" s="193">
        <v>13610</v>
      </c>
      <c r="M607" s="193">
        <v>13116</v>
      </c>
      <c r="N607" s="193">
        <v>13610</v>
      </c>
      <c r="O607" s="193">
        <v>14563</v>
      </c>
      <c r="P607" s="193">
        <v>13336</v>
      </c>
      <c r="Q607" s="193">
        <v>13610</v>
      </c>
      <c r="R607" s="193">
        <v>11645</v>
      </c>
      <c r="S607" s="193">
        <v>0</v>
      </c>
      <c r="T607" s="193">
        <f>SUM(H607:S607)</f>
        <v>148394</v>
      </c>
      <c r="U607"/>
      <c r="V607">
        <f>+PRESUPUESTO22[[#This Row],[EJECUTADO ]]-SUM(PRESUPUESTO22[[#This Row],[   ENERO ]:[DIC]])</f>
        <v>0</v>
      </c>
      <c r="W607"/>
      <c r="X607"/>
      <c r="Y607" s="7" t="s">
        <v>1</v>
      </c>
    </row>
    <row r="608" spans="1:25" ht="15.95" customHeight="1" x14ac:dyDescent="0.25">
      <c r="A608" s="54"/>
      <c r="B608" s="154">
        <v>110102</v>
      </c>
      <c r="C608" s="130" t="str">
        <f t="shared" si="228"/>
        <v>E-110102</v>
      </c>
      <c r="D608" s="130">
        <v>558</v>
      </c>
      <c r="E608" s="154" t="s">
        <v>72</v>
      </c>
      <c r="F608" s="213" t="s">
        <v>493</v>
      </c>
      <c r="G608" s="193">
        <v>574600</v>
      </c>
      <c r="H608" s="193">
        <v>47883</v>
      </c>
      <c r="I608" s="193">
        <v>47883</v>
      </c>
      <c r="J608" s="193">
        <v>47883</v>
      </c>
      <c r="K608" s="193">
        <v>47883</v>
      </c>
      <c r="L608" s="193">
        <v>47883</v>
      </c>
      <c r="M608" s="193">
        <v>47883</v>
      </c>
      <c r="N608" s="193">
        <v>47883</v>
      </c>
      <c r="O608" s="193">
        <v>47883</v>
      </c>
      <c r="P608" s="193">
        <v>84750</v>
      </c>
      <c r="Q608" s="193">
        <v>84750</v>
      </c>
      <c r="R608" s="193">
        <v>84750</v>
      </c>
      <c r="S608" s="193">
        <v>0</v>
      </c>
      <c r="T608" s="193">
        <f>SUM(H608:S608)</f>
        <v>637314</v>
      </c>
      <c r="U608"/>
      <c r="V608">
        <f>+PRESUPUESTO22[[#This Row],[EJECUTADO ]]-SUM(PRESUPUESTO22[[#This Row],[   ENERO ]:[DIC]])</f>
        <v>0</v>
      </c>
      <c r="W608"/>
      <c r="X608"/>
    </row>
    <row r="609" spans="1:24" ht="15.95" customHeight="1" x14ac:dyDescent="0.25">
      <c r="A609" s="54">
        <v>2</v>
      </c>
      <c r="B609" s="157">
        <v>1102</v>
      </c>
      <c r="C609" s="130" t="str">
        <f t="shared" si="228"/>
        <v>E-1102</v>
      </c>
      <c r="D609" s="130">
        <v>559</v>
      </c>
      <c r="E609" s="157" t="s">
        <v>69</v>
      </c>
      <c r="F609" s="219" t="s">
        <v>51</v>
      </c>
      <c r="G609" s="190">
        <f>SUM(G610:G611)</f>
        <v>4600</v>
      </c>
      <c r="H609" s="190">
        <f>SUM(H610:H611)</f>
        <v>1020</v>
      </c>
      <c r="I609" s="190">
        <f t="shared" ref="I609:T609" si="232">SUM(I610:I611)</f>
        <v>1020</v>
      </c>
      <c r="J609" s="190">
        <f t="shared" si="232"/>
        <v>1020</v>
      </c>
      <c r="K609" s="190">
        <f t="shared" si="232"/>
        <v>1038</v>
      </c>
      <c r="L609" s="190">
        <f t="shared" si="232"/>
        <v>1020</v>
      </c>
      <c r="M609" s="190">
        <f t="shared" si="232"/>
        <v>1020</v>
      </c>
      <c r="N609" s="190">
        <f t="shared" si="232"/>
        <v>1020</v>
      </c>
      <c r="O609" s="190">
        <f t="shared" si="232"/>
        <v>1020</v>
      </c>
      <c r="P609" s="190">
        <f t="shared" si="232"/>
        <v>500</v>
      </c>
      <c r="Q609" s="190">
        <f t="shared" si="232"/>
        <v>500</v>
      </c>
      <c r="R609" s="190">
        <f t="shared" si="232"/>
        <v>500</v>
      </c>
      <c r="S609" s="190">
        <f t="shared" si="232"/>
        <v>0</v>
      </c>
      <c r="T609" s="190">
        <f t="shared" si="232"/>
        <v>9678</v>
      </c>
      <c r="U609"/>
      <c r="V609">
        <f>+PRESUPUESTO22[[#This Row],[EJECUTADO ]]-SUM(PRESUPUESTO22[[#This Row],[   ENERO ]:[DIC]])</f>
        <v>0</v>
      </c>
      <c r="W609"/>
      <c r="X609"/>
    </row>
    <row r="610" spans="1:24" ht="15.95" customHeight="1" x14ac:dyDescent="0.25">
      <c r="A610" s="54"/>
      <c r="B610" s="154">
        <v>110201</v>
      </c>
      <c r="C610" s="130" t="str">
        <f t="shared" si="228"/>
        <v>E-110201</v>
      </c>
      <c r="D610" s="130">
        <v>560</v>
      </c>
      <c r="E610" s="154" t="s">
        <v>72</v>
      </c>
      <c r="F610" s="213" t="s">
        <v>494</v>
      </c>
      <c r="G610" s="193">
        <v>3600</v>
      </c>
      <c r="H610" s="193">
        <v>1020</v>
      </c>
      <c r="I610" s="193">
        <v>1020</v>
      </c>
      <c r="J610" s="193">
        <v>1020</v>
      </c>
      <c r="K610" s="193">
        <v>1020</v>
      </c>
      <c r="L610" s="193">
        <v>1020</v>
      </c>
      <c r="M610" s="193">
        <v>1020</v>
      </c>
      <c r="N610" s="193">
        <v>1020</v>
      </c>
      <c r="O610" s="193">
        <v>1020</v>
      </c>
      <c r="P610" s="193">
        <v>500</v>
      </c>
      <c r="Q610" s="193">
        <v>500</v>
      </c>
      <c r="R610" s="193">
        <v>500</v>
      </c>
      <c r="S610" s="193">
        <v>0</v>
      </c>
      <c r="T610" s="193">
        <f>SUM(H610:S610)</f>
        <v>9660</v>
      </c>
      <c r="U610"/>
      <c r="V610">
        <f>+PRESUPUESTO22[[#This Row],[EJECUTADO ]]-SUM(PRESUPUESTO22[[#This Row],[   ENERO ]:[DIC]])</f>
        <v>0</v>
      </c>
      <c r="W610"/>
      <c r="X610"/>
    </row>
    <row r="611" spans="1:24" ht="15.95" customHeight="1" x14ac:dyDescent="0.25">
      <c r="A611" s="54"/>
      <c r="B611" s="154">
        <v>110202</v>
      </c>
      <c r="C611" s="130" t="str">
        <f t="shared" si="228"/>
        <v>E-110202</v>
      </c>
      <c r="D611" s="130">
        <v>561</v>
      </c>
      <c r="E611" s="154" t="s">
        <v>72</v>
      </c>
      <c r="F611" s="213" t="s">
        <v>495</v>
      </c>
      <c r="G611" s="193">
        <v>1000</v>
      </c>
      <c r="H611" s="193">
        <v>0</v>
      </c>
      <c r="I611" s="193">
        <v>0</v>
      </c>
      <c r="J611" s="193">
        <v>0</v>
      </c>
      <c r="K611" s="193">
        <f>17.75+0.25</f>
        <v>18</v>
      </c>
      <c r="L611" s="193">
        <v>0</v>
      </c>
      <c r="M611" s="193">
        <v>0</v>
      </c>
      <c r="N611" s="193">
        <v>0</v>
      </c>
      <c r="O611" s="193">
        <v>0</v>
      </c>
      <c r="P611" s="193">
        <v>0</v>
      </c>
      <c r="Q611" s="193">
        <v>0</v>
      </c>
      <c r="R611" s="193">
        <v>0</v>
      </c>
      <c r="S611" s="193">
        <v>0</v>
      </c>
      <c r="T611" s="193">
        <f>SUM(H611:S611)</f>
        <v>18</v>
      </c>
      <c r="U611"/>
      <c r="V611">
        <f>+PRESUPUESTO22[[#This Row],[EJECUTADO ]]-SUM(PRESUPUESTO22[[#This Row],[   ENERO ]:[DIC]])</f>
        <v>0</v>
      </c>
      <c r="W611"/>
      <c r="X611"/>
    </row>
    <row r="612" spans="1:24" ht="15.95" customHeight="1" x14ac:dyDescent="0.25">
      <c r="A612" s="54">
        <v>4</v>
      </c>
      <c r="B612" s="157">
        <v>1103</v>
      </c>
      <c r="C612" s="130" t="str">
        <f t="shared" si="228"/>
        <v>E-1103</v>
      </c>
      <c r="D612" s="130">
        <v>562</v>
      </c>
      <c r="E612" s="157" t="s">
        <v>69</v>
      </c>
      <c r="F612" s="219" t="s">
        <v>496</v>
      </c>
      <c r="G612" s="190">
        <f>+G613</f>
        <v>9000</v>
      </c>
      <c r="H612" s="190">
        <f t="shared" ref="H612:T612" si="233">+H613</f>
        <v>0</v>
      </c>
      <c r="I612" s="190">
        <f t="shared" si="233"/>
        <v>0</v>
      </c>
      <c r="J612" s="190">
        <f t="shared" si="233"/>
        <v>0</v>
      </c>
      <c r="K612" s="190">
        <f t="shared" si="233"/>
        <v>0</v>
      </c>
      <c r="L612" s="190">
        <f t="shared" si="233"/>
        <v>0</v>
      </c>
      <c r="M612" s="190">
        <f t="shared" si="233"/>
        <v>0</v>
      </c>
      <c r="N612" s="190">
        <f t="shared" si="233"/>
        <v>0</v>
      </c>
      <c r="O612" s="190">
        <f t="shared" si="233"/>
        <v>2189</v>
      </c>
      <c r="P612" s="190">
        <f t="shared" si="233"/>
        <v>7169.0000000000009</v>
      </c>
      <c r="Q612" s="190">
        <f t="shared" si="233"/>
        <v>0</v>
      </c>
      <c r="R612" s="190">
        <f t="shared" si="233"/>
        <v>0</v>
      </c>
      <c r="S612" s="190">
        <f t="shared" si="233"/>
        <v>0</v>
      </c>
      <c r="T612" s="190">
        <f t="shared" si="233"/>
        <v>9358</v>
      </c>
      <c r="U612"/>
      <c r="V612">
        <f>+PRESUPUESTO22[[#This Row],[EJECUTADO ]]-SUM(PRESUPUESTO22[[#This Row],[   ENERO ]:[DIC]])</f>
        <v>0</v>
      </c>
      <c r="W612"/>
      <c r="X612"/>
    </row>
    <row r="613" spans="1:24" ht="33.75" x14ac:dyDescent="0.25">
      <c r="A613" s="54"/>
      <c r="B613" s="154">
        <v>110301</v>
      </c>
      <c r="C613" s="130" t="str">
        <f t="shared" si="228"/>
        <v>E-110301</v>
      </c>
      <c r="D613" s="130">
        <v>563</v>
      </c>
      <c r="E613" s="154" t="s">
        <v>72</v>
      </c>
      <c r="F613" s="213" t="s">
        <v>1421</v>
      </c>
      <c r="G613" s="193">
        <v>9000</v>
      </c>
      <c r="H613" s="193">
        <v>0</v>
      </c>
      <c r="I613" s="193">
        <v>0</v>
      </c>
      <c r="J613" s="193">
        <v>0</v>
      </c>
      <c r="K613" s="193">
        <v>0</v>
      </c>
      <c r="L613" s="193">
        <v>0</v>
      </c>
      <c r="M613" s="193">
        <v>0</v>
      </c>
      <c r="N613" s="193">
        <v>0</v>
      </c>
      <c r="O613" s="193">
        <f>2108.57+80.89-0.46</f>
        <v>2189</v>
      </c>
      <c r="P613" s="193">
        <f>3000+1750+2139.11+100+180-0.11</f>
        <v>7169.0000000000009</v>
      </c>
      <c r="Q613" s="193">
        <v>0</v>
      </c>
      <c r="R613" s="193">
        <v>0</v>
      </c>
      <c r="S613" s="193">
        <v>0</v>
      </c>
      <c r="T613" s="193">
        <f>SUM(H613:S613)</f>
        <v>9358</v>
      </c>
      <c r="U613"/>
      <c r="V613">
        <f>+PRESUPUESTO22[[#This Row],[EJECUTADO ]]-SUM(PRESUPUESTO22[[#This Row],[   ENERO ]:[DIC]])</f>
        <v>0</v>
      </c>
      <c r="W613"/>
      <c r="X613"/>
    </row>
    <row r="614" spans="1:24" ht="15.95" customHeight="1" x14ac:dyDescent="0.25">
      <c r="A614" s="54">
        <v>3</v>
      </c>
      <c r="B614" s="157">
        <v>1104</v>
      </c>
      <c r="C614" s="130" t="str">
        <f t="shared" si="228"/>
        <v>E-1104</v>
      </c>
      <c r="D614" s="130">
        <v>564</v>
      </c>
      <c r="E614" s="157" t="s">
        <v>69</v>
      </c>
      <c r="F614" s="219" t="s">
        <v>497</v>
      </c>
      <c r="G614" s="190">
        <f>SUM(G615:G619)</f>
        <v>5240</v>
      </c>
      <c r="H614" s="190">
        <f>SUM(H615:H619)</f>
        <v>2070</v>
      </c>
      <c r="I614" s="190">
        <f t="shared" ref="I614:T614" si="234">SUM(I615:I619)</f>
        <v>0</v>
      </c>
      <c r="J614" s="190">
        <f t="shared" si="234"/>
        <v>0</v>
      </c>
      <c r="K614" s="190">
        <f t="shared" si="234"/>
        <v>0</v>
      </c>
      <c r="L614" s="190">
        <f t="shared" si="234"/>
        <v>55</v>
      </c>
      <c r="M614" s="190">
        <f t="shared" si="234"/>
        <v>660</v>
      </c>
      <c r="N614" s="190">
        <f t="shared" si="234"/>
        <v>55</v>
      </c>
      <c r="O614" s="190">
        <f t="shared" si="234"/>
        <v>0</v>
      </c>
      <c r="P614" s="190">
        <f t="shared" si="234"/>
        <v>729</v>
      </c>
      <c r="Q614" s="190">
        <f t="shared" si="234"/>
        <v>0</v>
      </c>
      <c r="R614" s="190">
        <f t="shared" si="234"/>
        <v>0</v>
      </c>
      <c r="S614" s="190">
        <f t="shared" si="234"/>
        <v>0</v>
      </c>
      <c r="T614" s="190">
        <f t="shared" si="234"/>
        <v>3569</v>
      </c>
      <c r="U614"/>
      <c r="V614">
        <f>+PRESUPUESTO22[[#This Row],[EJECUTADO ]]-SUM(PRESUPUESTO22[[#This Row],[   ENERO ]:[DIC]])</f>
        <v>0</v>
      </c>
      <c r="W614"/>
      <c r="X614"/>
    </row>
    <row r="615" spans="1:24" ht="15.95" customHeight="1" x14ac:dyDescent="0.25">
      <c r="A615" s="54"/>
      <c r="B615" s="134">
        <v>110401</v>
      </c>
      <c r="C615" s="130" t="str">
        <f t="shared" si="228"/>
        <v>E-110401</v>
      </c>
      <c r="D615" s="130">
        <v>565</v>
      </c>
      <c r="E615" s="134" t="s">
        <v>72</v>
      </c>
      <c r="F615" s="73" t="s">
        <v>498</v>
      </c>
      <c r="G615" s="193">
        <v>1000</v>
      </c>
      <c r="H615" s="193">
        <v>0</v>
      </c>
      <c r="I615" s="193">
        <v>0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93">
        <v>0</v>
      </c>
      <c r="Q615" s="193">
        <v>0</v>
      </c>
      <c r="R615" s="193">
        <v>0</v>
      </c>
      <c r="S615" s="193">
        <v>0</v>
      </c>
      <c r="T615" s="193">
        <f>SUM(H615:S615)</f>
        <v>0</v>
      </c>
      <c r="U615"/>
      <c r="V615">
        <f>+PRESUPUESTO22[[#This Row],[EJECUTADO ]]-SUM(PRESUPUESTO22[[#This Row],[   ENERO ]:[DIC]])</f>
        <v>0</v>
      </c>
      <c r="W615"/>
      <c r="X615"/>
    </row>
    <row r="616" spans="1:24" ht="17.25" customHeight="1" x14ac:dyDescent="0.25">
      <c r="A616" s="54"/>
      <c r="B616" s="134">
        <v>110402</v>
      </c>
      <c r="C616" s="130" t="str">
        <f t="shared" si="228"/>
        <v>E-110402</v>
      </c>
      <c r="D616" s="130">
        <v>566</v>
      </c>
      <c r="E616" s="134" t="s">
        <v>72</v>
      </c>
      <c r="F616" s="73" t="s">
        <v>499</v>
      </c>
      <c r="G616" s="193">
        <v>1000</v>
      </c>
      <c r="H616" s="193">
        <v>0</v>
      </c>
      <c r="I616" s="193">
        <v>0</v>
      </c>
      <c r="J616" s="193">
        <v>0</v>
      </c>
      <c r="K616" s="193">
        <v>0</v>
      </c>
      <c r="L616" s="193">
        <v>0</v>
      </c>
      <c r="M616" s="193">
        <v>0</v>
      </c>
      <c r="N616" s="193">
        <v>0</v>
      </c>
      <c r="O616" s="193">
        <v>0</v>
      </c>
      <c r="P616" s="193">
        <v>729</v>
      </c>
      <c r="Q616" s="193">
        <v>0</v>
      </c>
      <c r="R616" s="193">
        <v>0</v>
      </c>
      <c r="S616" s="193">
        <v>0</v>
      </c>
      <c r="T616" s="193">
        <f>SUM(H616:S616)</f>
        <v>729</v>
      </c>
      <c r="U616"/>
      <c r="V616">
        <f>+PRESUPUESTO22[[#This Row],[EJECUTADO ]]-SUM(PRESUPUESTO22[[#This Row],[   ENERO ]:[DIC]])</f>
        <v>0</v>
      </c>
      <c r="W616"/>
      <c r="X616"/>
    </row>
    <row r="617" spans="1:24" ht="14.25" customHeight="1" x14ac:dyDescent="0.25">
      <c r="A617" s="54"/>
      <c r="B617" s="134">
        <v>110403</v>
      </c>
      <c r="C617" s="130" t="str">
        <f t="shared" si="228"/>
        <v>E-110403</v>
      </c>
      <c r="D617" s="130">
        <v>567</v>
      </c>
      <c r="E617" s="134" t="s">
        <v>72</v>
      </c>
      <c r="F617" s="73" t="s">
        <v>500</v>
      </c>
      <c r="G617" s="193">
        <v>0</v>
      </c>
      <c r="H617" s="193">
        <v>2070</v>
      </c>
      <c r="I617" s="193">
        <v>0</v>
      </c>
      <c r="J617" s="193">
        <v>0</v>
      </c>
      <c r="K617" s="193">
        <v>0</v>
      </c>
      <c r="L617" s="193">
        <v>0</v>
      </c>
      <c r="M617" s="193">
        <v>0</v>
      </c>
      <c r="N617" s="193">
        <v>0</v>
      </c>
      <c r="O617" s="193">
        <v>0</v>
      </c>
      <c r="P617" s="193">
        <v>0</v>
      </c>
      <c r="Q617" s="193">
        <v>0</v>
      </c>
      <c r="R617" s="193">
        <v>0</v>
      </c>
      <c r="S617" s="193">
        <v>0</v>
      </c>
      <c r="T617" s="193">
        <f>SUM(H617:S617)</f>
        <v>2070</v>
      </c>
      <c r="U617"/>
      <c r="V617">
        <f>+PRESUPUESTO22[[#This Row],[EJECUTADO ]]-SUM(PRESUPUESTO22[[#This Row],[   ENERO ]:[DIC]])</f>
        <v>0</v>
      </c>
      <c r="W617"/>
      <c r="X617"/>
    </row>
    <row r="618" spans="1:24" ht="15" customHeight="1" x14ac:dyDescent="0.25">
      <c r="A618" s="54"/>
      <c r="B618" s="134">
        <v>110404</v>
      </c>
      <c r="C618" s="130" t="str">
        <f t="shared" si="228"/>
        <v>E-110404</v>
      </c>
      <c r="D618" s="130">
        <v>568</v>
      </c>
      <c r="E618" s="134" t="s">
        <v>72</v>
      </c>
      <c r="F618" s="73" t="s">
        <v>501</v>
      </c>
      <c r="G618" s="193">
        <v>240</v>
      </c>
      <c r="H618" s="193">
        <v>0</v>
      </c>
      <c r="I618" s="193">
        <v>0</v>
      </c>
      <c r="J618" s="193">
        <v>0</v>
      </c>
      <c r="K618" s="193">
        <v>0</v>
      </c>
      <c r="L618" s="193">
        <f>54.99+0.01</f>
        <v>55</v>
      </c>
      <c r="M618" s="193">
        <v>0</v>
      </c>
      <c r="N618" s="193">
        <f>54.99+0.01</f>
        <v>55</v>
      </c>
      <c r="O618" s="193">
        <v>0</v>
      </c>
      <c r="P618" s="193">
        <v>0</v>
      </c>
      <c r="Q618" s="193">
        <v>0</v>
      </c>
      <c r="R618" s="193">
        <v>0</v>
      </c>
      <c r="S618" s="193">
        <v>0</v>
      </c>
      <c r="T618" s="193">
        <f>SUM(H618:S618)</f>
        <v>110</v>
      </c>
      <c r="U618"/>
      <c r="V618">
        <f>+PRESUPUESTO22[[#This Row],[EJECUTADO ]]-SUM(PRESUPUESTO22[[#This Row],[   ENERO ]:[DIC]])</f>
        <v>0</v>
      </c>
      <c r="W618"/>
      <c r="X618"/>
    </row>
    <row r="619" spans="1:24" ht="17.25" customHeight="1" x14ac:dyDescent="0.25">
      <c r="A619" s="54"/>
      <c r="B619" s="134">
        <v>110405</v>
      </c>
      <c r="C619" s="130" t="str">
        <f t="shared" si="228"/>
        <v>E-110405</v>
      </c>
      <c r="D619" s="130">
        <v>569</v>
      </c>
      <c r="E619" s="134" t="s">
        <v>72</v>
      </c>
      <c r="F619" s="73" t="s">
        <v>502</v>
      </c>
      <c r="G619" s="193">
        <v>3000</v>
      </c>
      <c r="H619" s="193">
        <v>0</v>
      </c>
      <c r="I619" s="193">
        <v>0</v>
      </c>
      <c r="J619" s="193">
        <v>0</v>
      </c>
      <c r="K619" s="193">
        <v>0</v>
      </c>
      <c r="L619" s="193">
        <v>0</v>
      </c>
      <c r="M619" s="193">
        <v>660</v>
      </c>
      <c r="N619" s="193">
        <v>0</v>
      </c>
      <c r="O619" s="193">
        <v>0</v>
      </c>
      <c r="P619" s="193">
        <v>0</v>
      </c>
      <c r="Q619" s="193">
        <v>0</v>
      </c>
      <c r="R619" s="193">
        <v>0</v>
      </c>
      <c r="S619" s="193">
        <v>0</v>
      </c>
      <c r="T619" s="193">
        <f>SUM(H619:S619)</f>
        <v>660</v>
      </c>
      <c r="U619"/>
      <c r="V619">
        <f>+PRESUPUESTO22[[#This Row],[EJECUTADO ]]-SUM(PRESUPUESTO22[[#This Row],[   ENERO ]:[DIC]])</f>
        <v>0</v>
      </c>
      <c r="W619"/>
      <c r="X619"/>
    </row>
    <row r="620" spans="1:24" ht="15.95" customHeight="1" x14ac:dyDescent="0.25">
      <c r="A620" s="54">
        <v>4</v>
      </c>
      <c r="B620" s="157">
        <v>1105</v>
      </c>
      <c r="C620" s="130" t="str">
        <f t="shared" si="228"/>
        <v>E-1105</v>
      </c>
      <c r="D620" s="130">
        <v>570</v>
      </c>
      <c r="E620" s="157" t="s">
        <v>69</v>
      </c>
      <c r="F620" s="219" t="s">
        <v>503</v>
      </c>
      <c r="G620" s="190">
        <f t="shared" ref="G620:T620" si="235">SUM(G621:G623)</f>
        <v>4200</v>
      </c>
      <c r="H620" s="190">
        <f t="shared" si="235"/>
        <v>0</v>
      </c>
      <c r="I620" s="190">
        <f t="shared" si="235"/>
        <v>0</v>
      </c>
      <c r="J620" s="190">
        <f t="shared" si="235"/>
        <v>0</v>
      </c>
      <c r="K620" s="190">
        <f t="shared" si="235"/>
        <v>0</v>
      </c>
      <c r="L620" s="190">
        <f t="shared" si="235"/>
        <v>0</v>
      </c>
      <c r="M620" s="190">
        <f t="shared" si="235"/>
        <v>0</v>
      </c>
      <c r="N620" s="190">
        <f t="shared" si="235"/>
        <v>0</v>
      </c>
      <c r="O620" s="190">
        <f t="shared" si="235"/>
        <v>143</v>
      </c>
      <c r="P620" s="190">
        <f t="shared" si="235"/>
        <v>0</v>
      </c>
      <c r="Q620" s="190">
        <f t="shared" si="235"/>
        <v>0</v>
      </c>
      <c r="R620" s="190">
        <f t="shared" si="235"/>
        <v>0</v>
      </c>
      <c r="S620" s="190">
        <f t="shared" si="235"/>
        <v>0</v>
      </c>
      <c r="T620" s="190">
        <f t="shared" si="235"/>
        <v>143</v>
      </c>
      <c r="U620"/>
      <c r="V620">
        <f>+PRESUPUESTO22[[#This Row],[EJECUTADO ]]-SUM(PRESUPUESTO22[[#This Row],[   ENERO ]:[DIC]])</f>
        <v>0</v>
      </c>
      <c r="W620"/>
      <c r="X620"/>
    </row>
    <row r="621" spans="1:24" ht="15.95" customHeight="1" x14ac:dyDescent="0.25">
      <c r="A621" s="54"/>
      <c r="B621" s="134">
        <v>110501</v>
      </c>
      <c r="C621" s="130" t="str">
        <f t="shared" si="228"/>
        <v>E-110501</v>
      </c>
      <c r="D621" s="130">
        <v>571</v>
      </c>
      <c r="E621" s="134" t="s">
        <v>72</v>
      </c>
      <c r="F621" s="73" t="s">
        <v>504</v>
      </c>
      <c r="G621" s="193">
        <v>600</v>
      </c>
      <c r="H621" s="193">
        <v>0</v>
      </c>
      <c r="I621" s="193">
        <v>0</v>
      </c>
      <c r="J621" s="193">
        <v>0</v>
      </c>
      <c r="K621" s="193">
        <v>0</v>
      </c>
      <c r="L621" s="193">
        <v>0</v>
      </c>
      <c r="M621" s="193">
        <v>0</v>
      </c>
      <c r="N621" s="193">
        <v>0</v>
      </c>
      <c r="O621" s="193">
        <v>0</v>
      </c>
      <c r="P621" s="193">
        <v>0</v>
      </c>
      <c r="Q621" s="193">
        <v>0</v>
      </c>
      <c r="R621" s="193">
        <v>0</v>
      </c>
      <c r="S621" s="193">
        <v>0</v>
      </c>
      <c r="T621" s="193">
        <f>SUM(H621:S621)</f>
        <v>0</v>
      </c>
      <c r="U621"/>
      <c r="V621">
        <f>+PRESUPUESTO22[[#This Row],[EJECUTADO ]]-SUM(PRESUPUESTO22[[#This Row],[   ENERO ]:[DIC]])</f>
        <v>0</v>
      </c>
      <c r="W621"/>
      <c r="X621"/>
    </row>
    <row r="622" spans="1:24" ht="15.95" customHeight="1" x14ac:dyDescent="0.25">
      <c r="A622" s="54"/>
      <c r="B622" s="134">
        <v>110502</v>
      </c>
      <c r="C622" s="130" t="str">
        <f t="shared" si="228"/>
        <v>E-110502</v>
      </c>
      <c r="D622" s="130">
        <v>572</v>
      </c>
      <c r="E622" s="134" t="s">
        <v>72</v>
      </c>
      <c r="F622" s="73" t="s">
        <v>505</v>
      </c>
      <c r="G622" s="193">
        <v>3600</v>
      </c>
      <c r="H622" s="193">
        <v>0</v>
      </c>
      <c r="I622" s="193">
        <v>0</v>
      </c>
      <c r="J622" s="193">
        <v>0</v>
      </c>
      <c r="K622" s="193">
        <v>0</v>
      </c>
      <c r="L622" s="193">
        <v>0</v>
      </c>
      <c r="M622" s="193">
        <v>0</v>
      </c>
      <c r="N622" s="193">
        <v>0</v>
      </c>
      <c r="O622" s="193">
        <v>0</v>
      </c>
      <c r="P622" s="193">
        <v>0</v>
      </c>
      <c r="Q622" s="193">
        <v>0</v>
      </c>
      <c r="R622" s="193">
        <v>0</v>
      </c>
      <c r="S622" s="193">
        <v>0</v>
      </c>
      <c r="T622" s="193">
        <f>SUM(H622:S622)</f>
        <v>0</v>
      </c>
      <c r="U622"/>
      <c r="V622">
        <f>+PRESUPUESTO22[[#This Row],[EJECUTADO ]]-SUM(PRESUPUESTO22[[#This Row],[   ENERO ]:[DIC]])</f>
        <v>0</v>
      </c>
      <c r="W622"/>
      <c r="X622"/>
    </row>
    <row r="623" spans="1:24" ht="15.95" customHeight="1" x14ac:dyDescent="0.25">
      <c r="A623" s="54"/>
      <c r="B623" s="134">
        <v>110503</v>
      </c>
      <c r="C623" s="130" t="str">
        <f t="shared" si="228"/>
        <v>E-110503</v>
      </c>
      <c r="D623" s="130">
        <v>573</v>
      </c>
      <c r="E623" s="134" t="s">
        <v>72</v>
      </c>
      <c r="F623" s="73" t="s">
        <v>506</v>
      </c>
      <c r="G623" s="193">
        <v>0</v>
      </c>
      <c r="H623" s="193">
        <v>0</v>
      </c>
      <c r="I623" s="193">
        <v>0</v>
      </c>
      <c r="J623" s="193">
        <v>0</v>
      </c>
      <c r="K623" s="193">
        <v>0</v>
      </c>
      <c r="L623" s="193">
        <v>0</v>
      </c>
      <c r="M623" s="193">
        <v>0</v>
      </c>
      <c r="N623" s="193">
        <v>0</v>
      </c>
      <c r="O623" s="193">
        <v>143</v>
      </c>
      <c r="P623" s="193">
        <v>0</v>
      </c>
      <c r="Q623" s="193">
        <v>0</v>
      </c>
      <c r="R623" s="193">
        <v>0</v>
      </c>
      <c r="S623" s="193"/>
      <c r="T623" s="193">
        <f>SUM(H623:S623)</f>
        <v>143</v>
      </c>
      <c r="U623"/>
      <c r="V623">
        <f>+PRESUPUESTO22[[#This Row],[EJECUTADO ]]-SUM(PRESUPUESTO22[[#This Row],[   ENERO ]:[DIC]])</f>
        <v>0</v>
      </c>
      <c r="W623"/>
      <c r="X623"/>
    </row>
    <row r="624" spans="1:24" ht="15.95" customHeight="1" x14ac:dyDescent="0.25">
      <c r="A624" s="49">
        <v>12</v>
      </c>
      <c r="B624" s="131">
        <v>12</v>
      </c>
      <c r="C624" s="130" t="str">
        <f t="shared" si="228"/>
        <v>E-12</v>
      </c>
      <c r="D624" s="130">
        <v>574</v>
      </c>
      <c r="E624" s="131" t="s">
        <v>67</v>
      </c>
      <c r="F624" s="50" t="s">
        <v>38</v>
      </c>
      <c r="G624" s="188">
        <f t="shared" ref="G624:T624" si="236">+G625+G655</f>
        <v>75000</v>
      </c>
      <c r="H624" s="188">
        <f t="shared" si="236"/>
        <v>4664</v>
      </c>
      <c r="I624" s="188">
        <f t="shared" si="236"/>
        <v>4565</v>
      </c>
      <c r="J624" s="188">
        <f t="shared" si="236"/>
        <v>4630</v>
      </c>
      <c r="K624" s="188">
        <f t="shared" si="236"/>
        <v>6298</v>
      </c>
      <c r="L624" s="188">
        <f t="shared" si="236"/>
        <v>4525</v>
      </c>
      <c r="M624" s="188">
        <f t="shared" si="236"/>
        <v>4552</v>
      </c>
      <c r="N624" s="188">
        <f t="shared" si="236"/>
        <v>4542</v>
      </c>
      <c r="O624" s="188">
        <f t="shared" si="236"/>
        <v>4977</v>
      </c>
      <c r="P624" s="188">
        <f t="shared" si="236"/>
        <v>7104</v>
      </c>
      <c r="Q624" s="188">
        <f t="shared" si="236"/>
        <v>8866</v>
      </c>
      <c r="R624" s="188">
        <f t="shared" si="236"/>
        <v>7682</v>
      </c>
      <c r="S624" s="188">
        <f t="shared" si="236"/>
        <v>0</v>
      </c>
      <c r="T624" s="188">
        <f t="shared" si="236"/>
        <v>62405</v>
      </c>
      <c r="U624"/>
      <c r="V624">
        <f>+PRESUPUESTO22[[#This Row],[EJECUTADO ]]-SUM(PRESUPUESTO22[[#This Row],[   ENERO ]:[DIC]])</f>
        <v>0</v>
      </c>
      <c r="W624"/>
      <c r="X624"/>
    </row>
    <row r="625" spans="1:24" ht="15.95" customHeight="1" x14ac:dyDescent="0.25">
      <c r="A625" s="49"/>
      <c r="B625" s="157">
        <v>1201</v>
      </c>
      <c r="C625" s="130" t="str">
        <f t="shared" si="228"/>
        <v>E-1201</v>
      </c>
      <c r="D625" s="130">
        <v>575</v>
      </c>
      <c r="E625" s="157" t="s">
        <v>69</v>
      </c>
      <c r="F625" s="219" t="s">
        <v>38</v>
      </c>
      <c r="G625" s="190">
        <f t="shared" ref="G625:T625" si="237">+G626+G628+G630+G635+G638+G642+G645+G647+G649+G651+G653</f>
        <v>65000</v>
      </c>
      <c r="H625" s="190">
        <f t="shared" si="237"/>
        <v>4664</v>
      </c>
      <c r="I625" s="190">
        <f t="shared" si="237"/>
        <v>4520</v>
      </c>
      <c r="J625" s="190">
        <f t="shared" si="237"/>
        <v>4630</v>
      </c>
      <c r="K625" s="190">
        <f t="shared" si="237"/>
        <v>5427</v>
      </c>
      <c r="L625" s="190">
        <f t="shared" si="237"/>
        <v>4525</v>
      </c>
      <c r="M625" s="190">
        <f t="shared" si="237"/>
        <v>4552</v>
      </c>
      <c r="N625" s="190">
        <f t="shared" si="237"/>
        <v>4542</v>
      </c>
      <c r="O625" s="190">
        <f t="shared" si="237"/>
        <v>4977</v>
      </c>
      <c r="P625" s="190">
        <f t="shared" si="237"/>
        <v>7104</v>
      </c>
      <c r="Q625" s="190">
        <f t="shared" si="237"/>
        <v>7389</v>
      </c>
      <c r="R625" s="190">
        <f t="shared" si="237"/>
        <v>6662</v>
      </c>
      <c r="S625" s="190">
        <f t="shared" si="237"/>
        <v>0</v>
      </c>
      <c r="T625" s="190">
        <f t="shared" si="237"/>
        <v>58992</v>
      </c>
      <c r="U625"/>
      <c r="V625">
        <f>+PRESUPUESTO22[[#This Row],[EJECUTADO ]]-SUM(PRESUPUESTO22[[#This Row],[   ENERO ]:[DIC]])</f>
        <v>0</v>
      </c>
      <c r="W625"/>
      <c r="X625"/>
    </row>
    <row r="626" spans="1:24" ht="15.95" customHeight="1" x14ac:dyDescent="0.25">
      <c r="A626" s="54">
        <v>1</v>
      </c>
      <c r="B626" s="151">
        <v>120101</v>
      </c>
      <c r="C626" s="130" t="str">
        <f t="shared" si="228"/>
        <v>E-120101</v>
      </c>
      <c r="D626" s="130">
        <v>576</v>
      </c>
      <c r="E626" s="151" t="s">
        <v>69</v>
      </c>
      <c r="F626" s="208" t="s">
        <v>507</v>
      </c>
      <c r="G626" s="192">
        <f>+G627</f>
        <v>45500</v>
      </c>
      <c r="H626" s="192">
        <f t="shared" ref="H626:T626" si="238">+H627</f>
        <v>3500</v>
      </c>
      <c r="I626" s="192">
        <f t="shared" si="238"/>
        <v>3500</v>
      </c>
      <c r="J626" s="192">
        <f t="shared" si="238"/>
        <v>3500</v>
      </c>
      <c r="K626" s="192">
        <f t="shared" si="238"/>
        <v>3745</v>
      </c>
      <c r="L626" s="192">
        <f t="shared" si="238"/>
        <v>3500</v>
      </c>
      <c r="M626" s="192">
        <f t="shared" si="238"/>
        <v>3500</v>
      </c>
      <c r="N626" s="192">
        <f t="shared" si="238"/>
        <v>3500</v>
      </c>
      <c r="O626" s="192">
        <f t="shared" si="238"/>
        <v>3745</v>
      </c>
      <c r="P626" s="192">
        <f t="shared" si="238"/>
        <v>5924</v>
      </c>
      <c r="Q626" s="192">
        <f t="shared" si="238"/>
        <v>5924</v>
      </c>
      <c r="R626" s="192">
        <f t="shared" si="238"/>
        <v>5796</v>
      </c>
      <c r="S626" s="192">
        <f t="shared" si="238"/>
        <v>0</v>
      </c>
      <c r="T626" s="192">
        <f t="shared" si="238"/>
        <v>46134</v>
      </c>
      <c r="U626" t="s">
        <v>1</v>
      </c>
      <c r="V626">
        <f>+PRESUPUESTO22[[#This Row],[EJECUTADO ]]-SUM(PRESUPUESTO22[[#This Row],[   ENERO ]:[DIC]])</f>
        <v>0</v>
      </c>
      <c r="W626"/>
      <c r="X626"/>
    </row>
    <row r="627" spans="1:24" ht="15.95" customHeight="1" x14ac:dyDescent="0.25">
      <c r="A627" s="54"/>
      <c r="B627" s="159">
        <v>12010101</v>
      </c>
      <c r="C627" s="130" t="str">
        <f t="shared" si="228"/>
        <v>E-12010101</v>
      </c>
      <c r="D627" s="130">
        <v>577</v>
      </c>
      <c r="E627" s="159" t="s">
        <v>72</v>
      </c>
      <c r="F627" s="367" t="s">
        <v>508</v>
      </c>
      <c r="G627" s="193">
        <v>45500</v>
      </c>
      <c r="H627" s="193">
        <v>3500</v>
      </c>
      <c r="I627" s="193">
        <v>3500</v>
      </c>
      <c r="J627" s="193">
        <v>3500</v>
      </c>
      <c r="K627" s="193">
        <v>3745</v>
      </c>
      <c r="L627" s="193">
        <v>3500</v>
      </c>
      <c r="M627" s="193">
        <v>3500</v>
      </c>
      <c r="N627" s="193">
        <v>3500</v>
      </c>
      <c r="O627" s="193">
        <v>3745</v>
      </c>
      <c r="P627" s="193">
        <v>5924</v>
      </c>
      <c r="Q627" s="193">
        <v>5924</v>
      </c>
      <c r="R627" s="193">
        <v>5796</v>
      </c>
      <c r="S627" s="193">
        <v>0</v>
      </c>
      <c r="T627" s="193">
        <f>SUM(H627:S627)</f>
        <v>46134</v>
      </c>
      <c r="U627"/>
      <c r="V627">
        <f>+PRESUPUESTO22[[#This Row],[EJECUTADO ]]-SUM(PRESUPUESTO22[[#This Row],[   ENERO ]:[DIC]])</f>
        <v>0</v>
      </c>
      <c r="W627"/>
      <c r="X627"/>
    </row>
    <row r="628" spans="1:24" ht="15.95" customHeight="1" x14ac:dyDescent="0.25">
      <c r="A628" s="54">
        <v>2</v>
      </c>
      <c r="B628" s="151">
        <v>120102</v>
      </c>
      <c r="C628" s="130" t="str">
        <f t="shared" si="228"/>
        <v>E-120102</v>
      </c>
      <c r="D628" s="130">
        <v>578</v>
      </c>
      <c r="E628" s="151" t="s">
        <v>69</v>
      </c>
      <c r="F628" s="208" t="s">
        <v>509</v>
      </c>
      <c r="G628" s="192">
        <f>+G629</f>
        <v>500</v>
      </c>
      <c r="H628" s="192">
        <f t="shared" ref="H628:T628" si="239">+H629</f>
        <v>0</v>
      </c>
      <c r="I628" s="192">
        <f t="shared" si="239"/>
        <v>0</v>
      </c>
      <c r="J628" s="192">
        <f t="shared" si="239"/>
        <v>0</v>
      </c>
      <c r="K628" s="192">
        <f t="shared" si="239"/>
        <v>0</v>
      </c>
      <c r="L628" s="192">
        <f t="shared" si="239"/>
        <v>0</v>
      </c>
      <c r="M628" s="192">
        <f t="shared" si="239"/>
        <v>0</v>
      </c>
      <c r="N628" s="192">
        <f t="shared" si="239"/>
        <v>0</v>
      </c>
      <c r="O628" s="192">
        <f t="shared" si="239"/>
        <v>0</v>
      </c>
      <c r="P628" s="192">
        <f t="shared" si="239"/>
        <v>0</v>
      </c>
      <c r="Q628" s="192">
        <f t="shared" si="239"/>
        <v>500</v>
      </c>
      <c r="R628" s="192">
        <f t="shared" si="239"/>
        <v>0</v>
      </c>
      <c r="S628" s="192">
        <f t="shared" si="239"/>
        <v>0</v>
      </c>
      <c r="T628" s="192">
        <f t="shared" si="239"/>
        <v>500</v>
      </c>
      <c r="U628"/>
      <c r="V628">
        <f>+PRESUPUESTO22[[#This Row],[EJECUTADO ]]-SUM(PRESUPUESTO22[[#This Row],[   ENERO ]:[DIC]])</f>
        <v>0</v>
      </c>
      <c r="W628"/>
      <c r="X628"/>
    </row>
    <row r="629" spans="1:24" ht="15.95" customHeight="1" x14ac:dyDescent="0.25">
      <c r="A629" s="54"/>
      <c r="B629" s="156">
        <v>12010201</v>
      </c>
      <c r="C629" s="130" t="str">
        <f t="shared" si="228"/>
        <v>E-12010201</v>
      </c>
      <c r="D629" s="130">
        <v>579</v>
      </c>
      <c r="E629" s="156" t="s">
        <v>72</v>
      </c>
      <c r="F629" s="216" t="s">
        <v>510</v>
      </c>
      <c r="G629" s="193">
        <v>500</v>
      </c>
      <c r="H629" s="193">
        <v>0</v>
      </c>
      <c r="I629" s="193">
        <v>0</v>
      </c>
      <c r="J629" s="193">
        <v>0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93">
        <v>500</v>
      </c>
      <c r="R629" s="193">
        <v>0</v>
      </c>
      <c r="S629" s="193">
        <v>0</v>
      </c>
      <c r="T629" s="193">
        <f>SUM(H629:S629)</f>
        <v>500</v>
      </c>
      <c r="U629"/>
      <c r="V629">
        <f>+PRESUPUESTO22[[#This Row],[EJECUTADO ]]-SUM(PRESUPUESTO22[[#This Row],[   ENERO ]:[DIC]])</f>
        <v>0</v>
      </c>
      <c r="W629"/>
      <c r="X629"/>
    </row>
    <row r="630" spans="1:24" ht="15.95" customHeight="1" x14ac:dyDescent="0.25">
      <c r="A630" s="54">
        <v>3</v>
      </c>
      <c r="B630" s="151">
        <v>120103</v>
      </c>
      <c r="C630" s="130" t="str">
        <f t="shared" si="228"/>
        <v>E-120103</v>
      </c>
      <c r="D630" s="130">
        <v>580</v>
      </c>
      <c r="E630" s="151" t="s">
        <v>69</v>
      </c>
      <c r="F630" s="208" t="s">
        <v>511</v>
      </c>
      <c r="G630" s="192">
        <f>SUM(G631:G634)</f>
        <v>5530</v>
      </c>
      <c r="H630" s="192">
        <f t="shared" ref="H630:T630" si="240">SUM(H631:H634)</f>
        <v>0</v>
      </c>
      <c r="I630" s="192">
        <f t="shared" si="240"/>
        <v>0</v>
      </c>
      <c r="J630" s="192">
        <f t="shared" si="240"/>
        <v>0</v>
      </c>
      <c r="K630" s="192">
        <f t="shared" si="240"/>
        <v>0</v>
      </c>
      <c r="L630" s="192">
        <f t="shared" si="240"/>
        <v>0</v>
      </c>
      <c r="M630" s="192">
        <f t="shared" si="240"/>
        <v>0</v>
      </c>
      <c r="N630" s="192">
        <f t="shared" si="240"/>
        <v>0</v>
      </c>
      <c r="O630" s="192">
        <f t="shared" si="240"/>
        <v>0</v>
      </c>
      <c r="P630" s="192">
        <f t="shared" si="240"/>
        <v>0</v>
      </c>
      <c r="Q630" s="192">
        <f t="shared" si="240"/>
        <v>395</v>
      </c>
      <c r="R630" s="192">
        <f t="shared" si="240"/>
        <v>353</v>
      </c>
      <c r="S630" s="192">
        <f t="shared" si="240"/>
        <v>0</v>
      </c>
      <c r="T630" s="192">
        <f t="shared" si="240"/>
        <v>748</v>
      </c>
      <c r="U630"/>
      <c r="V630">
        <f>+PRESUPUESTO22[[#This Row],[EJECUTADO ]]-SUM(PRESUPUESTO22[[#This Row],[   ENERO ]:[DIC]])</f>
        <v>0</v>
      </c>
      <c r="W630"/>
      <c r="X630"/>
    </row>
    <row r="631" spans="1:24" ht="15.95" customHeight="1" x14ac:dyDescent="0.25">
      <c r="A631" s="54"/>
      <c r="B631" s="156">
        <v>12010301</v>
      </c>
      <c r="C631" s="130" t="str">
        <f t="shared" si="228"/>
        <v>E-12010301</v>
      </c>
      <c r="D631" s="130">
        <v>581</v>
      </c>
      <c r="E631" s="156" t="s">
        <v>72</v>
      </c>
      <c r="F631" s="216" t="s">
        <v>512</v>
      </c>
      <c r="G631" s="193">
        <v>1230</v>
      </c>
      <c r="H631" s="193">
        <v>0</v>
      </c>
      <c r="I631" s="193">
        <v>0</v>
      </c>
      <c r="J631" s="193">
        <v>0</v>
      </c>
      <c r="K631" s="193">
        <v>0</v>
      </c>
      <c r="L631" s="193">
        <v>0</v>
      </c>
      <c r="M631" s="193">
        <v>0</v>
      </c>
      <c r="N631" s="193">
        <v>0</v>
      </c>
      <c r="O631" s="193">
        <v>0</v>
      </c>
      <c r="P631" s="193">
        <v>0</v>
      </c>
      <c r="Q631" s="193">
        <v>0</v>
      </c>
      <c r="R631" s="193">
        <v>0</v>
      </c>
      <c r="S631" s="193">
        <v>0</v>
      </c>
      <c r="T631" s="193">
        <f>SUM(H631:S631)</f>
        <v>0</v>
      </c>
      <c r="U631"/>
      <c r="V631">
        <f>+PRESUPUESTO22[[#This Row],[EJECUTADO ]]-SUM(PRESUPUESTO22[[#This Row],[   ENERO ]:[DIC]])</f>
        <v>0</v>
      </c>
      <c r="W631"/>
      <c r="X631"/>
    </row>
    <row r="632" spans="1:24" ht="15.95" customHeight="1" x14ac:dyDescent="0.25">
      <c r="A632" s="54"/>
      <c r="B632" s="159">
        <v>12010302</v>
      </c>
      <c r="C632" s="130" t="str">
        <f t="shared" si="228"/>
        <v>E-12010302</v>
      </c>
      <c r="D632" s="130">
        <v>582</v>
      </c>
      <c r="E632" s="159" t="s">
        <v>72</v>
      </c>
      <c r="F632" s="367" t="s">
        <v>513</v>
      </c>
      <c r="G632" s="193">
        <v>1800</v>
      </c>
      <c r="H632" s="193">
        <v>0</v>
      </c>
      <c r="I632" s="193">
        <v>0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93">
        <v>0</v>
      </c>
      <c r="Q632" s="193">
        <f>67.2-0.2</f>
        <v>67</v>
      </c>
      <c r="R632" s="193">
        <v>0</v>
      </c>
      <c r="S632" s="193">
        <v>0</v>
      </c>
      <c r="T632" s="193">
        <f>SUM(H632:S632)</f>
        <v>67</v>
      </c>
      <c r="U632"/>
      <c r="V632">
        <f>+PRESUPUESTO22[[#This Row],[EJECUTADO ]]-SUM(PRESUPUESTO22[[#This Row],[   ENERO ]:[DIC]])</f>
        <v>0</v>
      </c>
      <c r="W632"/>
      <c r="X632"/>
    </row>
    <row r="633" spans="1:24" ht="15.95" customHeight="1" x14ac:dyDescent="0.25">
      <c r="A633" s="54"/>
      <c r="B633" s="156">
        <v>12010303</v>
      </c>
      <c r="C633" s="130" t="str">
        <f t="shared" si="228"/>
        <v>E-12010303</v>
      </c>
      <c r="D633" s="130">
        <v>583</v>
      </c>
      <c r="E633" s="159" t="s">
        <v>72</v>
      </c>
      <c r="F633" s="367" t="s">
        <v>514</v>
      </c>
      <c r="G633" s="193">
        <v>1500</v>
      </c>
      <c r="H633" s="193">
        <v>0</v>
      </c>
      <c r="I633" s="193">
        <v>0</v>
      </c>
      <c r="J633" s="193">
        <v>0</v>
      </c>
      <c r="K633" s="193">
        <v>0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93">
        <f>327.7+0.3</f>
        <v>328</v>
      </c>
      <c r="R633" s="193">
        <f>352.67+0.33</f>
        <v>353</v>
      </c>
      <c r="S633" s="193">
        <v>0</v>
      </c>
      <c r="T633" s="193">
        <f>SUM(H633:S633)</f>
        <v>681</v>
      </c>
      <c r="U633"/>
      <c r="V633">
        <f>+PRESUPUESTO22[[#This Row],[EJECUTADO ]]-SUM(PRESUPUESTO22[[#This Row],[   ENERO ]:[DIC]])</f>
        <v>0</v>
      </c>
      <c r="W633"/>
      <c r="X633"/>
    </row>
    <row r="634" spans="1:24" ht="15.95" customHeight="1" x14ac:dyDescent="0.25">
      <c r="A634" s="54"/>
      <c r="B634" s="159">
        <v>12010304</v>
      </c>
      <c r="C634" s="130" t="str">
        <f t="shared" si="228"/>
        <v>E-12010304</v>
      </c>
      <c r="D634" s="130">
        <v>584</v>
      </c>
      <c r="E634" s="159" t="s">
        <v>72</v>
      </c>
      <c r="F634" s="367" t="s">
        <v>515</v>
      </c>
      <c r="G634" s="193">
        <v>1000</v>
      </c>
      <c r="H634" s="193">
        <v>0</v>
      </c>
      <c r="I634" s="193">
        <v>0</v>
      </c>
      <c r="J634" s="193">
        <v>0</v>
      </c>
      <c r="K634" s="193">
        <v>0</v>
      </c>
      <c r="L634" s="193">
        <v>0</v>
      </c>
      <c r="M634" s="193">
        <v>0</v>
      </c>
      <c r="N634" s="193">
        <v>0</v>
      </c>
      <c r="O634" s="193">
        <v>0</v>
      </c>
      <c r="P634" s="193">
        <v>0</v>
      </c>
      <c r="Q634" s="193">
        <v>0</v>
      </c>
      <c r="R634" s="193">
        <v>0</v>
      </c>
      <c r="S634" s="193">
        <v>0</v>
      </c>
      <c r="T634" s="193">
        <f>SUM(H634:S634)</f>
        <v>0</v>
      </c>
      <c r="U634"/>
      <c r="V634">
        <f>+PRESUPUESTO22[[#This Row],[EJECUTADO ]]-SUM(PRESUPUESTO22[[#This Row],[   ENERO ]:[DIC]])</f>
        <v>0</v>
      </c>
      <c r="W634"/>
      <c r="X634"/>
    </row>
    <row r="635" spans="1:24" ht="15.95" customHeight="1" x14ac:dyDescent="0.25">
      <c r="A635" s="54">
        <v>4</v>
      </c>
      <c r="B635" s="160">
        <v>120104</v>
      </c>
      <c r="C635" s="130" t="str">
        <f t="shared" si="228"/>
        <v>E-120104</v>
      </c>
      <c r="D635" s="130">
        <v>585</v>
      </c>
      <c r="E635" s="160" t="s">
        <v>69</v>
      </c>
      <c r="F635" s="222" t="s">
        <v>516</v>
      </c>
      <c r="G635" s="192">
        <f>SUM(G636:G637)</f>
        <v>2500</v>
      </c>
      <c r="H635" s="192">
        <f t="shared" ref="H635:T635" si="241">SUM(H636:H637)</f>
        <v>122</v>
      </c>
      <c r="I635" s="192">
        <f t="shared" si="241"/>
        <v>0</v>
      </c>
      <c r="J635" s="192">
        <f t="shared" si="241"/>
        <v>68</v>
      </c>
      <c r="K635" s="192">
        <f t="shared" si="241"/>
        <v>0</v>
      </c>
      <c r="L635" s="192">
        <f t="shared" si="241"/>
        <v>0</v>
      </c>
      <c r="M635" s="192">
        <f t="shared" si="241"/>
        <v>0</v>
      </c>
      <c r="N635" s="192">
        <f t="shared" si="241"/>
        <v>3</v>
      </c>
      <c r="O635" s="192">
        <f t="shared" si="241"/>
        <v>0</v>
      </c>
      <c r="P635" s="192">
        <f t="shared" si="241"/>
        <v>0</v>
      </c>
      <c r="Q635" s="192">
        <f t="shared" si="241"/>
        <v>0</v>
      </c>
      <c r="R635" s="192">
        <f t="shared" si="241"/>
        <v>0</v>
      </c>
      <c r="S635" s="192">
        <f t="shared" si="241"/>
        <v>0</v>
      </c>
      <c r="T635" s="192">
        <f t="shared" si="241"/>
        <v>193</v>
      </c>
      <c r="U635"/>
      <c r="V635">
        <f>+PRESUPUESTO22[[#This Row],[EJECUTADO ]]-SUM(PRESUPUESTO22[[#This Row],[   ENERO ]:[DIC]])</f>
        <v>0</v>
      </c>
      <c r="W635"/>
      <c r="X635"/>
    </row>
    <row r="636" spans="1:24" ht="15.95" customHeight="1" x14ac:dyDescent="0.25">
      <c r="A636" s="54"/>
      <c r="B636" s="156">
        <v>12010401</v>
      </c>
      <c r="C636" s="130" t="str">
        <f t="shared" si="228"/>
        <v>E-12010401</v>
      </c>
      <c r="D636" s="130">
        <v>586</v>
      </c>
      <c r="E636" s="156" t="s">
        <v>72</v>
      </c>
      <c r="F636" s="216" t="s">
        <v>517</v>
      </c>
      <c r="G636" s="193">
        <v>2500</v>
      </c>
      <c r="H636" s="193">
        <v>0</v>
      </c>
      <c r="I636" s="193">
        <v>0</v>
      </c>
      <c r="J636" s="193">
        <v>0</v>
      </c>
      <c r="K636" s="193">
        <v>0</v>
      </c>
      <c r="L636" s="193">
        <v>0</v>
      </c>
      <c r="M636" s="193">
        <v>0</v>
      </c>
      <c r="N636" s="193">
        <v>0</v>
      </c>
      <c r="O636" s="193">
        <v>0</v>
      </c>
      <c r="P636" s="193">
        <v>0</v>
      </c>
      <c r="Q636" s="193">
        <v>0</v>
      </c>
      <c r="R636" s="193">
        <v>0</v>
      </c>
      <c r="S636" s="193">
        <v>0</v>
      </c>
      <c r="T636" s="193">
        <f>SUM(H636:S636)</f>
        <v>0</v>
      </c>
      <c r="U636"/>
      <c r="V636">
        <f>+PRESUPUESTO22[[#This Row],[EJECUTADO ]]-SUM(PRESUPUESTO22[[#This Row],[   ENERO ]:[DIC]])</f>
        <v>0</v>
      </c>
      <c r="W636"/>
      <c r="X636"/>
    </row>
    <row r="637" spans="1:24" ht="15.95" customHeight="1" x14ac:dyDescent="0.25">
      <c r="A637" s="54"/>
      <c r="B637" s="156">
        <v>12010402</v>
      </c>
      <c r="C637" s="130" t="str">
        <f t="shared" si="228"/>
        <v>E-12010402</v>
      </c>
      <c r="D637" s="130">
        <v>587</v>
      </c>
      <c r="E637" s="156" t="s">
        <v>72</v>
      </c>
      <c r="F637" s="216" t="s">
        <v>518</v>
      </c>
      <c r="G637" s="193">
        <v>0</v>
      </c>
      <c r="H637" s="193">
        <f>121.8+0.2</f>
        <v>122</v>
      </c>
      <c r="I637" s="193">
        <v>0</v>
      </c>
      <c r="J637" s="193">
        <f>68.25-0.25</f>
        <v>68</v>
      </c>
      <c r="K637" s="193">
        <v>0</v>
      </c>
      <c r="L637" s="193">
        <v>0</v>
      </c>
      <c r="M637" s="193">
        <v>0</v>
      </c>
      <c r="N637" s="193">
        <f>2.8+0.2</f>
        <v>3</v>
      </c>
      <c r="O637" s="193">
        <v>0</v>
      </c>
      <c r="P637" s="193">
        <v>0</v>
      </c>
      <c r="Q637" s="193">
        <v>0</v>
      </c>
      <c r="R637" s="193">
        <v>0</v>
      </c>
      <c r="S637" s="193">
        <v>0</v>
      </c>
      <c r="T637" s="193">
        <f>SUM(H637:S637)</f>
        <v>193</v>
      </c>
      <c r="U637"/>
      <c r="V637">
        <f>+PRESUPUESTO22[[#This Row],[EJECUTADO ]]-SUM(PRESUPUESTO22[[#This Row],[   ENERO ]:[DIC]])</f>
        <v>0</v>
      </c>
      <c r="W637"/>
      <c r="X637"/>
    </row>
    <row r="638" spans="1:24" ht="15.95" customHeight="1" x14ac:dyDescent="0.25">
      <c r="A638" s="54">
        <v>5</v>
      </c>
      <c r="B638" s="151">
        <v>120105</v>
      </c>
      <c r="C638" s="130" t="str">
        <f t="shared" si="228"/>
        <v>E-120105</v>
      </c>
      <c r="D638" s="130">
        <v>588</v>
      </c>
      <c r="E638" s="151" t="s">
        <v>69</v>
      </c>
      <c r="F638" s="208" t="s">
        <v>40</v>
      </c>
      <c r="G638" s="192">
        <f>SUM(G639:G641)</f>
        <v>5870</v>
      </c>
      <c r="H638" s="192">
        <f>SUM(H639:H641)</f>
        <v>1020</v>
      </c>
      <c r="I638" s="192">
        <f t="shared" ref="I638:T638" si="242">SUM(I639:I641)</f>
        <v>1020</v>
      </c>
      <c r="J638" s="192">
        <f t="shared" si="242"/>
        <v>1022</v>
      </c>
      <c r="K638" s="192">
        <f t="shared" si="242"/>
        <v>1020</v>
      </c>
      <c r="L638" s="192">
        <f t="shared" si="242"/>
        <v>1020</v>
      </c>
      <c r="M638" s="192">
        <f t="shared" si="242"/>
        <v>1039</v>
      </c>
      <c r="N638" s="192">
        <f t="shared" si="242"/>
        <v>1020</v>
      </c>
      <c r="O638" s="192">
        <f t="shared" si="242"/>
        <v>1170</v>
      </c>
      <c r="P638" s="192">
        <f t="shared" si="242"/>
        <v>500</v>
      </c>
      <c r="Q638" s="192">
        <f t="shared" si="242"/>
        <v>500</v>
      </c>
      <c r="R638" s="192">
        <f t="shared" si="242"/>
        <v>500</v>
      </c>
      <c r="S638" s="192">
        <f t="shared" si="242"/>
        <v>0</v>
      </c>
      <c r="T638" s="192">
        <f t="shared" si="242"/>
        <v>9831</v>
      </c>
      <c r="U638"/>
      <c r="V638">
        <f>+PRESUPUESTO22[[#This Row],[EJECUTADO ]]-SUM(PRESUPUESTO22[[#This Row],[   ENERO ]:[DIC]])</f>
        <v>0</v>
      </c>
      <c r="W638"/>
      <c r="X638"/>
    </row>
    <row r="639" spans="1:24" ht="15.95" customHeight="1" x14ac:dyDescent="0.25">
      <c r="A639" s="54" t="s">
        <v>1</v>
      </c>
      <c r="B639" s="156">
        <v>12010501</v>
      </c>
      <c r="C639" s="130" t="str">
        <f t="shared" si="228"/>
        <v>E-12010501</v>
      </c>
      <c r="D639" s="130">
        <v>589</v>
      </c>
      <c r="E639" s="156" t="s">
        <v>72</v>
      </c>
      <c r="F639" s="216" t="s">
        <v>519</v>
      </c>
      <c r="G639" s="193">
        <v>700</v>
      </c>
      <c r="H639" s="193">
        <v>0</v>
      </c>
      <c r="I639" s="193">
        <v>0</v>
      </c>
      <c r="J639" s="193">
        <f>1.85+0.15</f>
        <v>2</v>
      </c>
      <c r="K639" s="193">
        <v>0</v>
      </c>
      <c r="L639" s="193">
        <v>0</v>
      </c>
      <c r="M639" s="193">
        <f>19.21-0.21</f>
        <v>19</v>
      </c>
      <c r="N639" s="193">
        <v>0</v>
      </c>
      <c r="O639" s="193">
        <v>0</v>
      </c>
      <c r="P639" s="193">
        <v>0</v>
      </c>
      <c r="Q639" s="193">
        <v>0</v>
      </c>
      <c r="R639" s="193">
        <v>0</v>
      </c>
      <c r="S639" s="193">
        <v>0</v>
      </c>
      <c r="T639" s="193">
        <f>SUM(H639:S639)</f>
        <v>21</v>
      </c>
      <c r="U639"/>
      <c r="V639">
        <f>+PRESUPUESTO22[[#This Row],[EJECUTADO ]]-SUM(PRESUPUESTO22[[#This Row],[   ENERO ]:[DIC]])</f>
        <v>0</v>
      </c>
      <c r="W639"/>
      <c r="X639"/>
    </row>
    <row r="640" spans="1:24" ht="15.95" customHeight="1" x14ac:dyDescent="0.25">
      <c r="A640" s="54"/>
      <c r="B640" s="156">
        <v>12010502</v>
      </c>
      <c r="C640" s="130" t="str">
        <f t="shared" si="228"/>
        <v>E-12010502</v>
      </c>
      <c r="D640" s="130">
        <v>590</v>
      </c>
      <c r="E640" s="156" t="s">
        <v>72</v>
      </c>
      <c r="F640" s="216" t="s">
        <v>494</v>
      </c>
      <c r="G640" s="193">
        <v>5000</v>
      </c>
      <c r="H640" s="193">
        <v>1020</v>
      </c>
      <c r="I640" s="193">
        <v>1020</v>
      </c>
      <c r="J640" s="193">
        <v>1020</v>
      </c>
      <c r="K640" s="193">
        <v>1020</v>
      </c>
      <c r="L640" s="193">
        <v>1020</v>
      </c>
      <c r="M640" s="193">
        <v>1020</v>
      </c>
      <c r="N640" s="193">
        <v>1020</v>
      </c>
      <c r="O640" s="193">
        <v>1020</v>
      </c>
      <c r="P640" s="193">
        <v>500</v>
      </c>
      <c r="Q640" s="193">
        <v>500</v>
      </c>
      <c r="R640" s="193">
        <v>500</v>
      </c>
      <c r="S640" s="193">
        <v>0</v>
      </c>
      <c r="T640" s="193">
        <f>SUM(H640:S640)</f>
        <v>9660</v>
      </c>
      <c r="U640"/>
      <c r="V640">
        <f>+PRESUPUESTO22[[#This Row],[EJECUTADO ]]-SUM(PRESUPUESTO22[[#This Row],[   ENERO ]:[DIC]])</f>
        <v>0</v>
      </c>
      <c r="W640"/>
      <c r="X640"/>
    </row>
    <row r="641" spans="1:24" ht="15.95" customHeight="1" x14ac:dyDescent="0.25">
      <c r="A641" s="54"/>
      <c r="B641" s="156">
        <v>12010503</v>
      </c>
      <c r="C641" s="130" t="str">
        <f t="shared" si="228"/>
        <v>E-12010503</v>
      </c>
      <c r="D641" s="130">
        <v>591</v>
      </c>
      <c r="E641" s="156" t="s">
        <v>72</v>
      </c>
      <c r="F641" s="216" t="s">
        <v>520</v>
      </c>
      <c r="G641" s="193">
        <v>170</v>
      </c>
      <c r="H641" s="193">
        <v>0</v>
      </c>
      <c r="I641" s="193">
        <v>0</v>
      </c>
      <c r="J641" s="193">
        <v>0</v>
      </c>
      <c r="K641" s="193">
        <v>0</v>
      </c>
      <c r="L641" s="193">
        <v>0</v>
      </c>
      <c r="M641" s="193">
        <v>0</v>
      </c>
      <c r="N641" s="193">
        <v>0</v>
      </c>
      <c r="O641" s="193">
        <f>149.9+0.1</f>
        <v>150</v>
      </c>
      <c r="P641" s="193">
        <v>0</v>
      </c>
      <c r="Q641" s="193">
        <v>0</v>
      </c>
      <c r="R641" s="193">
        <v>0</v>
      </c>
      <c r="S641" s="193">
        <v>0</v>
      </c>
      <c r="T641" s="193">
        <f>SUM(H641:S641)</f>
        <v>150</v>
      </c>
      <c r="U641" t="s">
        <v>1</v>
      </c>
      <c r="V641">
        <f>+PRESUPUESTO22[[#This Row],[EJECUTADO ]]-SUM(PRESUPUESTO22[[#This Row],[   ENERO ]:[DIC]])</f>
        <v>0</v>
      </c>
      <c r="W641"/>
      <c r="X641"/>
    </row>
    <row r="642" spans="1:24" ht="15.95" customHeight="1" x14ac:dyDescent="0.25">
      <c r="A642" s="54">
        <v>6</v>
      </c>
      <c r="B642" s="151">
        <v>120106</v>
      </c>
      <c r="C642" s="130" t="str">
        <f t="shared" si="228"/>
        <v>E-120106</v>
      </c>
      <c r="D642" s="130">
        <v>592</v>
      </c>
      <c r="E642" s="151" t="s">
        <v>69</v>
      </c>
      <c r="F642" s="208" t="s">
        <v>521</v>
      </c>
      <c r="G642" s="192">
        <f>SUM(G643:G644)</f>
        <v>500</v>
      </c>
      <c r="H642" s="192">
        <f>SUM(H643:H644)</f>
        <v>22</v>
      </c>
      <c r="I642" s="192">
        <f t="shared" ref="I642:T642" si="243">SUM(I643:I644)</f>
        <v>0</v>
      </c>
      <c r="J642" s="192">
        <f t="shared" si="243"/>
        <v>39.999999999999993</v>
      </c>
      <c r="K642" s="192">
        <f t="shared" si="243"/>
        <v>91</v>
      </c>
      <c r="L642" s="192">
        <f t="shared" si="243"/>
        <v>5</v>
      </c>
      <c r="M642" s="192">
        <f t="shared" si="243"/>
        <v>13</v>
      </c>
      <c r="N642" s="192">
        <f t="shared" si="243"/>
        <v>19</v>
      </c>
      <c r="O642" s="192">
        <f t="shared" si="243"/>
        <v>29</v>
      </c>
      <c r="P642" s="192">
        <f t="shared" si="243"/>
        <v>27</v>
      </c>
      <c r="Q642" s="192">
        <f t="shared" si="243"/>
        <v>66</v>
      </c>
      <c r="R642" s="192">
        <f t="shared" si="243"/>
        <v>13</v>
      </c>
      <c r="S642" s="192">
        <f t="shared" si="243"/>
        <v>0</v>
      </c>
      <c r="T642" s="192">
        <f t="shared" si="243"/>
        <v>325</v>
      </c>
      <c r="U642"/>
      <c r="V642">
        <f>+PRESUPUESTO22[[#This Row],[EJECUTADO ]]-SUM(PRESUPUESTO22[[#This Row],[   ENERO ]:[DIC]])</f>
        <v>0</v>
      </c>
      <c r="W642"/>
      <c r="X642"/>
    </row>
    <row r="643" spans="1:24" ht="15.95" customHeight="1" x14ac:dyDescent="0.25">
      <c r="A643" s="54"/>
      <c r="B643" s="156">
        <v>12010601</v>
      </c>
      <c r="C643" s="130" t="str">
        <f t="shared" si="228"/>
        <v>E-12010601</v>
      </c>
      <c r="D643" s="130">
        <v>593</v>
      </c>
      <c r="E643" s="156" t="s">
        <v>72</v>
      </c>
      <c r="F643" s="216" t="s">
        <v>522</v>
      </c>
      <c r="G643" s="193">
        <v>250</v>
      </c>
      <c r="H643" s="193">
        <v>22</v>
      </c>
      <c r="I643" s="193">
        <v>0</v>
      </c>
      <c r="J643" s="193">
        <f>23.33+16.91-0.24</f>
        <v>39.999999999999993</v>
      </c>
      <c r="K643" s="193">
        <v>0</v>
      </c>
      <c r="L643" s="193">
        <v>0</v>
      </c>
      <c r="M643" s="193">
        <f>3.32-0.32</f>
        <v>3</v>
      </c>
      <c r="N643" s="193">
        <f>19.27-0.27</f>
        <v>19</v>
      </c>
      <c r="O643" s="193">
        <v>0</v>
      </c>
      <c r="P643" s="193">
        <v>0</v>
      </c>
      <c r="Q643" s="193">
        <v>0</v>
      </c>
      <c r="R643" s="193">
        <v>0</v>
      </c>
      <c r="S643" s="193">
        <v>0</v>
      </c>
      <c r="T643" s="193">
        <f>SUM(H643:S643)</f>
        <v>84</v>
      </c>
      <c r="U643"/>
      <c r="V643">
        <f>+PRESUPUESTO22[[#This Row],[EJECUTADO ]]-SUM(PRESUPUESTO22[[#This Row],[   ENERO ]:[DIC]])</f>
        <v>0</v>
      </c>
      <c r="W643"/>
      <c r="X643"/>
    </row>
    <row r="644" spans="1:24" ht="15.95" customHeight="1" x14ac:dyDescent="0.25">
      <c r="A644" s="54"/>
      <c r="B644" s="156">
        <v>12010602</v>
      </c>
      <c r="C644" s="130" t="str">
        <f t="shared" si="228"/>
        <v>E-12010602</v>
      </c>
      <c r="D644" s="130">
        <v>594</v>
      </c>
      <c r="E644" s="156" t="s">
        <v>72</v>
      </c>
      <c r="F644" s="216" t="s">
        <v>523</v>
      </c>
      <c r="G644" s="193">
        <v>250</v>
      </c>
      <c r="H644" s="193">
        <v>0</v>
      </c>
      <c r="I644" s="193">
        <v>0</v>
      </c>
      <c r="J644" s="193">
        <v>0</v>
      </c>
      <c r="K644" s="193">
        <f>90.82+0.18</f>
        <v>91</v>
      </c>
      <c r="L644" s="193">
        <f>5.35-0.35</f>
        <v>5</v>
      </c>
      <c r="M644" s="193">
        <f>10.4-0.4</f>
        <v>10</v>
      </c>
      <c r="N644" s="193">
        <v>0</v>
      </c>
      <c r="O644" s="193">
        <f>28.8+0.2</f>
        <v>29</v>
      </c>
      <c r="P644" s="193">
        <f>26.88+0.12</f>
        <v>27</v>
      </c>
      <c r="Q644" s="193">
        <f>65.94+0.06</f>
        <v>66</v>
      </c>
      <c r="R644" s="193">
        <f>12.86+0.14</f>
        <v>13</v>
      </c>
      <c r="S644" s="193">
        <v>0</v>
      </c>
      <c r="T644" s="193">
        <f>SUM(H644:S644)</f>
        <v>241</v>
      </c>
      <c r="U644"/>
      <c r="V644">
        <f>+PRESUPUESTO22[[#This Row],[EJECUTADO ]]-SUM(PRESUPUESTO22[[#This Row],[   ENERO ]:[DIC]])</f>
        <v>0</v>
      </c>
      <c r="W644"/>
      <c r="X644"/>
    </row>
    <row r="645" spans="1:24" ht="15.95" customHeight="1" x14ac:dyDescent="0.25">
      <c r="A645" s="54">
        <v>7</v>
      </c>
      <c r="B645" s="160">
        <v>120107</v>
      </c>
      <c r="C645" s="130" t="str">
        <f t="shared" si="228"/>
        <v>E-120107</v>
      </c>
      <c r="D645" s="130">
        <v>595</v>
      </c>
      <c r="E645" s="160" t="s">
        <v>69</v>
      </c>
      <c r="F645" s="222" t="s">
        <v>524</v>
      </c>
      <c r="G645" s="192">
        <f>+G646</f>
        <v>600</v>
      </c>
      <c r="H645" s="192">
        <f>+H646</f>
        <v>0</v>
      </c>
      <c r="I645" s="192">
        <f t="shared" ref="I645:T645" si="244">+I646</f>
        <v>0</v>
      </c>
      <c r="J645" s="192">
        <f t="shared" si="244"/>
        <v>0</v>
      </c>
      <c r="K645" s="192">
        <f t="shared" si="244"/>
        <v>571</v>
      </c>
      <c r="L645" s="192">
        <f t="shared" si="244"/>
        <v>0</v>
      </c>
      <c r="M645" s="192">
        <f t="shared" si="244"/>
        <v>0</v>
      </c>
      <c r="N645" s="192">
        <f t="shared" si="244"/>
        <v>0</v>
      </c>
      <c r="O645" s="192">
        <f t="shared" si="244"/>
        <v>0</v>
      </c>
      <c r="P645" s="192">
        <f t="shared" si="244"/>
        <v>0</v>
      </c>
      <c r="Q645" s="192">
        <f t="shared" si="244"/>
        <v>0</v>
      </c>
      <c r="R645" s="192">
        <f t="shared" si="244"/>
        <v>0</v>
      </c>
      <c r="S645" s="192">
        <f t="shared" si="244"/>
        <v>0</v>
      </c>
      <c r="T645" s="192">
        <f t="shared" si="244"/>
        <v>571</v>
      </c>
      <c r="U645"/>
      <c r="V645">
        <f>+PRESUPUESTO22[[#This Row],[EJECUTADO ]]-SUM(PRESUPUESTO22[[#This Row],[   ENERO ]:[DIC]])</f>
        <v>0</v>
      </c>
      <c r="W645"/>
      <c r="X645"/>
    </row>
    <row r="646" spans="1:24" ht="15.95" customHeight="1" x14ac:dyDescent="0.25">
      <c r="A646" s="54"/>
      <c r="B646" s="156">
        <v>12010701</v>
      </c>
      <c r="C646" s="130" t="str">
        <f t="shared" si="228"/>
        <v>E-12010701</v>
      </c>
      <c r="D646" s="130">
        <v>596</v>
      </c>
      <c r="E646" s="156" t="s">
        <v>72</v>
      </c>
      <c r="F646" s="216" t="s">
        <v>525</v>
      </c>
      <c r="G646" s="193">
        <v>600</v>
      </c>
      <c r="H646" s="193">
        <v>0</v>
      </c>
      <c r="I646" s="193">
        <v>0</v>
      </c>
      <c r="J646" s="193">
        <v>0</v>
      </c>
      <c r="K646" s="193">
        <f>571.43-0.43</f>
        <v>571</v>
      </c>
      <c r="L646" s="193">
        <v>0</v>
      </c>
      <c r="M646" s="193">
        <v>0</v>
      </c>
      <c r="N646" s="193">
        <v>0</v>
      </c>
      <c r="O646" s="193">
        <v>0</v>
      </c>
      <c r="P646" s="193">
        <v>0</v>
      </c>
      <c r="Q646" s="193">
        <v>0</v>
      </c>
      <c r="R646" s="193">
        <v>0</v>
      </c>
      <c r="S646" s="193">
        <v>0</v>
      </c>
      <c r="T646" s="193">
        <f>SUM(H646:S646)</f>
        <v>571</v>
      </c>
      <c r="U646"/>
      <c r="V646">
        <f>+PRESUPUESTO22[[#This Row],[EJECUTADO ]]-SUM(PRESUPUESTO22[[#This Row],[   ENERO ]:[DIC]])</f>
        <v>0</v>
      </c>
      <c r="W646"/>
      <c r="X646"/>
    </row>
    <row r="647" spans="1:24" ht="15.95" customHeight="1" x14ac:dyDescent="0.25">
      <c r="A647" s="54">
        <v>8</v>
      </c>
      <c r="B647" s="160">
        <v>120108</v>
      </c>
      <c r="C647" s="130" t="str">
        <f t="shared" si="228"/>
        <v>E-120108</v>
      </c>
      <c r="D647" s="130">
        <v>597</v>
      </c>
      <c r="E647" s="160" t="s">
        <v>69</v>
      </c>
      <c r="F647" s="222" t="s">
        <v>526</v>
      </c>
      <c r="G647" s="192">
        <f>+G648</f>
        <v>500</v>
      </c>
      <c r="H647" s="192">
        <f>+H648</f>
        <v>0</v>
      </c>
      <c r="I647" s="192">
        <f t="shared" ref="I647:T647" si="245">+I648</f>
        <v>0</v>
      </c>
      <c r="J647" s="192">
        <f t="shared" si="245"/>
        <v>0</v>
      </c>
      <c r="K647" s="192">
        <f t="shared" si="245"/>
        <v>0</v>
      </c>
      <c r="L647" s="192">
        <f t="shared" si="245"/>
        <v>0</v>
      </c>
      <c r="M647" s="192">
        <f t="shared" si="245"/>
        <v>0</v>
      </c>
      <c r="N647" s="192">
        <f t="shared" si="245"/>
        <v>0</v>
      </c>
      <c r="O647" s="192">
        <f t="shared" si="245"/>
        <v>0</v>
      </c>
      <c r="P647" s="192">
        <f t="shared" si="245"/>
        <v>0</v>
      </c>
      <c r="Q647" s="192">
        <f t="shared" si="245"/>
        <v>0</v>
      </c>
      <c r="R647" s="192">
        <f t="shared" si="245"/>
        <v>0</v>
      </c>
      <c r="S647" s="192">
        <f t="shared" si="245"/>
        <v>0</v>
      </c>
      <c r="T647" s="192">
        <f t="shared" si="245"/>
        <v>0</v>
      </c>
      <c r="U647"/>
      <c r="V647">
        <f>+PRESUPUESTO22[[#This Row],[EJECUTADO ]]-SUM(PRESUPUESTO22[[#This Row],[   ENERO ]:[DIC]])</f>
        <v>0</v>
      </c>
      <c r="W647"/>
      <c r="X647"/>
    </row>
    <row r="648" spans="1:24" ht="15.95" customHeight="1" x14ac:dyDescent="0.25">
      <c r="A648" s="54"/>
      <c r="B648" s="156">
        <v>12010801</v>
      </c>
      <c r="C648" s="130" t="str">
        <f t="shared" si="228"/>
        <v>E-12010801</v>
      </c>
      <c r="D648" s="130">
        <v>598</v>
      </c>
      <c r="E648" s="156" t="s">
        <v>72</v>
      </c>
      <c r="F648" s="216" t="s">
        <v>527</v>
      </c>
      <c r="G648" s="193">
        <v>500</v>
      </c>
      <c r="H648" s="193">
        <v>0</v>
      </c>
      <c r="I648" s="193">
        <v>0</v>
      </c>
      <c r="J648" s="193">
        <v>0</v>
      </c>
      <c r="K648" s="193">
        <v>0</v>
      </c>
      <c r="L648" s="193">
        <v>0</v>
      </c>
      <c r="M648" s="193">
        <v>0</v>
      </c>
      <c r="N648" s="193">
        <v>0</v>
      </c>
      <c r="O648" s="193">
        <v>0</v>
      </c>
      <c r="P648" s="193">
        <v>0</v>
      </c>
      <c r="Q648" s="193">
        <v>0</v>
      </c>
      <c r="R648" s="193">
        <v>0</v>
      </c>
      <c r="S648" s="193">
        <v>0</v>
      </c>
      <c r="T648" s="193">
        <f>SUM(H648:S648)</f>
        <v>0</v>
      </c>
      <c r="U648"/>
      <c r="V648">
        <f>+PRESUPUESTO22[[#This Row],[EJECUTADO ]]-SUM(PRESUPUESTO22[[#This Row],[   ENERO ]:[DIC]])</f>
        <v>0</v>
      </c>
      <c r="W648"/>
      <c r="X648"/>
    </row>
    <row r="649" spans="1:24" ht="15.95" customHeight="1" x14ac:dyDescent="0.25">
      <c r="A649" s="54">
        <v>9</v>
      </c>
      <c r="B649" s="160">
        <v>120109</v>
      </c>
      <c r="C649" s="130" t="str">
        <f t="shared" si="228"/>
        <v>E-120109</v>
      </c>
      <c r="D649" s="130">
        <v>599</v>
      </c>
      <c r="E649" s="160" t="s">
        <v>69</v>
      </c>
      <c r="F649" s="222" t="s">
        <v>528</v>
      </c>
      <c r="G649" s="192">
        <f>+G650</f>
        <v>1500</v>
      </c>
      <c r="H649" s="192">
        <f>+H650</f>
        <v>0</v>
      </c>
      <c r="I649" s="192">
        <f t="shared" ref="I649:T649" si="246">+I650</f>
        <v>0</v>
      </c>
      <c r="J649" s="192">
        <f t="shared" si="246"/>
        <v>0</v>
      </c>
      <c r="K649" s="192">
        <f t="shared" si="246"/>
        <v>0</v>
      </c>
      <c r="L649" s="192">
        <f t="shared" si="246"/>
        <v>0</v>
      </c>
      <c r="M649" s="192">
        <f t="shared" si="246"/>
        <v>0</v>
      </c>
      <c r="N649" s="192">
        <f t="shared" si="246"/>
        <v>0</v>
      </c>
      <c r="O649" s="192">
        <f t="shared" si="246"/>
        <v>0</v>
      </c>
      <c r="P649" s="192">
        <f t="shared" si="246"/>
        <v>36</v>
      </c>
      <c r="Q649" s="192">
        <f t="shared" si="246"/>
        <v>4</v>
      </c>
      <c r="R649" s="192">
        <f t="shared" si="246"/>
        <v>0</v>
      </c>
      <c r="S649" s="192">
        <f t="shared" si="246"/>
        <v>0</v>
      </c>
      <c r="T649" s="192">
        <f t="shared" si="246"/>
        <v>40</v>
      </c>
      <c r="U649"/>
      <c r="V649">
        <f>+PRESUPUESTO22[[#This Row],[EJECUTADO ]]-SUM(PRESUPUESTO22[[#This Row],[   ENERO ]:[DIC]])</f>
        <v>0</v>
      </c>
      <c r="W649"/>
      <c r="X649"/>
    </row>
    <row r="650" spans="1:24" ht="15.95" customHeight="1" x14ac:dyDescent="0.25">
      <c r="A650" s="54"/>
      <c r="B650" s="156">
        <v>12010901</v>
      </c>
      <c r="C650" s="130" t="str">
        <f t="shared" si="228"/>
        <v>E-12010901</v>
      </c>
      <c r="D650" s="130">
        <v>600</v>
      </c>
      <c r="E650" s="156" t="s">
        <v>72</v>
      </c>
      <c r="F650" s="216" t="s">
        <v>529</v>
      </c>
      <c r="G650" s="193">
        <v>1500</v>
      </c>
      <c r="H650" s="193">
        <v>0</v>
      </c>
      <c r="I650" s="193">
        <v>0</v>
      </c>
      <c r="J650" s="193">
        <v>0</v>
      </c>
      <c r="K650" s="193">
        <v>0</v>
      </c>
      <c r="L650" s="193">
        <v>0</v>
      </c>
      <c r="M650" s="193">
        <v>0</v>
      </c>
      <c r="N650" s="193">
        <v>0</v>
      </c>
      <c r="O650" s="193">
        <v>0</v>
      </c>
      <c r="P650" s="193">
        <f>35.64+0.36</f>
        <v>36</v>
      </c>
      <c r="Q650" s="193">
        <f>4.47-0.47</f>
        <v>4</v>
      </c>
      <c r="R650" s="193">
        <v>0</v>
      </c>
      <c r="S650" s="193">
        <v>0</v>
      </c>
      <c r="T650" s="193">
        <f>SUM(H650:S650)</f>
        <v>40</v>
      </c>
      <c r="U650"/>
      <c r="V650">
        <f>+PRESUPUESTO22[[#This Row],[EJECUTADO ]]-SUM(PRESUPUESTO22[[#This Row],[   ENERO ]:[DIC]])</f>
        <v>0</v>
      </c>
      <c r="W650"/>
      <c r="X650"/>
    </row>
    <row r="651" spans="1:24" ht="15.95" customHeight="1" x14ac:dyDescent="0.25">
      <c r="A651" s="54">
        <v>10</v>
      </c>
      <c r="B651" s="160">
        <v>120110</v>
      </c>
      <c r="C651" s="130" t="str">
        <f t="shared" si="228"/>
        <v>E-120110</v>
      </c>
      <c r="D651" s="130">
        <v>601</v>
      </c>
      <c r="E651" s="160" t="s">
        <v>69</v>
      </c>
      <c r="F651" s="222" t="s">
        <v>530</v>
      </c>
      <c r="G651" s="192">
        <f>+G652</f>
        <v>500</v>
      </c>
      <c r="H651" s="192">
        <f>+H652</f>
        <v>0</v>
      </c>
      <c r="I651" s="192">
        <f t="shared" ref="I651:T651" si="247">+I652</f>
        <v>0</v>
      </c>
      <c r="J651" s="192">
        <f t="shared" si="247"/>
        <v>0</v>
      </c>
      <c r="K651" s="192">
        <f t="shared" si="247"/>
        <v>0</v>
      </c>
      <c r="L651" s="192">
        <f t="shared" si="247"/>
        <v>0</v>
      </c>
      <c r="M651" s="192">
        <f t="shared" si="247"/>
        <v>0</v>
      </c>
      <c r="N651" s="192">
        <f t="shared" si="247"/>
        <v>0</v>
      </c>
      <c r="O651" s="192">
        <f t="shared" si="247"/>
        <v>33</v>
      </c>
      <c r="P651" s="192">
        <f t="shared" si="247"/>
        <v>0</v>
      </c>
      <c r="Q651" s="192">
        <f t="shared" si="247"/>
        <v>0</v>
      </c>
      <c r="R651" s="192">
        <f t="shared" si="247"/>
        <v>0</v>
      </c>
      <c r="S651" s="192">
        <f t="shared" si="247"/>
        <v>0</v>
      </c>
      <c r="T651" s="192">
        <f t="shared" si="247"/>
        <v>33</v>
      </c>
      <c r="U651"/>
      <c r="V651">
        <f>+PRESUPUESTO22[[#This Row],[EJECUTADO ]]-SUM(PRESUPUESTO22[[#This Row],[   ENERO ]:[DIC]])</f>
        <v>0</v>
      </c>
      <c r="W651"/>
      <c r="X651"/>
    </row>
    <row r="652" spans="1:24" ht="15.95" customHeight="1" x14ac:dyDescent="0.25">
      <c r="A652" s="54"/>
      <c r="B652" s="156">
        <v>12011001</v>
      </c>
      <c r="C652" s="130" t="str">
        <f t="shared" si="228"/>
        <v>E-12011001</v>
      </c>
      <c r="D652" s="130">
        <v>602</v>
      </c>
      <c r="E652" s="156" t="s">
        <v>72</v>
      </c>
      <c r="F652" s="216" t="s">
        <v>531</v>
      </c>
      <c r="G652" s="193">
        <v>500</v>
      </c>
      <c r="H652" s="193">
        <v>0</v>
      </c>
      <c r="I652" s="193">
        <v>0</v>
      </c>
      <c r="J652" s="193">
        <v>0</v>
      </c>
      <c r="K652" s="193">
        <v>0</v>
      </c>
      <c r="L652" s="193">
        <v>0</v>
      </c>
      <c r="M652" s="193">
        <v>0</v>
      </c>
      <c r="N652" s="193">
        <v>0</v>
      </c>
      <c r="O652" s="193">
        <f>32.5+0.5</f>
        <v>33</v>
      </c>
      <c r="P652" s="193">
        <v>0</v>
      </c>
      <c r="Q652" s="193">
        <v>0</v>
      </c>
      <c r="R652" s="193">
        <v>0</v>
      </c>
      <c r="S652" s="193">
        <v>0</v>
      </c>
      <c r="T652" s="193">
        <f>SUM(H652:S652)</f>
        <v>33</v>
      </c>
      <c r="U652"/>
      <c r="V652">
        <f>+PRESUPUESTO22[[#This Row],[EJECUTADO ]]-SUM(PRESUPUESTO22[[#This Row],[   ENERO ]:[DIC]])</f>
        <v>0</v>
      </c>
      <c r="W652"/>
      <c r="X652"/>
    </row>
    <row r="653" spans="1:24" ht="15.95" customHeight="1" x14ac:dyDescent="0.25">
      <c r="A653" s="54">
        <v>11</v>
      </c>
      <c r="B653" s="160">
        <v>120111</v>
      </c>
      <c r="C653" s="130" t="str">
        <f t="shared" si="228"/>
        <v>E-120111</v>
      </c>
      <c r="D653" s="130">
        <v>603</v>
      </c>
      <c r="E653" s="160" t="s">
        <v>69</v>
      </c>
      <c r="F653" s="222" t="s">
        <v>503</v>
      </c>
      <c r="G653" s="192">
        <f>+G654</f>
        <v>1500</v>
      </c>
      <c r="H653" s="192">
        <f>+H654</f>
        <v>0</v>
      </c>
      <c r="I653" s="192">
        <f t="shared" ref="I653:T653" si="248">+I654</f>
        <v>0</v>
      </c>
      <c r="J653" s="192">
        <f t="shared" si="248"/>
        <v>0</v>
      </c>
      <c r="K653" s="192">
        <f t="shared" si="248"/>
        <v>0</v>
      </c>
      <c r="L653" s="192">
        <f t="shared" si="248"/>
        <v>0</v>
      </c>
      <c r="M653" s="192">
        <f t="shared" si="248"/>
        <v>0</v>
      </c>
      <c r="N653" s="192">
        <f t="shared" si="248"/>
        <v>0</v>
      </c>
      <c r="O653" s="192">
        <f t="shared" si="248"/>
        <v>0</v>
      </c>
      <c r="P653" s="192">
        <f t="shared" si="248"/>
        <v>617</v>
      </c>
      <c r="Q653" s="192">
        <f t="shared" si="248"/>
        <v>0</v>
      </c>
      <c r="R653" s="192">
        <f t="shared" si="248"/>
        <v>0</v>
      </c>
      <c r="S653" s="192">
        <f t="shared" si="248"/>
        <v>0</v>
      </c>
      <c r="T653" s="192">
        <f t="shared" si="248"/>
        <v>617</v>
      </c>
      <c r="U653"/>
      <c r="V653">
        <f>+PRESUPUESTO22[[#This Row],[EJECUTADO ]]-SUM(PRESUPUESTO22[[#This Row],[   ENERO ]:[DIC]])</f>
        <v>0</v>
      </c>
      <c r="W653"/>
      <c r="X653"/>
    </row>
    <row r="654" spans="1:24" ht="15.95" customHeight="1" x14ac:dyDescent="0.25">
      <c r="A654" s="54"/>
      <c r="B654" s="156">
        <v>12011101</v>
      </c>
      <c r="C654" s="130" t="str">
        <f t="shared" si="228"/>
        <v>E-12011101</v>
      </c>
      <c r="D654" s="130">
        <v>604</v>
      </c>
      <c r="E654" s="156" t="s">
        <v>72</v>
      </c>
      <c r="F654" s="216" t="s">
        <v>532</v>
      </c>
      <c r="G654" s="193">
        <v>1500</v>
      </c>
      <c r="H654" s="193">
        <v>0</v>
      </c>
      <c r="I654" s="193">
        <v>0</v>
      </c>
      <c r="J654" s="193">
        <v>0</v>
      </c>
      <c r="K654" s="193">
        <v>0</v>
      </c>
      <c r="L654" s="193">
        <v>0</v>
      </c>
      <c r="M654" s="193">
        <v>0</v>
      </c>
      <c r="N654" s="193">
        <v>0</v>
      </c>
      <c r="O654" s="193">
        <v>0</v>
      </c>
      <c r="P654" s="193">
        <f>616.5+0.5</f>
        <v>617</v>
      </c>
      <c r="Q654" s="193">
        <v>0</v>
      </c>
      <c r="R654" s="193">
        <v>0</v>
      </c>
      <c r="S654" s="193">
        <v>0</v>
      </c>
      <c r="T654" s="193">
        <f>SUM(H654:S654)</f>
        <v>617</v>
      </c>
      <c r="U654"/>
      <c r="V654">
        <f>+PRESUPUESTO22[[#This Row],[EJECUTADO ]]-SUM(PRESUPUESTO22[[#This Row],[   ENERO ]:[DIC]])</f>
        <v>0</v>
      </c>
      <c r="W654"/>
      <c r="X654"/>
    </row>
    <row r="655" spans="1:24" ht="15.95" customHeight="1" x14ac:dyDescent="0.25">
      <c r="A655" s="49">
        <v>3</v>
      </c>
      <c r="B655" s="139">
        <v>1202</v>
      </c>
      <c r="C655" s="130" t="str">
        <f t="shared" si="228"/>
        <v>E-1202</v>
      </c>
      <c r="D655" s="130">
        <v>605</v>
      </c>
      <c r="E655" s="139" t="s">
        <v>72</v>
      </c>
      <c r="F655" s="189" t="s">
        <v>533</v>
      </c>
      <c r="G655" s="190">
        <v>10000</v>
      </c>
      <c r="H655" s="190">
        <f>+H656+H661</f>
        <v>0</v>
      </c>
      <c r="I655" s="190">
        <f t="shared" ref="I655:T655" si="249">+I656+I661</f>
        <v>45</v>
      </c>
      <c r="J655" s="190">
        <f t="shared" si="249"/>
        <v>0</v>
      </c>
      <c r="K655" s="190">
        <f t="shared" si="249"/>
        <v>871</v>
      </c>
      <c r="L655" s="190">
        <f t="shared" si="249"/>
        <v>0</v>
      </c>
      <c r="M655" s="190">
        <f t="shared" si="249"/>
        <v>0</v>
      </c>
      <c r="N655" s="190">
        <f t="shared" si="249"/>
        <v>0</v>
      </c>
      <c r="O655" s="190">
        <f t="shared" si="249"/>
        <v>0</v>
      </c>
      <c r="P655" s="190">
        <f t="shared" si="249"/>
        <v>0</v>
      </c>
      <c r="Q655" s="190">
        <f t="shared" si="249"/>
        <v>1477</v>
      </c>
      <c r="R655" s="190">
        <f t="shared" si="249"/>
        <v>1020</v>
      </c>
      <c r="S655" s="190">
        <f t="shared" si="249"/>
        <v>0</v>
      </c>
      <c r="T655" s="190">
        <f t="shared" si="249"/>
        <v>3413</v>
      </c>
      <c r="U655"/>
      <c r="V655">
        <f>+PRESUPUESTO22[[#This Row],[EJECUTADO ]]-SUM(PRESUPUESTO22[[#This Row],[   ENERO ]:[DIC]])</f>
        <v>0</v>
      </c>
    </row>
    <row r="656" spans="1:24" ht="15.95" customHeight="1" x14ac:dyDescent="0.25">
      <c r="A656" s="48">
        <v>3.1</v>
      </c>
      <c r="B656" s="140">
        <v>120201</v>
      </c>
      <c r="C656" s="130" t="str">
        <f t="shared" si="228"/>
        <v>E-120201</v>
      </c>
      <c r="D656" s="130">
        <v>606</v>
      </c>
      <c r="E656" s="140" t="s">
        <v>69</v>
      </c>
      <c r="F656" s="199" t="s">
        <v>534</v>
      </c>
      <c r="G656" s="192">
        <f>+G657</f>
        <v>0</v>
      </c>
      <c r="H656" s="192">
        <f>+H657</f>
        <v>0</v>
      </c>
      <c r="I656" s="192">
        <f t="shared" ref="I656:T656" si="250">+I657</f>
        <v>0</v>
      </c>
      <c r="J656" s="192">
        <f t="shared" si="250"/>
        <v>0</v>
      </c>
      <c r="K656" s="192">
        <f t="shared" si="250"/>
        <v>529</v>
      </c>
      <c r="L656" s="192">
        <f t="shared" si="250"/>
        <v>0</v>
      </c>
      <c r="M656" s="192">
        <f t="shared" si="250"/>
        <v>0</v>
      </c>
      <c r="N656" s="192">
        <f t="shared" si="250"/>
        <v>0</v>
      </c>
      <c r="O656" s="192">
        <f t="shared" si="250"/>
        <v>0</v>
      </c>
      <c r="P656" s="192">
        <f t="shared" si="250"/>
        <v>0</v>
      </c>
      <c r="Q656" s="192">
        <f t="shared" si="250"/>
        <v>1477</v>
      </c>
      <c r="R656" s="192">
        <f t="shared" si="250"/>
        <v>0</v>
      </c>
      <c r="S656" s="192">
        <f t="shared" si="250"/>
        <v>0</v>
      </c>
      <c r="T656" s="192">
        <f t="shared" si="250"/>
        <v>2006</v>
      </c>
      <c r="U656"/>
      <c r="V656">
        <f>+PRESUPUESTO22[[#This Row],[EJECUTADO ]]-SUM(PRESUPUESTO22[[#This Row],[   ENERO ]:[DIC]])</f>
        <v>0</v>
      </c>
    </row>
    <row r="657" spans="1:22" ht="15.95" customHeight="1" x14ac:dyDescent="0.25">
      <c r="A657" s="48">
        <v>1</v>
      </c>
      <c r="B657" s="161">
        <v>12020101</v>
      </c>
      <c r="C657" s="130" t="str">
        <f t="shared" si="228"/>
        <v>E-12020101</v>
      </c>
      <c r="D657" s="130">
        <v>607</v>
      </c>
      <c r="E657" s="161" t="s">
        <v>69</v>
      </c>
      <c r="F657" s="223" t="s">
        <v>535</v>
      </c>
      <c r="G657" s="106">
        <f>SUM(G658:G660)</f>
        <v>0</v>
      </c>
      <c r="H657" s="106">
        <f>SUM(H658:H660)</f>
        <v>0</v>
      </c>
      <c r="I657" s="106">
        <f t="shared" ref="I657:T657" si="251">SUM(I658:I660)</f>
        <v>0</v>
      </c>
      <c r="J657" s="106">
        <f t="shared" si="251"/>
        <v>0</v>
      </c>
      <c r="K657" s="106">
        <f t="shared" si="251"/>
        <v>529</v>
      </c>
      <c r="L657" s="106">
        <f t="shared" si="251"/>
        <v>0</v>
      </c>
      <c r="M657" s="106">
        <f t="shared" si="251"/>
        <v>0</v>
      </c>
      <c r="N657" s="106">
        <f t="shared" si="251"/>
        <v>0</v>
      </c>
      <c r="O657" s="106">
        <f t="shared" si="251"/>
        <v>0</v>
      </c>
      <c r="P657" s="106">
        <f t="shared" si="251"/>
        <v>0</v>
      </c>
      <c r="Q657" s="106">
        <f t="shared" si="251"/>
        <v>1477</v>
      </c>
      <c r="R657" s="106">
        <f t="shared" si="251"/>
        <v>0</v>
      </c>
      <c r="S657" s="106">
        <f t="shared" si="251"/>
        <v>0</v>
      </c>
      <c r="T657" s="106">
        <f t="shared" si="251"/>
        <v>2006</v>
      </c>
      <c r="U657"/>
      <c r="V657">
        <f>+PRESUPUESTO22[[#This Row],[EJECUTADO ]]-SUM(PRESUPUESTO22[[#This Row],[   ENERO ]:[DIC]])</f>
        <v>0</v>
      </c>
    </row>
    <row r="658" spans="1:22" ht="15.95" customHeight="1" x14ac:dyDescent="0.25">
      <c r="A658" s="48"/>
      <c r="B658" s="162">
        <v>1202010101</v>
      </c>
      <c r="C658" s="130" t="str">
        <f t="shared" si="228"/>
        <v>E-1202010101</v>
      </c>
      <c r="D658" s="130">
        <v>608</v>
      </c>
      <c r="E658" s="162" t="s">
        <v>69</v>
      </c>
      <c r="F658" s="368" t="s">
        <v>536</v>
      </c>
      <c r="G658" s="193">
        <v>0</v>
      </c>
      <c r="H658" s="193">
        <v>0</v>
      </c>
      <c r="I658" s="193">
        <v>0</v>
      </c>
      <c r="J658" s="193">
        <v>0</v>
      </c>
      <c r="K658" s="193">
        <v>0</v>
      </c>
      <c r="L658" s="193">
        <v>0</v>
      </c>
      <c r="M658" s="193">
        <v>0</v>
      </c>
      <c r="N658" s="193">
        <v>0</v>
      </c>
      <c r="O658" s="193">
        <v>0</v>
      </c>
      <c r="P658" s="193">
        <v>0</v>
      </c>
      <c r="Q658" s="193">
        <v>0</v>
      </c>
      <c r="R658" s="193">
        <v>0</v>
      </c>
      <c r="S658" s="193">
        <v>0</v>
      </c>
      <c r="T658" s="193">
        <f>SUM(H658:S658)</f>
        <v>0</v>
      </c>
      <c r="U658"/>
      <c r="V658">
        <f>+PRESUPUESTO22[[#This Row],[EJECUTADO ]]-SUM(PRESUPUESTO22[[#This Row],[   ENERO ]:[DIC]])</f>
        <v>0</v>
      </c>
    </row>
    <row r="659" spans="1:22" ht="15.95" customHeight="1" x14ac:dyDescent="0.25">
      <c r="A659" s="48"/>
      <c r="B659" s="162">
        <v>1202010102</v>
      </c>
      <c r="C659" s="130" t="str">
        <f t="shared" si="228"/>
        <v>E-1202010102</v>
      </c>
      <c r="D659" s="130">
        <v>609</v>
      </c>
      <c r="E659" s="162" t="s">
        <v>69</v>
      </c>
      <c r="F659" s="368" t="s">
        <v>537</v>
      </c>
      <c r="G659" s="193">
        <v>0</v>
      </c>
      <c r="H659" s="193">
        <v>0</v>
      </c>
      <c r="I659" s="193">
        <v>0</v>
      </c>
      <c r="J659" s="193">
        <v>0</v>
      </c>
      <c r="K659" s="193">
        <f>529.29-0.29</f>
        <v>529</v>
      </c>
      <c r="L659" s="193">
        <v>0</v>
      </c>
      <c r="M659" s="193">
        <v>0</v>
      </c>
      <c r="N659" s="193">
        <v>0</v>
      </c>
      <c r="O659" s="193">
        <v>0</v>
      </c>
      <c r="P659" s="193">
        <v>0</v>
      </c>
      <c r="Q659" s="193">
        <v>0</v>
      </c>
      <c r="R659" s="193">
        <v>0</v>
      </c>
      <c r="S659" s="193">
        <v>0</v>
      </c>
      <c r="T659" s="193">
        <f>SUM(H659:S659)</f>
        <v>529</v>
      </c>
      <c r="U659"/>
      <c r="V659">
        <f>+PRESUPUESTO22[[#This Row],[EJECUTADO ]]-SUM(PRESUPUESTO22[[#This Row],[   ENERO ]:[DIC]])</f>
        <v>0</v>
      </c>
    </row>
    <row r="660" spans="1:22" ht="15.95" customHeight="1" x14ac:dyDescent="0.25">
      <c r="A660" s="48"/>
      <c r="B660" s="162">
        <v>1202010103</v>
      </c>
      <c r="C660" s="130" t="str">
        <f t="shared" si="228"/>
        <v>E-1202010103</v>
      </c>
      <c r="D660" s="130">
        <v>610</v>
      </c>
      <c r="E660" s="162" t="s">
        <v>69</v>
      </c>
      <c r="F660" s="368" t="s">
        <v>538</v>
      </c>
      <c r="G660" s="193">
        <v>0</v>
      </c>
      <c r="H660" s="193">
        <v>0</v>
      </c>
      <c r="I660" s="193">
        <v>0</v>
      </c>
      <c r="J660" s="193">
        <v>0</v>
      </c>
      <c r="K660" s="193">
        <v>0</v>
      </c>
      <c r="L660" s="193">
        <v>0</v>
      </c>
      <c r="M660" s="193">
        <v>0</v>
      </c>
      <c r="N660" s="193">
        <v>0</v>
      </c>
      <c r="O660" s="193">
        <v>0</v>
      </c>
      <c r="P660" s="193">
        <v>0</v>
      </c>
      <c r="Q660" s="193">
        <f>1476.72+0.28</f>
        <v>1477</v>
      </c>
      <c r="R660" s="193">
        <v>0</v>
      </c>
      <c r="S660" s="193">
        <v>0</v>
      </c>
      <c r="T660" s="193">
        <f>SUM(H660:S660)</f>
        <v>1477</v>
      </c>
      <c r="U660"/>
      <c r="V660">
        <f>+PRESUPUESTO22[[#This Row],[EJECUTADO ]]-SUM(PRESUPUESTO22[[#This Row],[   ENERO ]:[DIC]])</f>
        <v>0</v>
      </c>
    </row>
    <row r="661" spans="1:22" ht="15.95" customHeight="1" x14ac:dyDescent="0.25">
      <c r="A661" s="48">
        <v>3.3</v>
      </c>
      <c r="B661" s="140">
        <v>120202</v>
      </c>
      <c r="C661" s="130" t="str">
        <f t="shared" ref="C661:C725" si="252">"E"&amp;"-"&amp;B661</f>
        <v>E-120202</v>
      </c>
      <c r="D661" s="130">
        <v>611</v>
      </c>
      <c r="E661" s="140" t="s">
        <v>69</v>
      </c>
      <c r="F661" s="199" t="s">
        <v>397</v>
      </c>
      <c r="G661" s="192">
        <f t="shared" ref="G661:T661" si="253">SUM(G662:G664)</f>
        <v>0</v>
      </c>
      <c r="H661" s="192">
        <f t="shared" si="253"/>
        <v>0</v>
      </c>
      <c r="I661" s="192">
        <f t="shared" si="253"/>
        <v>45</v>
      </c>
      <c r="J661" s="192">
        <f t="shared" si="253"/>
        <v>0</v>
      </c>
      <c r="K661" s="192">
        <f t="shared" si="253"/>
        <v>342</v>
      </c>
      <c r="L661" s="192">
        <f t="shared" si="253"/>
        <v>0</v>
      </c>
      <c r="M661" s="192">
        <f t="shared" si="253"/>
        <v>0</v>
      </c>
      <c r="N661" s="192">
        <f t="shared" si="253"/>
        <v>0</v>
      </c>
      <c r="O661" s="192">
        <f t="shared" si="253"/>
        <v>0</v>
      </c>
      <c r="P661" s="192">
        <f t="shared" si="253"/>
        <v>0</v>
      </c>
      <c r="Q661" s="192">
        <f t="shared" si="253"/>
        <v>0</v>
      </c>
      <c r="R661" s="192">
        <f t="shared" si="253"/>
        <v>1020</v>
      </c>
      <c r="S661" s="192">
        <f t="shared" si="253"/>
        <v>0</v>
      </c>
      <c r="T661" s="192">
        <f t="shared" si="253"/>
        <v>1407</v>
      </c>
      <c r="U661"/>
      <c r="V661">
        <f>+PRESUPUESTO22[[#This Row],[EJECUTADO ]]-SUM(PRESUPUESTO22[[#This Row],[   ENERO ]:[DIC]])</f>
        <v>0</v>
      </c>
    </row>
    <row r="662" spans="1:22" ht="17.25" customHeight="1" x14ac:dyDescent="0.25">
      <c r="A662" s="48"/>
      <c r="B662" s="156">
        <v>12020201</v>
      </c>
      <c r="C662" s="130" t="str">
        <f t="shared" si="252"/>
        <v>E-12020201</v>
      </c>
      <c r="D662" s="130">
        <v>612</v>
      </c>
      <c r="E662" s="156" t="s">
        <v>69</v>
      </c>
      <c r="F662" s="216" t="s">
        <v>539</v>
      </c>
      <c r="G662" s="193">
        <v>0</v>
      </c>
      <c r="H662" s="193">
        <v>0</v>
      </c>
      <c r="I662" s="193">
        <v>45</v>
      </c>
      <c r="J662" s="193">
        <v>0</v>
      </c>
      <c r="K662" s="193">
        <v>150</v>
      </c>
      <c r="L662" s="193">
        <v>0</v>
      </c>
      <c r="M662" s="193">
        <v>0</v>
      </c>
      <c r="N662" s="193">
        <v>0</v>
      </c>
      <c r="O662" s="193">
        <v>0</v>
      </c>
      <c r="P662" s="193">
        <v>0</v>
      </c>
      <c r="Q662" s="193">
        <v>0</v>
      </c>
      <c r="R662" s="193">
        <v>0</v>
      </c>
      <c r="S662" s="193">
        <v>0</v>
      </c>
      <c r="T662" s="193">
        <f>SUM(H662:S662)</f>
        <v>195</v>
      </c>
      <c r="U662"/>
      <c r="V662">
        <f>+PRESUPUESTO22[[#This Row],[EJECUTADO ]]-SUM(PRESUPUESTO22[[#This Row],[   ENERO ]:[DIC]])</f>
        <v>0</v>
      </c>
    </row>
    <row r="663" spans="1:22" ht="17.25" customHeight="1" x14ac:dyDescent="0.25">
      <c r="A663" s="48"/>
      <c r="B663" s="137">
        <v>12020202</v>
      </c>
      <c r="C663" s="130" t="str">
        <f t="shared" si="252"/>
        <v>E-12020202</v>
      </c>
      <c r="D663" s="130">
        <v>613</v>
      </c>
      <c r="E663" s="137" t="s">
        <v>69</v>
      </c>
      <c r="F663" s="57" t="s">
        <v>540</v>
      </c>
      <c r="G663" s="193">
        <v>0</v>
      </c>
      <c r="H663" s="193">
        <v>0</v>
      </c>
      <c r="I663" s="193">
        <v>0</v>
      </c>
      <c r="J663" s="193">
        <v>0</v>
      </c>
      <c r="K663" s="193">
        <f>192.11-0.11</f>
        <v>192</v>
      </c>
      <c r="L663" s="193">
        <v>0</v>
      </c>
      <c r="M663" s="193">
        <v>0</v>
      </c>
      <c r="N663" s="193">
        <v>0</v>
      </c>
      <c r="O663" s="193">
        <v>0</v>
      </c>
      <c r="P663" s="193">
        <v>0</v>
      </c>
      <c r="Q663" s="193">
        <v>0</v>
      </c>
      <c r="R663" s="193">
        <v>0</v>
      </c>
      <c r="S663" s="193">
        <v>0</v>
      </c>
      <c r="T663" s="193">
        <f>SUM(H663:S663)</f>
        <v>192</v>
      </c>
      <c r="U663"/>
      <c r="V663">
        <f>+PRESUPUESTO22[[#This Row],[EJECUTADO ]]-SUM(PRESUPUESTO22[[#This Row],[   ENERO ]:[DIC]])</f>
        <v>0</v>
      </c>
    </row>
    <row r="664" spans="1:22" ht="17.25" customHeight="1" x14ac:dyDescent="0.25">
      <c r="A664" s="48"/>
      <c r="B664" s="156">
        <v>12020203</v>
      </c>
      <c r="C664" s="130" t="str">
        <f>"E"&amp;"-0"&amp;B664</f>
        <v>E-012020203</v>
      </c>
      <c r="D664" s="130">
        <v>614</v>
      </c>
      <c r="E664" s="137" t="s">
        <v>69</v>
      </c>
      <c r="F664" s="57" t="s">
        <v>1422</v>
      </c>
      <c r="G664" s="193">
        <v>0</v>
      </c>
      <c r="H664" s="193"/>
      <c r="I664" s="193"/>
      <c r="J664" s="193"/>
      <c r="K664" s="193"/>
      <c r="L664" s="193"/>
      <c r="M664" s="193"/>
      <c r="N664" s="193">
        <v>0</v>
      </c>
      <c r="O664" s="193">
        <v>0</v>
      </c>
      <c r="P664" s="193">
        <v>0</v>
      </c>
      <c r="Q664" s="193">
        <v>0</v>
      </c>
      <c r="R664" s="193">
        <v>1020</v>
      </c>
      <c r="S664" s="193"/>
      <c r="T664" s="193">
        <f>SUM(H664:S664)</f>
        <v>1020</v>
      </c>
      <c r="U664"/>
      <c r="V664">
        <f>+PRESUPUESTO22[[#This Row],[EJECUTADO ]]-SUM(PRESUPUESTO22[[#This Row],[   ENERO ]:[DIC]])</f>
        <v>0</v>
      </c>
    </row>
    <row r="665" spans="1:22" ht="15.95" customHeight="1" x14ac:dyDescent="0.25">
      <c r="A665" s="49">
        <v>13</v>
      </c>
      <c r="B665" s="131">
        <v>13</v>
      </c>
      <c r="C665" s="130" t="str">
        <f t="shared" si="252"/>
        <v>E-13</v>
      </c>
      <c r="D665" s="130">
        <v>615</v>
      </c>
      <c r="E665" s="131" t="s">
        <v>67</v>
      </c>
      <c r="F665" s="50" t="s">
        <v>97</v>
      </c>
      <c r="G665" s="188">
        <f>+G666+G703+G733+G739+11+G742</f>
        <v>925000</v>
      </c>
      <c r="H665" s="188">
        <f t="shared" ref="H665:T665" si="254">+H666+H703+H733+H739+H742</f>
        <v>37651</v>
      </c>
      <c r="I665" s="188">
        <f t="shared" si="254"/>
        <v>77141</v>
      </c>
      <c r="J665" s="188">
        <f t="shared" si="254"/>
        <v>72203</v>
      </c>
      <c r="K665" s="188">
        <f t="shared" si="254"/>
        <v>85874</v>
      </c>
      <c r="L665" s="188">
        <f t="shared" si="254"/>
        <v>75177</v>
      </c>
      <c r="M665" s="188">
        <f t="shared" si="254"/>
        <v>90211</v>
      </c>
      <c r="N665" s="188">
        <f t="shared" si="254"/>
        <v>83769</v>
      </c>
      <c r="O665" s="188">
        <f t="shared" si="254"/>
        <v>68113</v>
      </c>
      <c r="P665" s="188">
        <f t="shared" si="254"/>
        <v>76069</v>
      </c>
      <c r="Q665" s="188">
        <f t="shared" si="254"/>
        <v>89864</v>
      </c>
      <c r="R665" s="188">
        <f t="shared" si="254"/>
        <v>83388</v>
      </c>
      <c r="S665" s="188">
        <f t="shared" si="254"/>
        <v>0</v>
      </c>
      <c r="T665" s="188">
        <f t="shared" si="254"/>
        <v>839460</v>
      </c>
      <c r="U665"/>
      <c r="V665">
        <f>+PRESUPUESTO22[[#This Row],[EJECUTADO ]]-SUM(PRESUPUESTO22[[#This Row],[   ENERO ]:[DIC]])</f>
        <v>0</v>
      </c>
    </row>
    <row r="666" spans="1:22" ht="15.95" customHeight="1" x14ac:dyDescent="0.25">
      <c r="A666" s="51">
        <v>1</v>
      </c>
      <c r="B666" s="157">
        <v>1301</v>
      </c>
      <c r="C666" s="130" t="str">
        <f t="shared" si="252"/>
        <v>E-1301</v>
      </c>
      <c r="D666" s="130">
        <v>616</v>
      </c>
      <c r="E666" s="157" t="s">
        <v>69</v>
      </c>
      <c r="F666" s="219" t="s">
        <v>541</v>
      </c>
      <c r="G666" s="190">
        <f t="shared" ref="G666:T666" si="255">+G667+G669</f>
        <v>433409</v>
      </c>
      <c r="H666" s="190">
        <f t="shared" si="255"/>
        <v>33625</v>
      </c>
      <c r="I666" s="190">
        <f t="shared" si="255"/>
        <v>33755</v>
      </c>
      <c r="J666" s="190">
        <f t="shared" si="255"/>
        <v>34691</v>
      </c>
      <c r="K666" s="190">
        <f t="shared" si="255"/>
        <v>34366</v>
      </c>
      <c r="L666" s="190">
        <f t="shared" si="255"/>
        <v>33967</v>
      </c>
      <c r="M666" s="190">
        <f t="shared" si="255"/>
        <v>33560</v>
      </c>
      <c r="N666" s="190">
        <f t="shared" si="255"/>
        <v>33865</v>
      </c>
      <c r="O666" s="190">
        <f t="shared" si="255"/>
        <v>34633</v>
      </c>
      <c r="P666" s="190">
        <f t="shared" si="255"/>
        <v>33506</v>
      </c>
      <c r="Q666" s="190">
        <f t="shared" si="255"/>
        <v>33938</v>
      </c>
      <c r="R666" s="190">
        <f t="shared" si="255"/>
        <v>33777</v>
      </c>
      <c r="S666" s="190">
        <f t="shared" si="255"/>
        <v>0</v>
      </c>
      <c r="T666" s="190">
        <f t="shared" si="255"/>
        <v>373683</v>
      </c>
      <c r="U666"/>
      <c r="V666">
        <f>+PRESUPUESTO22[[#This Row],[EJECUTADO ]]-SUM(PRESUPUESTO22[[#This Row],[   ENERO ]:[DIC]])</f>
        <v>0</v>
      </c>
    </row>
    <row r="667" spans="1:22" ht="15.95" customHeight="1" x14ac:dyDescent="0.25">
      <c r="A667" s="52">
        <v>11</v>
      </c>
      <c r="B667" s="151">
        <v>130101</v>
      </c>
      <c r="C667" s="130" t="str">
        <f t="shared" si="252"/>
        <v>E-130101</v>
      </c>
      <c r="D667" s="130">
        <v>617</v>
      </c>
      <c r="E667" s="151" t="s">
        <v>69</v>
      </c>
      <c r="F667" s="208" t="s">
        <v>542</v>
      </c>
      <c r="G667" s="192">
        <f>+G668</f>
        <v>112450</v>
      </c>
      <c r="H667" s="192">
        <f>+H668</f>
        <v>8700</v>
      </c>
      <c r="I667" s="192">
        <f t="shared" ref="I667:T667" si="256">+I668</f>
        <v>8690</v>
      </c>
      <c r="J667" s="192">
        <f t="shared" si="256"/>
        <v>8650</v>
      </c>
      <c r="K667" s="192">
        <f t="shared" si="256"/>
        <v>9256</v>
      </c>
      <c r="L667" s="192">
        <f t="shared" si="256"/>
        <v>8650</v>
      </c>
      <c r="M667" s="192">
        <f t="shared" si="256"/>
        <v>8650</v>
      </c>
      <c r="N667" s="192">
        <f t="shared" si="256"/>
        <v>8628</v>
      </c>
      <c r="O667" s="192">
        <f t="shared" si="256"/>
        <v>9256</v>
      </c>
      <c r="P667" s="192">
        <f t="shared" si="256"/>
        <v>8650</v>
      </c>
      <c r="Q667" s="192">
        <f t="shared" si="256"/>
        <v>8650</v>
      </c>
      <c r="R667" s="192">
        <f t="shared" si="256"/>
        <v>8650</v>
      </c>
      <c r="S667" s="192">
        <f t="shared" si="256"/>
        <v>0</v>
      </c>
      <c r="T667" s="192">
        <f t="shared" si="256"/>
        <v>96430</v>
      </c>
      <c r="U667"/>
      <c r="V667">
        <f>+PRESUPUESTO22[[#This Row],[EJECUTADO ]]-SUM(PRESUPUESTO22[[#This Row],[   ENERO ]:[DIC]])</f>
        <v>0</v>
      </c>
    </row>
    <row r="668" spans="1:22" ht="15.95" customHeight="1" x14ac:dyDescent="0.25">
      <c r="A668" s="52"/>
      <c r="B668" s="156">
        <v>13010101</v>
      </c>
      <c r="C668" s="130" t="str">
        <f t="shared" si="252"/>
        <v>E-13010101</v>
      </c>
      <c r="D668" s="130">
        <v>618</v>
      </c>
      <c r="E668" s="156" t="s">
        <v>72</v>
      </c>
      <c r="F668" s="216" t="s">
        <v>543</v>
      </c>
      <c r="G668" s="193">
        <v>112450</v>
      </c>
      <c r="H668" s="193">
        <v>8700</v>
      </c>
      <c r="I668" s="193">
        <f>8550+139.59+0.41</f>
        <v>8690</v>
      </c>
      <c r="J668" s="193">
        <v>8650</v>
      </c>
      <c r="K668" s="193">
        <v>9256</v>
      </c>
      <c r="L668" s="193">
        <v>8650</v>
      </c>
      <c r="M668" s="193">
        <v>8650</v>
      </c>
      <c r="N668" s="193">
        <v>8628</v>
      </c>
      <c r="O668" s="193">
        <v>9256</v>
      </c>
      <c r="P668" s="193">
        <v>8650</v>
      </c>
      <c r="Q668" s="193">
        <v>8650</v>
      </c>
      <c r="R668" s="193">
        <v>8650</v>
      </c>
      <c r="S668" s="193">
        <v>0</v>
      </c>
      <c r="T668" s="193">
        <f>SUM(H668:S668)</f>
        <v>96430</v>
      </c>
      <c r="U668"/>
      <c r="V668">
        <f>+PRESUPUESTO22[[#This Row],[EJECUTADO ]]-SUM(PRESUPUESTO22[[#This Row],[   ENERO ]:[DIC]])</f>
        <v>0</v>
      </c>
    </row>
    <row r="669" spans="1:22" ht="15.95" customHeight="1" x14ac:dyDescent="0.25">
      <c r="A669" s="52">
        <v>12</v>
      </c>
      <c r="B669" s="151">
        <v>130102</v>
      </c>
      <c r="C669" s="130" t="str">
        <f t="shared" si="252"/>
        <v>E-130102</v>
      </c>
      <c r="D669" s="130">
        <v>619</v>
      </c>
      <c r="E669" s="151" t="s">
        <v>69</v>
      </c>
      <c r="F669" s="208" t="s">
        <v>544</v>
      </c>
      <c r="G669" s="192">
        <f t="shared" ref="G669:T669" si="257">+G670+G673+G681+G687</f>
        <v>320959</v>
      </c>
      <c r="H669" s="192">
        <f t="shared" si="257"/>
        <v>24925</v>
      </c>
      <c r="I669" s="192">
        <f t="shared" si="257"/>
        <v>25065</v>
      </c>
      <c r="J669" s="192">
        <f t="shared" si="257"/>
        <v>26041</v>
      </c>
      <c r="K669" s="192">
        <f t="shared" si="257"/>
        <v>25110</v>
      </c>
      <c r="L669" s="192">
        <f t="shared" si="257"/>
        <v>25317</v>
      </c>
      <c r="M669" s="192">
        <f t="shared" si="257"/>
        <v>24910</v>
      </c>
      <c r="N669" s="192">
        <f t="shared" si="257"/>
        <v>25237</v>
      </c>
      <c r="O669" s="192">
        <f t="shared" si="257"/>
        <v>25377</v>
      </c>
      <c r="P669" s="192">
        <f t="shared" si="257"/>
        <v>24856</v>
      </c>
      <c r="Q669" s="192">
        <f t="shared" si="257"/>
        <v>25288</v>
      </c>
      <c r="R669" s="192">
        <f t="shared" si="257"/>
        <v>25127</v>
      </c>
      <c r="S669" s="192">
        <f t="shared" si="257"/>
        <v>0</v>
      </c>
      <c r="T669" s="192">
        <f t="shared" si="257"/>
        <v>277253</v>
      </c>
      <c r="U669"/>
      <c r="V669">
        <f>+PRESUPUESTO22[[#This Row],[EJECUTADO ]]-SUM(PRESUPUESTO22[[#This Row],[   ENERO ]:[DIC]])</f>
        <v>0</v>
      </c>
    </row>
    <row r="670" spans="1:22" ht="15.95" customHeight="1" x14ac:dyDescent="0.25">
      <c r="A670" s="52">
        <v>1</v>
      </c>
      <c r="B670" s="163">
        <v>13010201</v>
      </c>
      <c r="C670" s="130" t="str">
        <f t="shared" si="252"/>
        <v>E-13010201</v>
      </c>
      <c r="D670" s="130">
        <v>620</v>
      </c>
      <c r="E670" s="163" t="s">
        <v>69</v>
      </c>
      <c r="F670" s="224" t="s">
        <v>545</v>
      </c>
      <c r="G670" s="106">
        <f t="shared" ref="G670:T670" si="258">SUM(G671:G672)</f>
        <v>6000</v>
      </c>
      <c r="H670" s="106">
        <f t="shared" si="258"/>
        <v>61</v>
      </c>
      <c r="I670" s="106">
        <f t="shared" si="258"/>
        <v>50</v>
      </c>
      <c r="J670" s="106">
        <f t="shared" si="258"/>
        <v>253</v>
      </c>
      <c r="K670" s="106">
        <f t="shared" si="258"/>
        <v>112</v>
      </c>
      <c r="L670" s="106">
        <f t="shared" si="258"/>
        <v>3</v>
      </c>
      <c r="M670" s="106">
        <f t="shared" si="258"/>
        <v>49</v>
      </c>
      <c r="N670" s="106">
        <f t="shared" si="258"/>
        <v>27</v>
      </c>
      <c r="O670" s="106">
        <f t="shared" si="258"/>
        <v>71</v>
      </c>
      <c r="P670" s="106">
        <f t="shared" si="258"/>
        <v>37</v>
      </c>
      <c r="Q670" s="106">
        <f t="shared" si="258"/>
        <v>105</v>
      </c>
      <c r="R670" s="106">
        <f t="shared" si="258"/>
        <v>103</v>
      </c>
      <c r="S670" s="106">
        <f t="shared" si="258"/>
        <v>0</v>
      </c>
      <c r="T670" s="106">
        <f t="shared" si="258"/>
        <v>871</v>
      </c>
      <c r="U670"/>
      <c r="V670">
        <f>+PRESUPUESTO22[[#This Row],[EJECUTADO ]]-SUM(PRESUPUESTO22[[#This Row],[   ENERO ]:[DIC]])</f>
        <v>0</v>
      </c>
    </row>
    <row r="671" spans="1:22" ht="15.95" customHeight="1" x14ac:dyDescent="0.25">
      <c r="A671" s="52"/>
      <c r="B671" s="156">
        <v>1301020101</v>
      </c>
      <c r="C671" s="130" t="str">
        <f t="shared" si="252"/>
        <v>E-1301020101</v>
      </c>
      <c r="D671" s="130">
        <v>621</v>
      </c>
      <c r="E671" s="156" t="s">
        <v>72</v>
      </c>
      <c r="F671" s="216" t="s">
        <v>546</v>
      </c>
      <c r="G671" s="193">
        <v>3000</v>
      </c>
      <c r="H671" s="193">
        <f>43.02+17.9+0.08</f>
        <v>61</v>
      </c>
      <c r="I671" s="193">
        <f>50.4-0.4</f>
        <v>50</v>
      </c>
      <c r="J671" s="193">
        <f>212.45+40.86-0.31</f>
        <v>253</v>
      </c>
      <c r="K671" s="193">
        <f>111.53+0.47</f>
        <v>112</v>
      </c>
      <c r="L671" s="193">
        <v>0</v>
      </c>
      <c r="M671" s="193">
        <f>24.27+17.2+7.75-0.22</f>
        <v>49</v>
      </c>
      <c r="N671" s="193">
        <f>26.98+0.02</f>
        <v>27</v>
      </c>
      <c r="O671" s="193">
        <f>30.6+39.83+0.57</f>
        <v>71</v>
      </c>
      <c r="P671" s="193">
        <f>37.33-0.33</f>
        <v>37</v>
      </c>
      <c r="Q671" s="193">
        <f>43.39+61.8-0.19</f>
        <v>105</v>
      </c>
      <c r="R671" s="193">
        <f>40.18+30.6+0.22</f>
        <v>71</v>
      </c>
      <c r="S671" s="193">
        <v>0</v>
      </c>
      <c r="T671" s="193">
        <f>SUM(H671:S671)</f>
        <v>836</v>
      </c>
      <c r="U671"/>
      <c r="V671">
        <f>+PRESUPUESTO22[[#This Row],[EJECUTADO ]]-SUM(PRESUPUESTO22[[#This Row],[   ENERO ]:[DIC]])</f>
        <v>0</v>
      </c>
    </row>
    <row r="672" spans="1:22" ht="15.95" customHeight="1" x14ac:dyDescent="0.25">
      <c r="A672" s="52"/>
      <c r="B672" s="156">
        <v>1301020102</v>
      </c>
      <c r="C672" s="130" t="str">
        <f t="shared" si="252"/>
        <v>E-1301020102</v>
      </c>
      <c r="D672" s="130">
        <v>622</v>
      </c>
      <c r="E672" s="156" t="s">
        <v>72</v>
      </c>
      <c r="F672" s="216" t="s">
        <v>547</v>
      </c>
      <c r="G672" s="193">
        <v>3000</v>
      </c>
      <c r="H672" s="193">
        <v>0</v>
      </c>
      <c r="I672" s="193">
        <v>0</v>
      </c>
      <c r="J672" s="193">
        <v>0</v>
      </c>
      <c r="K672" s="193">
        <v>0</v>
      </c>
      <c r="L672" s="193">
        <v>3</v>
      </c>
      <c r="M672" s="193">
        <v>0</v>
      </c>
      <c r="N672" s="193">
        <v>0</v>
      </c>
      <c r="O672" s="193">
        <v>0</v>
      </c>
      <c r="P672" s="193">
        <v>0</v>
      </c>
      <c r="Q672" s="193">
        <v>0</v>
      </c>
      <c r="R672" s="193">
        <f>10.62+21.47-0.09</f>
        <v>31.999999999999996</v>
      </c>
      <c r="S672" s="193">
        <v>0</v>
      </c>
      <c r="T672" s="193">
        <f>SUM(H672:S672)</f>
        <v>35</v>
      </c>
      <c r="U672"/>
      <c r="V672">
        <f>+PRESUPUESTO22[[#This Row],[EJECUTADO ]]-SUM(PRESUPUESTO22[[#This Row],[   ENERO ]:[DIC]])</f>
        <v>0</v>
      </c>
    </row>
    <row r="673" spans="1:24" ht="15.95" customHeight="1" x14ac:dyDescent="0.25">
      <c r="A673" s="52">
        <v>2</v>
      </c>
      <c r="B673" s="163">
        <v>13010202</v>
      </c>
      <c r="C673" s="130" t="str">
        <f t="shared" si="252"/>
        <v>E-13010202</v>
      </c>
      <c r="D673" s="130">
        <v>623</v>
      </c>
      <c r="E673" s="163" t="s">
        <v>69</v>
      </c>
      <c r="F673" s="224" t="s">
        <v>164</v>
      </c>
      <c r="G673" s="106">
        <f t="shared" ref="G673:T673" si="259">SUM(G674:G680)</f>
        <v>18250</v>
      </c>
      <c r="H673" s="106">
        <f t="shared" si="259"/>
        <v>707</v>
      </c>
      <c r="I673" s="106">
        <f t="shared" si="259"/>
        <v>480</v>
      </c>
      <c r="J673" s="106">
        <f t="shared" si="259"/>
        <v>1252</v>
      </c>
      <c r="K673" s="106">
        <f t="shared" si="259"/>
        <v>636</v>
      </c>
      <c r="L673" s="106">
        <f t="shared" si="259"/>
        <v>873</v>
      </c>
      <c r="M673" s="106">
        <f t="shared" si="259"/>
        <v>758</v>
      </c>
      <c r="N673" s="106">
        <f t="shared" si="259"/>
        <v>1303</v>
      </c>
      <c r="O673" s="106">
        <f t="shared" si="259"/>
        <v>1416</v>
      </c>
      <c r="P673" s="106">
        <f t="shared" si="259"/>
        <v>775</v>
      </c>
      <c r="Q673" s="106">
        <f t="shared" si="259"/>
        <v>1079</v>
      </c>
      <c r="R673" s="106">
        <f t="shared" si="259"/>
        <v>894</v>
      </c>
      <c r="S673" s="106">
        <f t="shared" si="259"/>
        <v>0</v>
      </c>
      <c r="T673" s="106">
        <f t="shared" si="259"/>
        <v>10173</v>
      </c>
      <c r="U673"/>
      <c r="V673">
        <f>+PRESUPUESTO22[[#This Row],[EJECUTADO ]]-SUM(PRESUPUESTO22[[#This Row],[   ENERO ]:[DIC]])</f>
        <v>0</v>
      </c>
    </row>
    <row r="674" spans="1:24" ht="18.75" customHeight="1" x14ac:dyDescent="0.25">
      <c r="A674" s="52"/>
      <c r="B674" s="156">
        <v>1301020201</v>
      </c>
      <c r="C674" s="130" t="str">
        <f t="shared" si="252"/>
        <v>E-1301020201</v>
      </c>
      <c r="D674" s="130">
        <v>624</v>
      </c>
      <c r="E674" s="156" t="s">
        <v>72</v>
      </c>
      <c r="F674" s="216" t="s">
        <v>548</v>
      </c>
      <c r="G674" s="193">
        <v>1700</v>
      </c>
      <c r="H674" s="193">
        <v>0</v>
      </c>
      <c r="I674" s="193">
        <v>0</v>
      </c>
      <c r="J674" s="193">
        <v>0</v>
      </c>
      <c r="K674" s="193">
        <v>0</v>
      </c>
      <c r="L674" s="193">
        <f>107.35-0.35</f>
        <v>107</v>
      </c>
      <c r="M674" s="193">
        <v>0</v>
      </c>
      <c r="N674" s="193">
        <f>545.4-0.4</f>
        <v>545</v>
      </c>
      <c r="O674" s="193">
        <v>0</v>
      </c>
      <c r="P674" s="193">
        <v>0</v>
      </c>
      <c r="Q674" s="193">
        <v>0</v>
      </c>
      <c r="R674" s="193">
        <v>0</v>
      </c>
      <c r="S674" s="193">
        <v>0</v>
      </c>
      <c r="T674" s="193">
        <f t="shared" ref="T674:T680" si="260">SUM(H674:S674)</f>
        <v>652</v>
      </c>
      <c r="U674"/>
      <c r="V674">
        <f>+PRESUPUESTO22[[#This Row],[EJECUTADO ]]-SUM(PRESUPUESTO22[[#This Row],[   ENERO ]:[DIC]])</f>
        <v>0</v>
      </c>
      <c r="W674" s="7" t="s">
        <v>1</v>
      </c>
    </row>
    <row r="675" spans="1:24" ht="15.95" customHeight="1" x14ac:dyDescent="0.25">
      <c r="A675" s="52"/>
      <c r="B675" s="156">
        <v>1301020202</v>
      </c>
      <c r="C675" s="130" t="str">
        <f t="shared" si="252"/>
        <v>E-1301020202</v>
      </c>
      <c r="D675" s="130">
        <v>625</v>
      </c>
      <c r="E675" s="156" t="s">
        <v>72</v>
      </c>
      <c r="F675" s="216" t="s">
        <v>549</v>
      </c>
      <c r="G675" s="193">
        <v>1300</v>
      </c>
      <c r="H675" s="193">
        <v>0</v>
      </c>
      <c r="I675" s="193">
        <v>0</v>
      </c>
      <c r="J675" s="193">
        <v>0</v>
      </c>
      <c r="K675" s="193">
        <v>0</v>
      </c>
      <c r="L675" s="193">
        <v>0</v>
      </c>
      <c r="M675" s="193">
        <v>0</v>
      </c>
      <c r="N675" s="193">
        <v>0</v>
      </c>
      <c r="O675" s="193">
        <v>0</v>
      </c>
      <c r="P675" s="193">
        <v>0</v>
      </c>
      <c r="Q675" s="193">
        <v>0</v>
      </c>
      <c r="R675" s="193">
        <v>0</v>
      </c>
      <c r="S675" s="193">
        <v>0</v>
      </c>
      <c r="T675" s="193">
        <f t="shared" si="260"/>
        <v>0</v>
      </c>
      <c r="U675"/>
      <c r="V675">
        <f>+PRESUPUESTO22[[#This Row],[EJECUTADO ]]-SUM(PRESUPUESTO22[[#This Row],[   ENERO ]:[DIC]])</f>
        <v>0</v>
      </c>
    </row>
    <row r="676" spans="1:24" ht="16.5" customHeight="1" x14ac:dyDescent="0.25">
      <c r="A676" s="52" t="s">
        <v>1</v>
      </c>
      <c r="B676" s="156">
        <v>1301020203</v>
      </c>
      <c r="C676" s="130" t="str">
        <f t="shared" si="252"/>
        <v>E-1301020203</v>
      </c>
      <c r="D676" s="130">
        <v>626</v>
      </c>
      <c r="E676" s="156" t="s">
        <v>72</v>
      </c>
      <c r="F676" s="216" t="s">
        <v>550</v>
      </c>
      <c r="G676" s="193">
        <v>1600</v>
      </c>
      <c r="H676" s="193">
        <v>130</v>
      </c>
      <c r="I676" s="193">
        <v>130</v>
      </c>
      <c r="J676" s="193">
        <f>130.4+271.2+0.4</f>
        <v>402</v>
      </c>
      <c r="K676" s="193">
        <v>130</v>
      </c>
      <c r="L676" s="193">
        <v>130</v>
      </c>
      <c r="M676" s="193">
        <v>130</v>
      </c>
      <c r="N676" s="193">
        <v>130</v>
      </c>
      <c r="O676" s="193">
        <f>130+708.59+0.41</f>
        <v>839</v>
      </c>
      <c r="P676" s="193">
        <f>130.4-0.4</f>
        <v>130</v>
      </c>
      <c r="Q676" s="193">
        <f>130.4-0.4</f>
        <v>130</v>
      </c>
      <c r="R676" s="193">
        <f>130.4-0.4</f>
        <v>130</v>
      </c>
      <c r="S676" s="193">
        <v>0</v>
      </c>
      <c r="T676" s="193">
        <f t="shared" si="260"/>
        <v>2411</v>
      </c>
      <c r="U676"/>
      <c r="V676">
        <f>+PRESUPUESTO22[[#This Row],[EJECUTADO ]]-SUM(PRESUPUESTO22[[#This Row],[   ENERO ]:[DIC]])</f>
        <v>0</v>
      </c>
    </row>
    <row r="677" spans="1:24" ht="25.5" customHeight="1" x14ac:dyDescent="0.25">
      <c r="A677" s="52"/>
      <c r="B677" s="156">
        <v>1301020204</v>
      </c>
      <c r="C677" s="130" t="str">
        <f t="shared" si="252"/>
        <v>E-1301020204</v>
      </c>
      <c r="D677" s="130">
        <v>627</v>
      </c>
      <c r="E677" s="156" t="s">
        <v>72</v>
      </c>
      <c r="F677" s="216" t="s">
        <v>551</v>
      </c>
      <c r="G677" s="193">
        <v>2400</v>
      </c>
      <c r="H677" s="193">
        <v>271</v>
      </c>
      <c r="I677" s="193">
        <v>0</v>
      </c>
      <c r="J677" s="193">
        <f>480.25-0.25</f>
        <v>480</v>
      </c>
      <c r="K677" s="193">
        <v>271</v>
      </c>
      <c r="L677" s="193">
        <v>271</v>
      </c>
      <c r="M677" s="193">
        <v>271</v>
      </c>
      <c r="N677" s="193">
        <v>271</v>
      </c>
      <c r="O677" s="193">
        <v>271</v>
      </c>
      <c r="P677" s="193">
        <v>271</v>
      </c>
      <c r="Q677" s="193">
        <v>271</v>
      </c>
      <c r="R677" s="193">
        <v>271</v>
      </c>
      <c r="S677" s="193">
        <v>0</v>
      </c>
      <c r="T677" s="193">
        <f t="shared" si="260"/>
        <v>2919</v>
      </c>
      <c r="U677"/>
      <c r="V677">
        <f>+PRESUPUESTO22[[#This Row],[EJECUTADO ]]-SUM(PRESUPUESTO22[[#This Row],[   ENERO ]:[DIC]])</f>
        <v>0</v>
      </c>
    </row>
    <row r="678" spans="1:24" ht="15.95" customHeight="1" x14ac:dyDescent="0.25">
      <c r="A678" s="52" t="s">
        <v>1</v>
      </c>
      <c r="B678" s="156">
        <v>1301020205</v>
      </c>
      <c r="C678" s="130" t="str">
        <f t="shared" si="252"/>
        <v>E-1301020205</v>
      </c>
      <c r="D678" s="130">
        <v>628</v>
      </c>
      <c r="E678" s="156" t="s">
        <v>72</v>
      </c>
      <c r="F678" s="216" t="s">
        <v>552</v>
      </c>
      <c r="G678" s="193">
        <v>3275</v>
      </c>
      <c r="H678" s="193">
        <f>125+9.75+0.25</f>
        <v>135</v>
      </c>
      <c r="I678" s="193">
        <f>125+29.97+0.03</f>
        <v>155</v>
      </c>
      <c r="J678" s="193">
        <f>125+74.2+3-0.2</f>
        <v>202</v>
      </c>
      <c r="K678" s="193">
        <v>125</v>
      </c>
      <c r="L678" s="193">
        <v>125</v>
      </c>
      <c r="M678" s="193">
        <v>125</v>
      </c>
      <c r="N678" s="193">
        <v>125</v>
      </c>
      <c r="O678" s="193">
        <v>125</v>
      </c>
      <c r="P678" s="193">
        <v>125</v>
      </c>
      <c r="Q678" s="193">
        <v>125</v>
      </c>
      <c r="R678" s="193">
        <v>125</v>
      </c>
      <c r="S678" s="193">
        <v>0</v>
      </c>
      <c r="T678" s="193">
        <f t="shared" si="260"/>
        <v>1492</v>
      </c>
      <c r="U678"/>
      <c r="V678">
        <f>+PRESUPUESTO22[[#This Row],[EJECUTADO ]]-SUM(PRESUPUESTO22[[#This Row],[   ENERO ]:[DIC]])</f>
        <v>0</v>
      </c>
    </row>
    <row r="679" spans="1:24" ht="15.95" customHeight="1" x14ac:dyDescent="0.25">
      <c r="A679" s="52"/>
      <c r="B679" s="156">
        <v>1301020206</v>
      </c>
      <c r="C679" s="130" t="str">
        <f t="shared" si="252"/>
        <v>E-1301020206</v>
      </c>
      <c r="D679" s="130">
        <v>629</v>
      </c>
      <c r="E679" s="156" t="s">
        <v>72</v>
      </c>
      <c r="F679" s="216" t="s">
        <v>553</v>
      </c>
      <c r="G679" s="193">
        <v>6600</v>
      </c>
      <c r="H679" s="193">
        <f>143.25-0.25</f>
        <v>143</v>
      </c>
      <c r="I679" s="193">
        <f>158.2-0.2</f>
        <v>158</v>
      </c>
      <c r="J679" s="193">
        <f>86.66+0.34</f>
        <v>87</v>
      </c>
      <c r="K679" s="193">
        <f>34.95+0.05</f>
        <v>35</v>
      </c>
      <c r="L679" s="193">
        <f>199.9+0.1</f>
        <v>200</v>
      </c>
      <c r="M679" s="193">
        <f>207.54+0.46</f>
        <v>208</v>
      </c>
      <c r="N679" s="193">
        <f>207.54+0.46</f>
        <v>208</v>
      </c>
      <c r="O679" s="193">
        <v>0</v>
      </c>
      <c r="P679" s="193">
        <f>47.3-0.3</f>
        <v>47</v>
      </c>
      <c r="Q679" s="193">
        <f>109.07+395.71+47.9+0.32</f>
        <v>553</v>
      </c>
      <c r="R679" s="193">
        <f>240+127.96+0.04</f>
        <v>368</v>
      </c>
      <c r="S679" s="193">
        <v>0</v>
      </c>
      <c r="T679" s="193">
        <f t="shared" si="260"/>
        <v>2007</v>
      </c>
      <c r="U679"/>
      <c r="V679">
        <f>+PRESUPUESTO22[[#This Row],[EJECUTADO ]]-SUM(PRESUPUESTO22[[#This Row],[   ENERO ]:[DIC]])</f>
        <v>0</v>
      </c>
    </row>
    <row r="680" spans="1:24" ht="15.95" customHeight="1" x14ac:dyDescent="0.25">
      <c r="A680" s="52"/>
      <c r="B680" s="156">
        <v>1301020207</v>
      </c>
      <c r="C680" s="130" t="str">
        <f t="shared" si="252"/>
        <v>E-1301020207</v>
      </c>
      <c r="D680" s="130">
        <v>630</v>
      </c>
      <c r="E680" s="156" t="s">
        <v>72</v>
      </c>
      <c r="F680" s="216" t="s">
        <v>554</v>
      </c>
      <c r="G680" s="193">
        <v>1375</v>
      </c>
      <c r="H680" s="193">
        <f>28.49-0.49</f>
        <v>28</v>
      </c>
      <c r="I680" s="193">
        <f>36.9+0.1</f>
        <v>37</v>
      </c>
      <c r="J680" s="193">
        <f>80.61+0.39</f>
        <v>81</v>
      </c>
      <c r="K680" s="193">
        <f>74.54+0.46</f>
        <v>75</v>
      </c>
      <c r="L680" s="193">
        <f>40.24-0.24</f>
        <v>40</v>
      </c>
      <c r="M680" s="193">
        <f>24.27-0.27</f>
        <v>24</v>
      </c>
      <c r="N680" s="193">
        <f>24.27-0.27</f>
        <v>24</v>
      </c>
      <c r="O680" s="193">
        <f>180.63+0.37</f>
        <v>181</v>
      </c>
      <c r="P680" s="193">
        <f>201.5+0.5</f>
        <v>202</v>
      </c>
      <c r="Q680" s="193">
        <v>0</v>
      </c>
      <c r="R680" s="193">
        <v>0</v>
      </c>
      <c r="S680" s="193">
        <v>0</v>
      </c>
      <c r="T680" s="193">
        <f t="shared" si="260"/>
        <v>692</v>
      </c>
      <c r="U680"/>
      <c r="V680">
        <f>+PRESUPUESTO22[[#This Row],[EJECUTADO ]]-SUM(PRESUPUESTO22[[#This Row],[   ENERO ]:[DIC]])</f>
        <v>0</v>
      </c>
    </row>
    <row r="681" spans="1:24" ht="15.95" customHeight="1" x14ac:dyDescent="0.25">
      <c r="A681" s="52">
        <v>3</v>
      </c>
      <c r="B681" s="163">
        <v>13010203</v>
      </c>
      <c r="C681" s="130" t="str">
        <f t="shared" si="252"/>
        <v>E-13010203</v>
      </c>
      <c r="D681" s="130">
        <v>631</v>
      </c>
      <c r="E681" s="163" t="s">
        <v>69</v>
      </c>
      <c r="F681" s="224" t="s">
        <v>555</v>
      </c>
      <c r="G681" s="106">
        <f t="shared" ref="G681:T681" si="261">SUM(G682:G686)</f>
        <v>48436</v>
      </c>
      <c r="H681" s="106">
        <f t="shared" si="261"/>
        <v>3469</v>
      </c>
      <c r="I681" s="106">
        <f t="shared" si="261"/>
        <v>3847</v>
      </c>
      <c r="J681" s="106">
        <f t="shared" si="261"/>
        <v>3848</v>
      </c>
      <c r="K681" s="106">
        <f t="shared" si="261"/>
        <v>3674</v>
      </c>
      <c r="L681" s="106">
        <f t="shared" si="261"/>
        <v>3753</v>
      </c>
      <c r="M681" s="106">
        <f t="shared" si="261"/>
        <v>3415</v>
      </c>
      <c r="N681" s="106">
        <f t="shared" si="261"/>
        <v>3219</v>
      </c>
      <c r="O681" s="106">
        <f t="shared" si="261"/>
        <v>3202</v>
      </c>
      <c r="P681" s="106">
        <f t="shared" si="261"/>
        <v>3356</v>
      </c>
      <c r="Q681" s="106">
        <f t="shared" si="261"/>
        <v>3416</v>
      </c>
      <c r="R681" s="106">
        <f t="shared" si="261"/>
        <v>3442</v>
      </c>
      <c r="S681" s="106">
        <f t="shared" si="261"/>
        <v>0</v>
      </c>
      <c r="T681" s="106">
        <f t="shared" si="261"/>
        <v>38641</v>
      </c>
      <c r="U681"/>
      <c r="V681">
        <f>+PRESUPUESTO22[[#This Row],[EJECUTADO ]]-SUM(PRESUPUESTO22[[#This Row],[   ENERO ]:[DIC]])</f>
        <v>0</v>
      </c>
    </row>
    <row r="682" spans="1:24" ht="15.95" customHeight="1" x14ac:dyDescent="0.25">
      <c r="A682" s="52"/>
      <c r="B682" s="156">
        <v>1301020301</v>
      </c>
      <c r="C682" s="130" t="str">
        <f t="shared" si="252"/>
        <v>E-1301020301</v>
      </c>
      <c r="D682" s="130">
        <v>632</v>
      </c>
      <c r="E682" s="156" t="s">
        <v>72</v>
      </c>
      <c r="F682" s="216" t="s">
        <v>556</v>
      </c>
      <c r="G682" s="193">
        <v>6900</v>
      </c>
      <c r="H682" s="193">
        <f>489.72+0.28</f>
        <v>490</v>
      </c>
      <c r="I682" s="193">
        <f>899.87+0.13</f>
        <v>900</v>
      </c>
      <c r="J682" s="193">
        <v>800</v>
      </c>
      <c r="K682" s="193">
        <f>595.92+0.08</f>
        <v>596</v>
      </c>
      <c r="L682" s="193">
        <v>595</v>
      </c>
      <c r="M682" s="193">
        <f>169.24-0.24</f>
        <v>169</v>
      </c>
      <c r="N682" s="193">
        <f>39.8+0.2</f>
        <v>40</v>
      </c>
      <c r="O682" s="193">
        <v>22</v>
      </c>
      <c r="P682" s="193">
        <f>150.48-0.48</f>
        <v>150</v>
      </c>
      <c r="Q682" s="193">
        <v>150</v>
      </c>
      <c r="R682" s="193">
        <v>150</v>
      </c>
      <c r="S682" s="193">
        <v>0</v>
      </c>
      <c r="T682" s="193">
        <f>SUM(H682:S682)</f>
        <v>4062</v>
      </c>
      <c r="U682"/>
      <c r="V682">
        <f>+PRESUPUESTO22[[#This Row],[EJECUTADO ]]-SUM(PRESUPUESTO22[[#This Row],[   ENERO ]:[DIC]])</f>
        <v>0</v>
      </c>
    </row>
    <row r="683" spans="1:24" ht="15.95" customHeight="1" x14ac:dyDescent="0.25">
      <c r="A683" s="52" t="s">
        <v>1</v>
      </c>
      <c r="B683" s="156">
        <v>1301020302</v>
      </c>
      <c r="C683" s="130" t="str">
        <f t="shared" si="252"/>
        <v>E-1301020302</v>
      </c>
      <c r="D683" s="130">
        <v>633</v>
      </c>
      <c r="E683" s="156" t="s">
        <v>72</v>
      </c>
      <c r="F683" s="216" t="s">
        <v>557</v>
      </c>
      <c r="G683" s="193">
        <v>14200</v>
      </c>
      <c r="H683" s="193">
        <f>943.72+0.28</f>
        <v>944</v>
      </c>
      <c r="I683" s="193">
        <f>912.05-0.05</f>
        <v>912</v>
      </c>
      <c r="J683" s="193">
        <f>1012.82+0.18</f>
        <v>1013</v>
      </c>
      <c r="K683" s="193">
        <f>1043.24-0.24</f>
        <v>1043</v>
      </c>
      <c r="L683" s="193">
        <f>1123.38-0.38</f>
        <v>1123</v>
      </c>
      <c r="M683" s="193">
        <f>1211.05-0.05</f>
        <v>1211</v>
      </c>
      <c r="N683" s="193">
        <f>1143.65+0.35</f>
        <v>1144</v>
      </c>
      <c r="O683" s="193">
        <v>1144</v>
      </c>
      <c r="P683" s="193">
        <f>1170.46-0.46</f>
        <v>1170</v>
      </c>
      <c r="Q683" s="193">
        <f>1.49+1229.51</f>
        <v>1231</v>
      </c>
      <c r="R683" s="193">
        <f>1256.67+0.33</f>
        <v>1257</v>
      </c>
      <c r="S683" s="193">
        <v>0</v>
      </c>
      <c r="T683" s="193">
        <f>SUM(H683:S683)</f>
        <v>12192</v>
      </c>
      <c r="U683"/>
      <c r="V683">
        <f>+PRESUPUESTO22[[#This Row],[EJECUTADO ]]-SUM(PRESUPUESTO22[[#This Row],[   ENERO ]:[DIC]])</f>
        <v>0</v>
      </c>
    </row>
    <row r="684" spans="1:24" ht="15.95" customHeight="1" x14ac:dyDescent="0.25">
      <c r="A684" s="52" t="s">
        <v>1</v>
      </c>
      <c r="B684" s="156">
        <v>1301020303</v>
      </c>
      <c r="C684" s="130" t="str">
        <f t="shared" si="252"/>
        <v>E-1301020303</v>
      </c>
      <c r="D684" s="130">
        <v>634</v>
      </c>
      <c r="E684" s="156" t="s">
        <v>72</v>
      </c>
      <c r="F684" s="216" t="s">
        <v>558</v>
      </c>
      <c r="G684" s="193">
        <v>15600</v>
      </c>
      <c r="H684" s="193">
        <f>1293.38-0.38</f>
        <v>1293</v>
      </c>
      <c r="I684" s="193">
        <v>1293</v>
      </c>
      <c r="J684" s="193">
        <v>1293</v>
      </c>
      <c r="K684" s="193">
        <v>1293</v>
      </c>
      <c r="L684" s="193">
        <v>1293</v>
      </c>
      <c r="M684" s="193">
        <v>1293</v>
      </c>
      <c r="N684" s="193">
        <v>1293</v>
      </c>
      <c r="O684" s="193">
        <f>1293+1.49-0.49</f>
        <v>1294</v>
      </c>
      <c r="P684" s="193">
        <f>1293+1.49-0.49</f>
        <v>1294</v>
      </c>
      <c r="Q684" s="193">
        <v>1293</v>
      </c>
      <c r="R684" s="193">
        <v>1293</v>
      </c>
      <c r="S684" s="193">
        <v>0</v>
      </c>
      <c r="T684" s="193">
        <f>SUM(H684:S684)</f>
        <v>14225</v>
      </c>
      <c r="U684"/>
      <c r="V684">
        <f>+PRESUPUESTO22[[#This Row],[EJECUTADO ]]-SUM(PRESUPUESTO22[[#This Row],[   ENERO ]:[DIC]])</f>
        <v>0</v>
      </c>
    </row>
    <row r="685" spans="1:24" ht="15.95" customHeight="1" x14ac:dyDescent="0.25">
      <c r="A685" s="52"/>
      <c r="B685" s="156">
        <v>1301020304</v>
      </c>
      <c r="C685" s="130" t="str">
        <f t="shared" si="252"/>
        <v>E-1301020304</v>
      </c>
      <c r="D685" s="130">
        <v>635</v>
      </c>
      <c r="E685" s="156" t="s">
        <v>72</v>
      </c>
      <c r="F685" s="216" t="s">
        <v>559</v>
      </c>
      <c r="G685" s="193">
        <v>6900</v>
      </c>
      <c r="H685" s="193">
        <f>338.99+0.01</f>
        <v>339</v>
      </c>
      <c r="I685" s="193">
        <v>339</v>
      </c>
      <c r="J685" s="193">
        <v>339</v>
      </c>
      <c r="K685" s="193">
        <v>339</v>
      </c>
      <c r="L685" s="193">
        <v>339</v>
      </c>
      <c r="M685" s="193">
        <v>339</v>
      </c>
      <c r="N685" s="193">
        <v>339</v>
      </c>
      <c r="O685" s="193">
        <v>339</v>
      </c>
      <c r="P685" s="193">
        <v>339</v>
      </c>
      <c r="Q685" s="193">
        <v>339</v>
      </c>
      <c r="R685" s="193">
        <v>339</v>
      </c>
      <c r="S685" s="193">
        <v>0</v>
      </c>
      <c r="T685" s="193">
        <f>SUM(H685:S685)</f>
        <v>3729</v>
      </c>
      <c r="U685"/>
      <c r="V685">
        <f>+PRESUPUESTO22[[#This Row],[EJECUTADO ]]-SUM(PRESUPUESTO22[[#This Row],[   ENERO ]:[DIC]])</f>
        <v>0</v>
      </c>
      <c r="W685" s="7" t="s">
        <v>1</v>
      </c>
    </row>
    <row r="686" spans="1:24" ht="15.95" customHeight="1" x14ac:dyDescent="0.25">
      <c r="A686" s="52"/>
      <c r="B686" s="156">
        <v>1301020305</v>
      </c>
      <c r="C686" s="130" t="str">
        <f t="shared" si="252"/>
        <v>E-1301020305</v>
      </c>
      <c r="D686" s="130">
        <v>636</v>
      </c>
      <c r="E686" s="156" t="s">
        <v>72</v>
      </c>
      <c r="F686" s="216" t="s">
        <v>560</v>
      </c>
      <c r="G686" s="193">
        <v>4836</v>
      </c>
      <c r="H686" s="193">
        <f>403.04-0.04</f>
        <v>403</v>
      </c>
      <c r="I686" s="193">
        <v>403</v>
      </c>
      <c r="J686" s="193">
        <v>403</v>
      </c>
      <c r="K686" s="193">
        <v>403</v>
      </c>
      <c r="L686" s="193">
        <v>403</v>
      </c>
      <c r="M686" s="193">
        <v>403</v>
      </c>
      <c r="N686" s="193">
        <v>403</v>
      </c>
      <c r="O686" s="193">
        <v>403</v>
      </c>
      <c r="P686" s="193">
        <v>403</v>
      </c>
      <c r="Q686" s="193">
        <v>403</v>
      </c>
      <c r="R686" s="193">
        <v>403</v>
      </c>
      <c r="S686" s="193">
        <v>0</v>
      </c>
      <c r="T686" s="193">
        <f>SUM(H686:S686)</f>
        <v>4433</v>
      </c>
      <c r="U686"/>
      <c r="V686">
        <f>+PRESUPUESTO22[[#This Row],[EJECUTADO ]]-SUM(PRESUPUESTO22[[#This Row],[   ENERO ]:[DIC]])</f>
        <v>0</v>
      </c>
      <c r="W686"/>
      <c r="X686"/>
    </row>
    <row r="687" spans="1:24" ht="15.95" customHeight="1" x14ac:dyDescent="0.25">
      <c r="A687" s="52">
        <v>4</v>
      </c>
      <c r="B687" s="163">
        <v>13010204</v>
      </c>
      <c r="C687" s="130" t="str">
        <f t="shared" si="252"/>
        <v>E-13010204</v>
      </c>
      <c r="D687" s="130">
        <v>637</v>
      </c>
      <c r="E687" s="163" t="s">
        <v>69</v>
      </c>
      <c r="F687" s="224" t="s">
        <v>561</v>
      </c>
      <c r="G687" s="106">
        <f>+G688+G692</f>
        <v>248273</v>
      </c>
      <c r="H687" s="106">
        <f t="shared" ref="H687:T687" si="262">+H688+H692</f>
        <v>20688</v>
      </c>
      <c r="I687" s="106">
        <f t="shared" si="262"/>
        <v>20688</v>
      </c>
      <c r="J687" s="106">
        <f t="shared" si="262"/>
        <v>20688</v>
      </c>
      <c r="K687" s="106">
        <f t="shared" si="262"/>
        <v>20688</v>
      </c>
      <c r="L687" s="106">
        <f t="shared" si="262"/>
        <v>20688</v>
      </c>
      <c r="M687" s="106">
        <f t="shared" si="262"/>
        <v>20688</v>
      </c>
      <c r="N687" s="106">
        <f t="shared" si="262"/>
        <v>20688</v>
      </c>
      <c r="O687" s="106">
        <f t="shared" si="262"/>
        <v>20688</v>
      </c>
      <c r="P687" s="106">
        <f t="shared" si="262"/>
        <v>20688</v>
      </c>
      <c r="Q687" s="106">
        <f t="shared" si="262"/>
        <v>20688</v>
      </c>
      <c r="R687" s="106">
        <f t="shared" si="262"/>
        <v>20688</v>
      </c>
      <c r="S687" s="106">
        <f t="shared" si="262"/>
        <v>0</v>
      </c>
      <c r="T687" s="225">
        <f t="shared" si="262"/>
        <v>227568</v>
      </c>
      <c r="U687"/>
      <c r="V687">
        <f>+PRESUPUESTO22[[#This Row],[EJECUTADO ]]-SUM(PRESUPUESTO22[[#This Row],[   ENERO ]:[DIC]])</f>
        <v>0</v>
      </c>
      <c r="W687"/>
      <c r="X687"/>
    </row>
    <row r="688" spans="1:24" ht="15.95" customHeight="1" x14ac:dyDescent="0.25">
      <c r="A688" s="52"/>
      <c r="B688" s="164">
        <v>1301020401</v>
      </c>
      <c r="C688" s="130" t="str">
        <f t="shared" si="252"/>
        <v>E-1301020401</v>
      </c>
      <c r="D688" s="130">
        <v>638</v>
      </c>
      <c r="E688" s="164" t="s">
        <v>69</v>
      </c>
      <c r="F688" s="226" t="s">
        <v>562</v>
      </c>
      <c r="G688" s="369">
        <f>SUM(G689:G691)</f>
        <v>196741</v>
      </c>
      <c r="H688" s="369">
        <f t="shared" ref="H688:T688" si="263">SUM(H689:H691)</f>
        <v>16394</v>
      </c>
      <c r="I688" s="369">
        <f t="shared" si="263"/>
        <v>16394</v>
      </c>
      <c r="J688" s="369">
        <f t="shared" si="263"/>
        <v>16394</v>
      </c>
      <c r="K688" s="369">
        <f t="shared" si="263"/>
        <v>16394</v>
      </c>
      <c r="L688" s="369">
        <f t="shared" si="263"/>
        <v>16394</v>
      </c>
      <c r="M688" s="369">
        <f t="shared" si="263"/>
        <v>16394</v>
      </c>
      <c r="N688" s="369">
        <f t="shared" si="263"/>
        <v>16394</v>
      </c>
      <c r="O688" s="369">
        <f t="shared" si="263"/>
        <v>16394</v>
      </c>
      <c r="P688" s="369">
        <f t="shared" si="263"/>
        <v>16394</v>
      </c>
      <c r="Q688" s="369">
        <f t="shared" si="263"/>
        <v>16394</v>
      </c>
      <c r="R688" s="369">
        <f t="shared" si="263"/>
        <v>16394</v>
      </c>
      <c r="S688" s="369">
        <f t="shared" si="263"/>
        <v>0</v>
      </c>
      <c r="T688" s="227">
        <f t="shared" si="263"/>
        <v>180334</v>
      </c>
      <c r="U688"/>
      <c r="V688">
        <f>+PRESUPUESTO22[[#This Row],[EJECUTADO ]]-SUM(PRESUPUESTO22[[#This Row],[   ENERO ]:[DIC]])</f>
        <v>0</v>
      </c>
      <c r="W688"/>
      <c r="X688"/>
    </row>
    <row r="689" spans="1:26" ht="18" customHeight="1" x14ac:dyDescent="0.25">
      <c r="A689" s="52"/>
      <c r="B689" s="156">
        <v>130102040101</v>
      </c>
      <c r="C689" s="130" t="str">
        <f t="shared" si="252"/>
        <v>E-130102040101</v>
      </c>
      <c r="D689" s="130">
        <v>639</v>
      </c>
      <c r="E689" s="156" t="s">
        <v>72</v>
      </c>
      <c r="F689" s="216" t="s">
        <v>563</v>
      </c>
      <c r="G689" s="193">
        <f>10100*12</f>
        <v>121200</v>
      </c>
      <c r="H689" s="193">
        <v>10100</v>
      </c>
      <c r="I689" s="193">
        <v>10100</v>
      </c>
      <c r="J689" s="193">
        <v>10100</v>
      </c>
      <c r="K689" s="193">
        <v>10100</v>
      </c>
      <c r="L689" s="193">
        <v>10100</v>
      </c>
      <c r="M689" s="193">
        <v>10100</v>
      </c>
      <c r="N689" s="193">
        <v>10100</v>
      </c>
      <c r="O689" s="193">
        <v>10100</v>
      </c>
      <c r="P689" s="193">
        <v>10100</v>
      </c>
      <c r="Q689" s="193">
        <v>10100</v>
      </c>
      <c r="R689" s="193">
        <v>10100</v>
      </c>
      <c r="S689" s="193">
        <v>0</v>
      </c>
      <c r="T689" s="193">
        <f>SUM(H689:S689)</f>
        <v>111100</v>
      </c>
      <c r="U689"/>
      <c r="V689">
        <f>+PRESUPUESTO22[[#This Row],[EJECUTADO ]]-SUM(PRESUPUESTO22[[#This Row],[   ENERO ]:[DIC]])</f>
        <v>0</v>
      </c>
      <c r="W689"/>
      <c r="X689"/>
      <c r="Y689"/>
    </row>
    <row r="690" spans="1:26" ht="26.25" customHeight="1" x14ac:dyDescent="0.25">
      <c r="A690" s="52"/>
      <c r="B690" s="156">
        <v>130102040102</v>
      </c>
      <c r="C690" s="130" t="str">
        <f t="shared" si="252"/>
        <v>E-130102040102</v>
      </c>
      <c r="D690" s="130">
        <v>640</v>
      </c>
      <c r="E690" s="156" t="s">
        <v>72</v>
      </c>
      <c r="F690" s="216" t="s">
        <v>564</v>
      </c>
      <c r="G690" s="193">
        <f>3718*12</f>
        <v>44616</v>
      </c>
      <c r="H690" s="193">
        <v>3718</v>
      </c>
      <c r="I690" s="193">
        <v>3718</v>
      </c>
      <c r="J690" s="193">
        <v>3718</v>
      </c>
      <c r="K690" s="193">
        <v>3718</v>
      </c>
      <c r="L690" s="193">
        <v>3718</v>
      </c>
      <c r="M690" s="193">
        <v>3718</v>
      </c>
      <c r="N690" s="193">
        <v>3718</v>
      </c>
      <c r="O690" s="193">
        <v>3718</v>
      </c>
      <c r="P690" s="193">
        <v>3718</v>
      </c>
      <c r="Q690" s="193">
        <v>3718</v>
      </c>
      <c r="R690" s="193">
        <v>3718</v>
      </c>
      <c r="S690" s="193">
        <v>0</v>
      </c>
      <c r="T690" s="193">
        <f>SUM(H690:S690)</f>
        <v>40898</v>
      </c>
      <c r="U690"/>
      <c r="V690">
        <f>+PRESUPUESTO22[[#This Row],[EJECUTADO ]]-SUM(PRESUPUESTO22[[#This Row],[   ENERO ]:[DIC]])</f>
        <v>0</v>
      </c>
      <c r="W690"/>
      <c r="X690"/>
      <c r="Y690"/>
      <c r="Z690" s="7" t="s">
        <v>1</v>
      </c>
    </row>
    <row r="691" spans="1:26" ht="18.75" customHeight="1" x14ac:dyDescent="0.25">
      <c r="A691" s="52"/>
      <c r="B691" s="156">
        <v>130102040103</v>
      </c>
      <c r="C691" s="130" t="str">
        <f t="shared" si="252"/>
        <v>E-130102040103</v>
      </c>
      <c r="D691" s="130">
        <v>641</v>
      </c>
      <c r="E691" s="156" t="s">
        <v>72</v>
      </c>
      <c r="F691" s="216" t="s">
        <v>565</v>
      </c>
      <c r="G691" s="193">
        <v>30925</v>
      </c>
      <c r="H691" s="193">
        <v>2576</v>
      </c>
      <c r="I691" s="193">
        <v>2576</v>
      </c>
      <c r="J691" s="193">
        <v>2576</v>
      </c>
      <c r="K691" s="193">
        <v>2576</v>
      </c>
      <c r="L691" s="193">
        <v>2576</v>
      </c>
      <c r="M691" s="193">
        <v>2576</v>
      </c>
      <c r="N691" s="193">
        <v>2576</v>
      </c>
      <c r="O691" s="193">
        <v>2576</v>
      </c>
      <c r="P691" s="193">
        <v>2576</v>
      </c>
      <c r="Q691" s="193">
        <v>2576</v>
      </c>
      <c r="R691" s="193">
        <v>2576</v>
      </c>
      <c r="S691" s="193">
        <v>0</v>
      </c>
      <c r="T691" s="193">
        <f>SUM(H691:S691)</f>
        <v>28336</v>
      </c>
      <c r="U691"/>
      <c r="V691">
        <f>+PRESUPUESTO22[[#This Row],[EJECUTADO ]]-SUM(PRESUPUESTO22[[#This Row],[   ENERO ]:[DIC]])</f>
        <v>0</v>
      </c>
      <c r="W691"/>
      <c r="X691"/>
      <c r="Y691"/>
    </row>
    <row r="692" spans="1:26" ht="15.95" customHeight="1" x14ac:dyDescent="0.25">
      <c r="A692" s="52" t="s">
        <v>1</v>
      </c>
      <c r="B692" s="164">
        <v>1301020402</v>
      </c>
      <c r="C692" s="130" t="str">
        <f t="shared" si="252"/>
        <v>E-1301020402</v>
      </c>
      <c r="D692" s="130">
        <v>642</v>
      </c>
      <c r="E692" s="164" t="s">
        <v>69</v>
      </c>
      <c r="F692" s="226" t="s">
        <v>566</v>
      </c>
      <c r="G692" s="369">
        <f t="shared" ref="G692:T692" si="264">+G693+G696+G701</f>
        <v>51532</v>
      </c>
      <c r="H692" s="369">
        <f t="shared" si="264"/>
        <v>4294</v>
      </c>
      <c r="I692" s="369">
        <f t="shared" si="264"/>
        <v>4294</v>
      </c>
      <c r="J692" s="369">
        <f t="shared" si="264"/>
        <v>4294</v>
      </c>
      <c r="K692" s="369">
        <f t="shared" si="264"/>
        <v>4294</v>
      </c>
      <c r="L692" s="369">
        <f t="shared" si="264"/>
        <v>4294</v>
      </c>
      <c r="M692" s="369">
        <f t="shared" si="264"/>
        <v>4294</v>
      </c>
      <c r="N692" s="369">
        <f t="shared" si="264"/>
        <v>4294</v>
      </c>
      <c r="O692" s="369">
        <f t="shared" si="264"/>
        <v>4294</v>
      </c>
      <c r="P692" s="369">
        <f t="shared" si="264"/>
        <v>4294</v>
      </c>
      <c r="Q692" s="369">
        <f t="shared" si="264"/>
        <v>4294</v>
      </c>
      <c r="R692" s="369">
        <f t="shared" si="264"/>
        <v>4294</v>
      </c>
      <c r="S692" s="369">
        <f t="shared" si="264"/>
        <v>0</v>
      </c>
      <c r="T692" s="227">
        <f t="shared" si="264"/>
        <v>47234</v>
      </c>
      <c r="U692" t="s">
        <v>1</v>
      </c>
      <c r="V692">
        <f>+PRESUPUESTO22[[#This Row],[EJECUTADO ]]-SUM(PRESUPUESTO22[[#This Row],[   ENERO ]:[DIC]])</f>
        <v>0</v>
      </c>
      <c r="W692"/>
      <c r="X692"/>
      <c r="Y692"/>
    </row>
    <row r="693" spans="1:26" ht="15.95" customHeight="1" x14ac:dyDescent="0.25">
      <c r="A693" s="52"/>
      <c r="B693" s="165">
        <v>130102040201</v>
      </c>
      <c r="C693" s="130" t="str">
        <f t="shared" si="252"/>
        <v>E-130102040201</v>
      </c>
      <c r="D693" s="130">
        <v>643</v>
      </c>
      <c r="E693" s="165" t="s">
        <v>69</v>
      </c>
      <c r="F693" s="228" t="s">
        <v>567</v>
      </c>
      <c r="G693" s="370">
        <f>SUM(G694:G695)</f>
        <v>3900</v>
      </c>
      <c r="H693" s="370">
        <f t="shared" ref="H693:T693" si="265">SUM(H694:H695)</f>
        <v>325</v>
      </c>
      <c r="I693" s="370">
        <f t="shared" si="265"/>
        <v>325</v>
      </c>
      <c r="J693" s="370">
        <f t="shared" si="265"/>
        <v>325</v>
      </c>
      <c r="K693" s="370">
        <f t="shared" si="265"/>
        <v>325</v>
      </c>
      <c r="L693" s="370">
        <f t="shared" si="265"/>
        <v>325</v>
      </c>
      <c r="M693" s="370">
        <f t="shared" si="265"/>
        <v>325</v>
      </c>
      <c r="N693" s="370">
        <f t="shared" si="265"/>
        <v>325</v>
      </c>
      <c r="O693" s="370">
        <f t="shared" si="265"/>
        <v>325</v>
      </c>
      <c r="P693" s="370">
        <f t="shared" si="265"/>
        <v>325</v>
      </c>
      <c r="Q693" s="370">
        <f t="shared" si="265"/>
        <v>325</v>
      </c>
      <c r="R693" s="370">
        <f t="shared" si="265"/>
        <v>325</v>
      </c>
      <c r="S693" s="370">
        <f t="shared" si="265"/>
        <v>0</v>
      </c>
      <c r="T693" s="229">
        <f t="shared" si="265"/>
        <v>3575</v>
      </c>
      <c r="U693"/>
      <c r="V693">
        <f>+PRESUPUESTO22[[#This Row],[EJECUTADO ]]-SUM(PRESUPUESTO22[[#This Row],[   ENERO ]:[DIC]])</f>
        <v>0</v>
      </c>
      <c r="W693"/>
      <c r="X693"/>
      <c r="Y693"/>
    </row>
    <row r="694" spans="1:26" ht="15" x14ac:dyDescent="0.25">
      <c r="A694" s="52"/>
      <c r="B694" s="156">
        <v>13010204020101</v>
      </c>
      <c r="C694" s="130" t="str">
        <f t="shared" si="252"/>
        <v>E-13010204020101</v>
      </c>
      <c r="D694" s="130">
        <v>644</v>
      </c>
      <c r="E694" s="156" t="s">
        <v>72</v>
      </c>
      <c r="F694" s="216" t="s">
        <v>568</v>
      </c>
      <c r="G694" s="371">
        <v>3240</v>
      </c>
      <c r="H694" s="371">
        <v>270</v>
      </c>
      <c r="I694" s="371">
        <v>270</v>
      </c>
      <c r="J694" s="371">
        <v>270</v>
      </c>
      <c r="K694" s="371">
        <v>270</v>
      </c>
      <c r="L694" s="371">
        <v>270</v>
      </c>
      <c r="M694" s="371">
        <v>270</v>
      </c>
      <c r="N694" s="371">
        <v>270</v>
      </c>
      <c r="O694" s="371">
        <v>270</v>
      </c>
      <c r="P694" s="371">
        <v>270</v>
      </c>
      <c r="Q694" s="371">
        <v>270</v>
      </c>
      <c r="R694" s="371">
        <v>270</v>
      </c>
      <c r="S694" s="371">
        <v>0</v>
      </c>
      <c r="T694" s="193">
        <f>SUM(H694:S694)</f>
        <v>2970</v>
      </c>
      <c r="U694" t="s">
        <v>1</v>
      </c>
      <c r="V694">
        <f>+PRESUPUESTO22[[#This Row],[EJECUTADO ]]-SUM(PRESUPUESTO22[[#This Row],[   ENERO ]:[DIC]])</f>
        <v>0</v>
      </c>
      <c r="W694"/>
      <c r="X694"/>
      <c r="Y694"/>
    </row>
    <row r="695" spans="1:26" ht="19.5" customHeight="1" x14ac:dyDescent="0.25">
      <c r="A695" s="52"/>
      <c r="B695" s="156">
        <v>13010204020102</v>
      </c>
      <c r="C695" s="130" t="str">
        <f t="shared" si="252"/>
        <v>E-13010204020102</v>
      </c>
      <c r="D695" s="130">
        <v>645</v>
      </c>
      <c r="E695" s="156" t="s">
        <v>72</v>
      </c>
      <c r="F695" s="216" t="s">
        <v>569</v>
      </c>
      <c r="G695" s="371">
        <v>660</v>
      </c>
      <c r="H695" s="371">
        <v>55</v>
      </c>
      <c r="I695" s="371">
        <v>55</v>
      </c>
      <c r="J695" s="371">
        <v>55</v>
      </c>
      <c r="K695" s="371">
        <v>55</v>
      </c>
      <c r="L695" s="371">
        <v>55</v>
      </c>
      <c r="M695" s="371">
        <v>55</v>
      </c>
      <c r="N695" s="371">
        <v>55</v>
      </c>
      <c r="O695" s="371">
        <v>55</v>
      </c>
      <c r="P695" s="371">
        <v>55</v>
      </c>
      <c r="Q695" s="371">
        <v>55</v>
      </c>
      <c r="R695" s="371">
        <v>55</v>
      </c>
      <c r="S695" s="371">
        <v>0</v>
      </c>
      <c r="T695" s="193">
        <f>SUM(H695:S695)</f>
        <v>605</v>
      </c>
      <c r="U695"/>
      <c r="V695">
        <f>+PRESUPUESTO22[[#This Row],[EJECUTADO ]]-SUM(PRESUPUESTO22[[#This Row],[   ENERO ]:[DIC]])</f>
        <v>0</v>
      </c>
      <c r="W695"/>
      <c r="X695"/>
      <c r="Y695"/>
    </row>
    <row r="696" spans="1:26" ht="19.5" customHeight="1" x14ac:dyDescent="0.25">
      <c r="A696" s="52"/>
      <c r="B696" s="165">
        <v>130102040202</v>
      </c>
      <c r="C696" s="130" t="str">
        <f t="shared" si="252"/>
        <v>E-130102040202</v>
      </c>
      <c r="D696" s="130">
        <v>646</v>
      </c>
      <c r="E696" s="165" t="s">
        <v>69</v>
      </c>
      <c r="F696" s="228" t="s">
        <v>570</v>
      </c>
      <c r="G696" s="370">
        <f>SUM(G697:G700)</f>
        <v>18732</v>
      </c>
      <c r="H696" s="370">
        <f t="shared" ref="H696:T696" si="266">SUM(H697:H700)</f>
        <v>1561</v>
      </c>
      <c r="I696" s="370">
        <f t="shared" si="266"/>
        <v>1561</v>
      </c>
      <c r="J696" s="370">
        <f t="shared" si="266"/>
        <v>1561</v>
      </c>
      <c r="K696" s="370">
        <f t="shared" si="266"/>
        <v>1561</v>
      </c>
      <c r="L696" s="370">
        <f t="shared" si="266"/>
        <v>1561</v>
      </c>
      <c r="M696" s="370">
        <f t="shared" si="266"/>
        <v>1561</v>
      </c>
      <c r="N696" s="370">
        <f t="shared" si="266"/>
        <v>1561</v>
      </c>
      <c r="O696" s="370">
        <f t="shared" si="266"/>
        <v>1561</v>
      </c>
      <c r="P696" s="370">
        <f t="shared" si="266"/>
        <v>1561</v>
      </c>
      <c r="Q696" s="370">
        <f t="shared" si="266"/>
        <v>1561</v>
      </c>
      <c r="R696" s="370">
        <f t="shared" si="266"/>
        <v>1561</v>
      </c>
      <c r="S696" s="370">
        <f t="shared" si="266"/>
        <v>0</v>
      </c>
      <c r="T696" s="229">
        <f t="shared" si="266"/>
        <v>17171</v>
      </c>
      <c r="U696"/>
      <c r="V696">
        <f>+PRESUPUESTO22[[#This Row],[EJECUTADO ]]-SUM(PRESUPUESTO22[[#This Row],[   ENERO ]:[DIC]])</f>
        <v>0</v>
      </c>
      <c r="W696"/>
      <c r="X696"/>
      <c r="Y696"/>
    </row>
    <row r="697" spans="1:26" ht="27" customHeight="1" x14ac:dyDescent="0.25">
      <c r="A697" s="52">
        <v>4</v>
      </c>
      <c r="B697" s="156">
        <v>13010204020201</v>
      </c>
      <c r="C697" s="130" t="str">
        <f t="shared" si="252"/>
        <v>E-13010204020201</v>
      </c>
      <c r="D697" s="130">
        <v>647</v>
      </c>
      <c r="E697" s="156" t="s">
        <v>72</v>
      </c>
      <c r="F697" s="216" t="s">
        <v>571</v>
      </c>
      <c r="G697" s="371">
        <v>7416</v>
      </c>
      <c r="H697" s="371">
        <v>618</v>
      </c>
      <c r="I697" s="371">
        <v>618</v>
      </c>
      <c r="J697" s="371">
        <v>618</v>
      </c>
      <c r="K697" s="371">
        <v>618</v>
      </c>
      <c r="L697" s="371">
        <v>618</v>
      </c>
      <c r="M697" s="371">
        <v>618</v>
      </c>
      <c r="N697" s="371">
        <v>618</v>
      </c>
      <c r="O697" s="371">
        <v>618</v>
      </c>
      <c r="P697" s="371">
        <v>618</v>
      </c>
      <c r="Q697" s="371">
        <v>618</v>
      </c>
      <c r="R697" s="371">
        <v>618</v>
      </c>
      <c r="S697" s="371">
        <v>0</v>
      </c>
      <c r="T697" s="193">
        <f>SUM(H697:S697)</f>
        <v>6798</v>
      </c>
      <c r="U697"/>
      <c r="V697">
        <f>+PRESUPUESTO22[[#This Row],[EJECUTADO ]]-SUM(PRESUPUESTO22[[#This Row],[   ENERO ]:[DIC]])</f>
        <v>0</v>
      </c>
      <c r="W697"/>
      <c r="X697"/>
      <c r="Y697"/>
    </row>
    <row r="698" spans="1:26" ht="27" customHeight="1" x14ac:dyDescent="0.25">
      <c r="A698" s="52">
        <v>2</v>
      </c>
      <c r="B698" s="156">
        <v>13010204020202</v>
      </c>
      <c r="C698" s="130" t="str">
        <f t="shared" si="252"/>
        <v>E-13010204020202</v>
      </c>
      <c r="D698" s="130">
        <v>648</v>
      </c>
      <c r="E698" s="156" t="s">
        <v>72</v>
      </c>
      <c r="F698" s="216" t="s">
        <v>572</v>
      </c>
      <c r="G698" s="371">
        <v>6180</v>
      </c>
      <c r="H698" s="371">
        <v>515</v>
      </c>
      <c r="I698" s="371">
        <v>515</v>
      </c>
      <c r="J698" s="371">
        <v>515</v>
      </c>
      <c r="K698" s="371">
        <v>515</v>
      </c>
      <c r="L698" s="371">
        <v>515</v>
      </c>
      <c r="M698" s="371">
        <v>515</v>
      </c>
      <c r="N698" s="371">
        <v>515</v>
      </c>
      <c r="O698" s="371">
        <v>515</v>
      </c>
      <c r="P698" s="371">
        <v>515</v>
      </c>
      <c r="Q698" s="371">
        <v>515</v>
      </c>
      <c r="R698" s="371">
        <v>515</v>
      </c>
      <c r="S698" s="371">
        <v>0</v>
      </c>
      <c r="T698" s="193">
        <f>SUM(H698:S698)</f>
        <v>5665</v>
      </c>
      <c r="U698"/>
      <c r="V698">
        <f>+PRESUPUESTO22[[#This Row],[EJECUTADO ]]-SUM(PRESUPUESTO22[[#This Row],[   ENERO ]:[DIC]])</f>
        <v>0</v>
      </c>
      <c r="W698"/>
      <c r="X698"/>
      <c r="Y698"/>
    </row>
    <row r="699" spans="1:26" ht="21.75" customHeight="1" x14ac:dyDescent="0.25">
      <c r="A699" s="52">
        <v>1</v>
      </c>
      <c r="B699" s="156">
        <v>13010204020203</v>
      </c>
      <c r="C699" s="130" t="str">
        <f t="shared" si="252"/>
        <v>E-13010204020203</v>
      </c>
      <c r="D699" s="130">
        <v>649</v>
      </c>
      <c r="E699" s="156" t="s">
        <v>72</v>
      </c>
      <c r="F699" s="216" t="s">
        <v>573</v>
      </c>
      <c r="G699" s="371">
        <v>3096</v>
      </c>
      <c r="H699" s="371">
        <v>258</v>
      </c>
      <c r="I699" s="371">
        <v>258</v>
      </c>
      <c r="J699" s="371">
        <v>258</v>
      </c>
      <c r="K699" s="371">
        <v>258</v>
      </c>
      <c r="L699" s="371">
        <v>258</v>
      </c>
      <c r="M699" s="371">
        <v>258</v>
      </c>
      <c r="N699" s="371">
        <v>258</v>
      </c>
      <c r="O699" s="371">
        <v>258</v>
      </c>
      <c r="P699" s="371">
        <v>258</v>
      </c>
      <c r="Q699" s="371">
        <v>258</v>
      </c>
      <c r="R699" s="371">
        <v>258</v>
      </c>
      <c r="S699" s="371">
        <v>0</v>
      </c>
      <c r="T699" s="193">
        <f>SUM(H699:S699)</f>
        <v>2838</v>
      </c>
      <c r="U699"/>
      <c r="V699">
        <f>+PRESUPUESTO22[[#This Row],[EJECUTADO ]]-SUM(PRESUPUESTO22[[#This Row],[   ENERO ]:[DIC]])</f>
        <v>0</v>
      </c>
      <c r="W699"/>
      <c r="X699"/>
      <c r="Y699"/>
    </row>
    <row r="700" spans="1:26" ht="28.5" customHeight="1" x14ac:dyDescent="0.25">
      <c r="A700" s="52">
        <v>1</v>
      </c>
      <c r="B700" s="156">
        <v>13010204020204</v>
      </c>
      <c r="C700" s="130" t="str">
        <f t="shared" si="252"/>
        <v>E-13010204020204</v>
      </c>
      <c r="D700" s="130">
        <v>650</v>
      </c>
      <c r="E700" s="156" t="s">
        <v>72</v>
      </c>
      <c r="F700" s="216" t="s">
        <v>574</v>
      </c>
      <c r="G700" s="371">
        <f>170*12</f>
        <v>2040</v>
      </c>
      <c r="H700" s="371">
        <v>170</v>
      </c>
      <c r="I700" s="371">
        <v>170</v>
      </c>
      <c r="J700" s="371">
        <v>170</v>
      </c>
      <c r="K700" s="371">
        <v>170</v>
      </c>
      <c r="L700" s="371">
        <v>170</v>
      </c>
      <c r="M700" s="371">
        <v>170</v>
      </c>
      <c r="N700" s="371">
        <v>170</v>
      </c>
      <c r="O700" s="371">
        <v>170</v>
      </c>
      <c r="P700" s="371">
        <v>170</v>
      </c>
      <c r="Q700" s="371">
        <v>170</v>
      </c>
      <c r="R700" s="371">
        <v>170</v>
      </c>
      <c r="S700" s="371">
        <v>0</v>
      </c>
      <c r="T700" s="193">
        <f>SUM(H700:S700)</f>
        <v>1870</v>
      </c>
      <c r="U700"/>
      <c r="V700">
        <f>+PRESUPUESTO22[[#This Row],[EJECUTADO ]]-SUM(PRESUPUESTO22[[#This Row],[   ENERO ]:[DIC]])</f>
        <v>0</v>
      </c>
      <c r="W700"/>
      <c r="X700"/>
      <c r="Y700"/>
    </row>
    <row r="701" spans="1:26" ht="21.75" customHeight="1" x14ac:dyDescent="0.25">
      <c r="A701" s="52"/>
      <c r="B701" s="165">
        <v>130102040203</v>
      </c>
      <c r="C701" s="130" t="str">
        <f t="shared" si="252"/>
        <v>E-130102040203</v>
      </c>
      <c r="D701" s="130">
        <v>651</v>
      </c>
      <c r="E701" s="165" t="s">
        <v>69</v>
      </c>
      <c r="F701" s="228" t="s">
        <v>575</v>
      </c>
      <c r="G701" s="370">
        <f>+G702</f>
        <v>28900</v>
      </c>
      <c r="H701" s="370">
        <f t="shared" ref="H701:T701" si="267">+H702</f>
        <v>2408</v>
      </c>
      <c r="I701" s="370">
        <f t="shared" si="267"/>
        <v>2408</v>
      </c>
      <c r="J701" s="370">
        <f t="shared" si="267"/>
        <v>2408</v>
      </c>
      <c r="K701" s="370">
        <f t="shared" si="267"/>
        <v>2408</v>
      </c>
      <c r="L701" s="370">
        <f t="shared" si="267"/>
        <v>2408</v>
      </c>
      <c r="M701" s="370">
        <f t="shared" si="267"/>
        <v>2408</v>
      </c>
      <c r="N701" s="370">
        <f t="shared" si="267"/>
        <v>2408</v>
      </c>
      <c r="O701" s="370">
        <f t="shared" si="267"/>
        <v>2408</v>
      </c>
      <c r="P701" s="370">
        <f t="shared" si="267"/>
        <v>2408</v>
      </c>
      <c r="Q701" s="370">
        <f t="shared" si="267"/>
        <v>2408</v>
      </c>
      <c r="R701" s="370">
        <f t="shared" si="267"/>
        <v>2408</v>
      </c>
      <c r="S701" s="370">
        <f t="shared" si="267"/>
        <v>0</v>
      </c>
      <c r="T701" s="229">
        <f t="shared" si="267"/>
        <v>26488</v>
      </c>
      <c r="U701"/>
      <c r="V701">
        <f>+PRESUPUESTO22[[#This Row],[EJECUTADO ]]-SUM(PRESUPUESTO22[[#This Row],[   ENERO ]:[DIC]])</f>
        <v>0</v>
      </c>
      <c r="W701"/>
      <c r="X701"/>
      <c r="Y701"/>
    </row>
    <row r="702" spans="1:26" ht="21" customHeight="1" x14ac:dyDescent="0.25">
      <c r="A702" s="52"/>
      <c r="B702" s="156">
        <v>13010204020301</v>
      </c>
      <c r="C702" s="130" t="str">
        <f t="shared" si="252"/>
        <v>E-13010204020301</v>
      </c>
      <c r="D702" s="130">
        <v>652</v>
      </c>
      <c r="E702" s="156" t="s">
        <v>72</v>
      </c>
      <c r="F702" s="216" t="s">
        <v>576</v>
      </c>
      <c r="G702" s="371">
        <v>28900</v>
      </c>
      <c r="H702" s="371">
        <v>2408</v>
      </c>
      <c r="I702" s="371">
        <v>2408</v>
      </c>
      <c r="J702" s="371">
        <v>2408</v>
      </c>
      <c r="K702" s="371">
        <v>2408</v>
      </c>
      <c r="L702" s="371">
        <v>2408</v>
      </c>
      <c r="M702" s="371">
        <v>2408</v>
      </c>
      <c r="N702" s="371">
        <v>2408</v>
      </c>
      <c r="O702" s="371">
        <v>2408</v>
      </c>
      <c r="P702" s="371">
        <v>2408</v>
      </c>
      <c r="Q702" s="371">
        <v>2408</v>
      </c>
      <c r="R702" s="371">
        <v>2408</v>
      </c>
      <c r="S702" s="371">
        <v>0</v>
      </c>
      <c r="T702" s="193">
        <f>SUM(H702:S702)</f>
        <v>26488</v>
      </c>
      <c r="U702"/>
      <c r="V702">
        <f>+PRESUPUESTO22[[#This Row],[EJECUTADO ]]-SUM(PRESUPUESTO22[[#This Row],[   ENERO ]:[DIC]])</f>
        <v>0</v>
      </c>
      <c r="W702"/>
      <c r="X702"/>
      <c r="Y702"/>
    </row>
    <row r="703" spans="1:26" ht="15.95" customHeight="1" x14ac:dyDescent="0.25">
      <c r="A703" s="51">
        <v>2</v>
      </c>
      <c r="B703" s="139">
        <v>1302</v>
      </c>
      <c r="C703" s="130" t="str">
        <f t="shared" si="252"/>
        <v>E-1302</v>
      </c>
      <c r="D703" s="130">
        <v>653</v>
      </c>
      <c r="E703" s="139" t="s">
        <v>69</v>
      </c>
      <c r="F703" s="189" t="s">
        <v>577</v>
      </c>
      <c r="G703" s="190">
        <f t="shared" ref="G703:T703" si="268">+G706+G710+G728+G715+G704</f>
        <v>432840</v>
      </c>
      <c r="H703" s="190">
        <f t="shared" si="268"/>
        <v>4026</v>
      </c>
      <c r="I703" s="190">
        <f t="shared" si="268"/>
        <v>39226</v>
      </c>
      <c r="J703" s="190">
        <f t="shared" si="268"/>
        <v>33032</v>
      </c>
      <c r="K703" s="190">
        <f t="shared" si="268"/>
        <v>46068</v>
      </c>
      <c r="L703" s="190">
        <f t="shared" si="268"/>
        <v>32279</v>
      </c>
      <c r="M703" s="190">
        <f t="shared" si="268"/>
        <v>51331</v>
      </c>
      <c r="N703" s="190">
        <f t="shared" si="268"/>
        <v>42864</v>
      </c>
      <c r="O703" s="190">
        <f t="shared" si="268"/>
        <v>26366</v>
      </c>
      <c r="P703" s="190">
        <f t="shared" si="268"/>
        <v>37437</v>
      </c>
      <c r="Q703" s="190">
        <f t="shared" si="268"/>
        <v>47095</v>
      </c>
      <c r="R703" s="190">
        <f t="shared" si="268"/>
        <v>36837</v>
      </c>
      <c r="S703" s="190">
        <f t="shared" si="268"/>
        <v>0</v>
      </c>
      <c r="T703" s="190">
        <f t="shared" si="268"/>
        <v>396561</v>
      </c>
      <c r="U703"/>
      <c r="V703">
        <f>+PRESUPUESTO22[[#This Row],[EJECUTADO ]]-SUM(PRESUPUESTO22[[#This Row],[   ENERO ]:[DIC]])</f>
        <v>0</v>
      </c>
      <c r="W703"/>
      <c r="X703"/>
      <c r="Y703"/>
    </row>
    <row r="704" spans="1:26" ht="15.95" customHeight="1" x14ac:dyDescent="0.25">
      <c r="A704" s="51"/>
      <c r="B704" s="151">
        <v>130201</v>
      </c>
      <c r="C704" s="130" t="str">
        <f t="shared" si="252"/>
        <v>E-130201</v>
      </c>
      <c r="D704" s="130">
        <v>654</v>
      </c>
      <c r="E704" s="151" t="s">
        <v>69</v>
      </c>
      <c r="F704" s="208" t="s">
        <v>133</v>
      </c>
      <c r="G704" s="192">
        <f>+G705</f>
        <v>5000</v>
      </c>
      <c r="H704" s="192">
        <f t="shared" ref="H704:T704" si="269">+H705</f>
        <v>0</v>
      </c>
      <c r="I704" s="192">
        <f t="shared" si="269"/>
        <v>250</v>
      </c>
      <c r="J704" s="192">
        <f t="shared" si="269"/>
        <v>0</v>
      </c>
      <c r="K704" s="192">
        <f t="shared" si="269"/>
        <v>0</v>
      </c>
      <c r="L704" s="192">
        <f t="shared" si="269"/>
        <v>0</v>
      </c>
      <c r="M704" s="192">
        <f t="shared" si="269"/>
        <v>0</v>
      </c>
      <c r="N704" s="192">
        <f t="shared" si="269"/>
        <v>0</v>
      </c>
      <c r="O704" s="192">
        <f t="shared" si="269"/>
        <v>0</v>
      </c>
      <c r="P704" s="192">
        <f t="shared" si="269"/>
        <v>0</v>
      </c>
      <c r="Q704" s="192">
        <f t="shared" si="269"/>
        <v>0</v>
      </c>
      <c r="R704" s="192">
        <f t="shared" si="269"/>
        <v>0</v>
      </c>
      <c r="S704" s="192">
        <f t="shared" si="269"/>
        <v>0</v>
      </c>
      <c r="T704" s="192">
        <f t="shared" si="269"/>
        <v>250</v>
      </c>
      <c r="U704"/>
      <c r="V704">
        <f>+PRESUPUESTO22[[#This Row],[EJECUTADO ]]-SUM(PRESUPUESTO22[[#This Row],[   ENERO ]:[DIC]])</f>
        <v>0</v>
      </c>
      <c r="W704"/>
      <c r="X704"/>
      <c r="Y704"/>
    </row>
    <row r="705" spans="1:25" ht="16.5" customHeight="1" x14ac:dyDescent="0.25">
      <c r="A705" s="51"/>
      <c r="B705" s="156">
        <v>13020101</v>
      </c>
      <c r="C705" s="130" t="str">
        <f t="shared" si="252"/>
        <v>E-13020101</v>
      </c>
      <c r="D705" s="130">
        <v>655</v>
      </c>
      <c r="E705" s="156" t="s">
        <v>72</v>
      </c>
      <c r="F705" s="216" t="s">
        <v>578</v>
      </c>
      <c r="G705" s="193">
        <v>5000</v>
      </c>
      <c r="H705" s="193">
        <v>0</v>
      </c>
      <c r="I705" s="193">
        <v>250</v>
      </c>
      <c r="J705" s="193">
        <v>0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93">
        <v>0</v>
      </c>
      <c r="R705" s="193">
        <v>0</v>
      </c>
      <c r="S705" s="193">
        <v>0</v>
      </c>
      <c r="T705" s="193">
        <f>SUM(H705:S705)</f>
        <v>250</v>
      </c>
      <c r="U705"/>
      <c r="V705">
        <f>+PRESUPUESTO22[[#This Row],[EJECUTADO ]]-SUM(PRESUPUESTO22[[#This Row],[   ENERO ]:[DIC]])</f>
        <v>0</v>
      </c>
      <c r="W705"/>
      <c r="X705"/>
      <c r="Y705"/>
    </row>
    <row r="706" spans="1:25" ht="15.95" customHeight="1" x14ac:dyDescent="0.25">
      <c r="A706" s="52"/>
      <c r="B706" s="151">
        <v>130202</v>
      </c>
      <c r="C706" s="130" t="str">
        <f t="shared" si="252"/>
        <v>E-130202</v>
      </c>
      <c r="D706" s="130">
        <v>656</v>
      </c>
      <c r="E706" s="151" t="s">
        <v>69</v>
      </c>
      <c r="F706" s="208" t="s">
        <v>579</v>
      </c>
      <c r="G706" s="192">
        <f>SUM(G707:G709)</f>
        <v>323185</v>
      </c>
      <c r="H706" s="192">
        <f>SUM(H707:H709)</f>
        <v>0</v>
      </c>
      <c r="I706" s="192">
        <f>SUM(I707:I709)</f>
        <v>34781</v>
      </c>
      <c r="J706" s="192">
        <f>SUM(J707:J709)</f>
        <v>28026</v>
      </c>
      <c r="K706" s="192">
        <f t="shared" ref="K706:T706" si="270">SUM(K707:K709)</f>
        <v>34581</v>
      </c>
      <c r="L706" s="192">
        <f t="shared" si="270"/>
        <v>21262</v>
      </c>
      <c r="M706" s="192">
        <f t="shared" si="270"/>
        <v>46546</v>
      </c>
      <c r="N706" s="192">
        <f t="shared" si="270"/>
        <v>32019</v>
      </c>
      <c r="O706" s="192">
        <f t="shared" si="270"/>
        <v>22247</v>
      </c>
      <c r="P706" s="192">
        <f t="shared" si="270"/>
        <v>31398</v>
      </c>
      <c r="Q706" s="192">
        <f t="shared" si="270"/>
        <v>29030</v>
      </c>
      <c r="R706" s="192">
        <f t="shared" si="270"/>
        <v>24670</v>
      </c>
      <c r="S706" s="192">
        <f t="shared" si="270"/>
        <v>0</v>
      </c>
      <c r="T706" s="192">
        <f t="shared" si="270"/>
        <v>304560</v>
      </c>
      <c r="U706"/>
      <c r="V706">
        <f>+PRESUPUESTO22[[#This Row],[EJECUTADO ]]-SUM(PRESUPUESTO22[[#This Row],[   ENERO ]:[DIC]])</f>
        <v>0</v>
      </c>
      <c r="W706"/>
    </row>
    <row r="707" spans="1:25" ht="15.95" customHeight="1" x14ac:dyDescent="0.25">
      <c r="A707" s="52"/>
      <c r="B707" s="156">
        <v>13020201</v>
      </c>
      <c r="C707" s="130" t="str">
        <f t="shared" si="252"/>
        <v>E-13020201</v>
      </c>
      <c r="D707" s="130">
        <v>657</v>
      </c>
      <c r="E707" s="156" t="s">
        <v>72</v>
      </c>
      <c r="F707" s="216" t="s">
        <v>580</v>
      </c>
      <c r="G707" s="193">
        <v>257185</v>
      </c>
      <c r="H707" s="193">
        <v>0</v>
      </c>
      <c r="I707" s="193">
        <f>30343+2438.4-0.4</f>
        <v>32781</v>
      </c>
      <c r="J707" s="193">
        <f>24879.2+2347.2-0.4</f>
        <v>27226</v>
      </c>
      <c r="K707" s="193">
        <f>31160+2620.8+0.2</f>
        <v>33781</v>
      </c>
      <c r="L707" s="193">
        <f>20461.6+0.4</f>
        <v>20462</v>
      </c>
      <c r="M707" s="193">
        <f>3060+42686.4-0.4</f>
        <v>45746</v>
      </c>
      <c r="N707" s="193">
        <f>20843.2+5348-0.2+5028</f>
        <v>31219</v>
      </c>
      <c r="O707" s="193">
        <f>21447.2-0.2</f>
        <v>21447</v>
      </c>
      <c r="P707" s="193">
        <f>27537.6+0.4+3060</f>
        <v>30598</v>
      </c>
      <c r="Q707" s="193">
        <f>28229.6+0.4</f>
        <v>28230</v>
      </c>
      <c r="R707" s="193">
        <f>23869.6+0.4</f>
        <v>23870</v>
      </c>
      <c r="S707" s="193">
        <v>0</v>
      </c>
      <c r="T707" s="193">
        <f>SUM(H707:S707)</f>
        <v>295360</v>
      </c>
      <c r="U707"/>
      <c r="V707">
        <f>+PRESUPUESTO22[[#This Row],[EJECUTADO ]]-SUM(PRESUPUESTO22[[#This Row],[   ENERO ]:[DIC]])</f>
        <v>0</v>
      </c>
      <c r="W707"/>
    </row>
    <row r="708" spans="1:25" ht="15.95" customHeight="1" x14ac:dyDescent="0.25">
      <c r="A708" s="52" t="s">
        <v>1</v>
      </c>
      <c r="B708" s="156">
        <v>13020202</v>
      </c>
      <c r="C708" s="130" t="str">
        <f t="shared" si="252"/>
        <v>E-13020202</v>
      </c>
      <c r="D708" s="130">
        <v>658</v>
      </c>
      <c r="E708" s="156" t="s">
        <v>72</v>
      </c>
      <c r="F708" s="216" t="s">
        <v>581</v>
      </c>
      <c r="G708" s="193">
        <v>56400</v>
      </c>
      <c r="H708" s="193">
        <v>0</v>
      </c>
      <c r="I708" s="193">
        <v>1200</v>
      </c>
      <c r="J708" s="193">
        <v>0</v>
      </c>
      <c r="K708" s="193">
        <v>0</v>
      </c>
      <c r="L708" s="193">
        <v>0</v>
      </c>
      <c r="M708" s="193">
        <v>0</v>
      </c>
      <c r="N708" s="193">
        <v>0</v>
      </c>
      <c r="O708" s="193">
        <v>0</v>
      </c>
      <c r="P708" s="193">
        <v>0</v>
      </c>
      <c r="Q708" s="193">
        <v>0</v>
      </c>
      <c r="R708" s="193">
        <v>0</v>
      </c>
      <c r="S708" s="193">
        <v>0</v>
      </c>
      <c r="T708" s="193">
        <f>SUM(H708:S708)</f>
        <v>1200</v>
      </c>
      <c r="U708"/>
      <c r="V708">
        <f>+PRESUPUESTO22[[#This Row],[EJECUTADO ]]-SUM(PRESUPUESTO22[[#This Row],[   ENERO ]:[DIC]])</f>
        <v>0</v>
      </c>
      <c r="W708"/>
    </row>
    <row r="709" spans="1:25" ht="15.95" customHeight="1" x14ac:dyDescent="0.25">
      <c r="A709" s="52"/>
      <c r="B709" s="156">
        <v>13020203</v>
      </c>
      <c r="C709" s="130" t="str">
        <f t="shared" si="252"/>
        <v>E-13020203</v>
      </c>
      <c r="D709" s="130">
        <v>659</v>
      </c>
      <c r="E709" s="156" t="s">
        <v>72</v>
      </c>
      <c r="F709" s="216" t="s">
        <v>582</v>
      </c>
      <c r="G709" s="193">
        <f>800*12</f>
        <v>9600</v>
      </c>
      <c r="H709" s="193">
        <v>0</v>
      </c>
      <c r="I709" s="193">
        <v>800</v>
      </c>
      <c r="J709" s="193">
        <v>800</v>
      </c>
      <c r="K709" s="193">
        <v>800</v>
      </c>
      <c r="L709" s="193">
        <v>800</v>
      </c>
      <c r="M709" s="193">
        <v>800</v>
      </c>
      <c r="N709" s="193">
        <v>800</v>
      </c>
      <c r="O709" s="193">
        <v>800</v>
      </c>
      <c r="P709" s="193">
        <v>800</v>
      </c>
      <c r="Q709" s="193">
        <v>800</v>
      </c>
      <c r="R709" s="193">
        <v>800</v>
      </c>
      <c r="S709" s="193">
        <v>0</v>
      </c>
      <c r="T709" s="193">
        <f>SUM(H709:S709)</f>
        <v>8000</v>
      </c>
      <c r="U709"/>
      <c r="V709">
        <f>+PRESUPUESTO22[[#This Row],[EJECUTADO ]]-SUM(PRESUPUESTO22[[#This Row],[   ENERO ]:[DIC]])</f>
        <v>0</v>
      </c>
    </row>
    <row r="710" spans="1:25" ht="15.95" customHeight="1" x14ac:dyDescent="0.25">
      <c r="A710" s="52"/>
      <c r="B710" s="151">
        <v>130203</v>
      </c>
      <c r="C710" s="130" t="str">
        <f t="shared" si="252"/>
        <v>E-130203</v>
      </c>
      <c r="D710" s="130">
        <v>660</v>
      </c>
      <c r="E710" s="151" t="s">
        <v>69</v>
      </c>
      <c r="F710" s="208" t="s">
        <v>583</v>
      </c>
      <c r="G710" s="192">
        <f t="shared" ref="G710:T710" si="271">SUM(G711:G714)</f>
        <v>34080</v>
      </c>
      <c r="H710" s="192">
        <f t="shared" si="271"/>
        <v>2840</v>
      </c>
      <c r="I710" s="192">
        <f t="shared" si="271"/>
        <v>2840</v>
      </c>
      <c r="J710" s="192">
        <f t="shared" si="271"/>
        <v>2849</v>
      </c>
      <c r="K710" s="192">
        <f t="shared" si="271"/>
        <v>2840</v>
      </c>
      <c r="L710" s="192">
        <f t="shared" si="271"/>
        <v>2840</v>
      </c>
      <c r="M710" s="192">
        <f t="shared" si="271"/>
        <v>2840</v>
      </c>
      <c r="N710" s="192">
        <f t="shared" si="271"/>
        <v>2840</v>
      </c>
      <c r="O710" s="192">
        <f t="shared" si="271"/>
        <v>2840</v>
      </c>
      <c r="P710" s="192">
        <f t="shared" si="271"/>
        <v>2400</v>
      </c>
      <c r="Q710" s="192">
        <f t="shared" si="271"/>
        <v>2400</v>
      </c>
      <c r="R710" s="192">
        <f t="shared" si="271"/>
        <v>2400</v>
      </c>
      <c r="S710" s="192">
        <f t="shared" si="271"/>
        <v>0</v>
      </c>
      <c r="T710" s="192">
        <f t="shared" si="271"/>
        <v>29929</v>
      </c>
      <c r="U710"/>
      <c r="V710">
        <f>+PRESUPUESTO22[[#This Row],[EJECUTADO ]]-SUM(PRESUPUESTO22[[#This Row],[   ENERO ]:[DIC]])</f>
        <v>0</v>
      </c>
    </row>
    <row r="711" spans="1:25" ht="15.95" customHeight="1" x14ac:dyDescent="0.25">
      <c r="A711" s="52"/>
      <c r="B711" s="156">
        <v>13020301</v>
      </c>
      <c r="C711" s="130" t="str">
        <f t="shared" si="252"/>
        <v>E-13020301</v>
      </c>
      <c r="D711" s="130">
        <v>661</v>
      </c>
      <c r="E711" s="156" t="s">
        <v>72</v>
      </c>
      <c r="F711" s="216" t="s">
        <v>584</v>
      </c>
      <c r="G711" s="193">
        <f>2840*12</f>
        <v>34080</v>
      </c>
      <c r="H711" s="193">
        <v>2840</v>
      </c>
      <c r="I711" s="193">
        <v>2840</v>
      </c>
      <c r="J711" s="193">
        <v>2840</v>
      </c>
      <c r="K711" s="193">
        <v>2840</v>
      </c>
      <c r="L711" s="193">
        <v>2840</v>
      </c>
      <c r="M711" s="193">
        <v>2840</v>
      </c>
      <c r="N711" s="193">
        <v>2840</v>
      </c>
      <c r="O711" s="193">
        <v>2840</v>
      </c>
      <c r="P711" s="193">
        <v>2400</v>
      </c>
      <c r="Q711" s="193">
        <v>2400</v>
      </c>
      <c r="R711" s="193">
        <v>2400</v>
      </c>
      <c r="S711" s="193">
        <v>0</v>
      </c>
      <c r="T711" s="193">
        <f>SUM(H711:S711)</f>
        <v>29920</v>
      </c>
      <c r="U711"/>
      <c r="V711">
        <f>+PRESUPUESTO22[[#This Row],[EJECUTADO ]]-SUM(PRESUPUESTO22[[#This Row],[   ENERO ]:[DIC]])</f>
        <v>0</v>
      </c>
    </row>
    <row r="712" spans="1:25" ht="15.95" customHeight="1" x14ac:dyDescent="0.25">
      <c r="A712" s="52"/>
      <c r="B712" s="156">
        <v>13020302</v>
      </c>
      <c r="C712" s="130" t="str">
        <f t="shared" si="252"/>
        <v>E-13020302</v>
      </c>
      <c r="D712" s="130">
        <v>662</v>
      </c>
      <c r="E712" s="156" t="s">
        <v>72</v>
      </c>
      <c r="F712" s="216" t="s">
        <v>585</v>
      </c>
      <c r="G712" s="193">
        <v>0</v>
      </c>
      <c r="H712" s="193">
        <v>0</v>
      </c>
      <c r="I712" s="193">
        <v>0</v>
      </c>
      <c r="J712" s="193">
        <v>0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93">
        <v>0</v>
      </c>
      <c r="R712" s="193">
        <v>0</v>
      </c>
      <c r="S712" s="193">
        <v>0</v>
      </c>
      <c r="T712" s="193">
        <f>SUM(H712:S712)</f>
        <v>0</v>
      </c>
      <c r="U712"/>
      <c r="V712">
        <f>+PRESUPUESTO22[[#This Row],[EJECUTADO ]]-SUM(PRESUPUESTO22[[#This Row],[   ENERO ]:[DIC]])</f>
        <v>0</v>
      </c>
    </row>
    <row r="713" spans="1:25" ht="15.95" customHeight="1" x14ac:dyDescent="0.25">
      <c r="A713" s="52"/>
      <c r="B713" s="156">
        <v>13020303</v>
      </c>
      <c r="C713" s="130" t="str">
        <f t="shared" si="252"/>
        <v>E-13020303</v>
      </c>
      <c r="D713" s="130">
        <v>663</v>
      </c>
      <c r="E713" s="156" t="s">
        <v>72</v>
      </c>
      <c r="F713" s="216" t="s">
        <v>586</v>
      </c>
      <c r="G713" s="193">
        <v>0</v>
      </c>
      <c r="H713" s="193">
        <v>0</v>
      </c>
      <c r="I713" s="193">
        <v>0</v>
      </c>
      <c r="J713" s="193">
        <v>0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93">
        <v>0</v>
      </c>
      <c r="R713" s="193">
        <v>0</v>
      </c>
      <c r="S713" s="193">
        <v>0</v>
      </c>
      <c r="T713" s="193">
        <f>SUM(H713:S713)</f>
        <v>0</v>
      </c>
      <c r="U713"/>
      <c r="V713">
        <f>+PRESUPUESTO22[[#This Row],[EJECUTADO ]]-SUM(PRESUPUESTO22[[#This Row],[   ENERO ]:[DIC]])</f>
        <v>0</v>
      </c>
    </row>
    <row r="714" spans="1:25" ht="15.95" customHeight="1" x14ac:dyDescent="0.25">
      <c r="A714" s="52"/>
      <c r="B714" s="156">
        <v>13020304</v>
      </c>
      <c r="C714" s="130" t="str">
        <f t="shared" si="252"/>
        <v>E-13020304</v>
      </c>
      <c r="D714" s="130">
        <v>664</v>
      </c>
      <c r="E714" s="156" t="s">
        <v>72</v>
      </c>
      <c r="F714" s="216" t="s">
        <v>587</v>
      </c>
      <c r="G714" s="193">
        <v>0</v>
      </c>
      <c r="H714" s="193">
        <v>0</v>
      </c>
      <c r="I714" s="193">
        <v>0</v>
      </c>
      <c r="J714" s="193">
        <f>8.57+0.43</f>
        <v>9</v>
      </c>
      <c r="K714" s="193">
        <v>0</v>
      </c>
      <c r="L714" s="193">
        <v>0</v>
      </c>
      <c r="M714" s="193">
        <v>0</v>
      </c>
      <c r="N714" s="193">
        <v>0</v>
      </c>
      <c r="O714" s="193">
        <v>0</v>
      </c>
      <c r="P714" s="193">
        <v>0</v>
      </c>
      <c r="Q714" s="193">
        <v>0</v>
      </c>
      <c r="R714" s="193">
        <v>0</v>
      </c>
      <c r="S714" s="193">
        <v>0</v>
      </c>
      <c r="T714" s="193">
        <f>SUM(H714:S714)</f>
        <v>9</v>
      </c>
      <c r="U714"/>
      <c r="V714">
        <f>+PRESUPUESTO22[[#This Row],[EJECUTADO ]]-SUM(PRESUPUESTO22[[#This Row],[   ENERO ]:[DIC]])</f>
        <v>0</v>
      </c>
    </row>
    <row r="715" spans="1:25" ht="15.95" customHeight="1" x14ac:dyDescent="0.25">
      <c r="A715" s="52"/>
      <c r="B715" s="151">
        <v>130204</v>
      </c>
      <c r="C715" s="130" t="str">
        <f t="shared" si="252"/>
        <v>E-130204</v>
      </c>
      <c r="D715" s="130">
        <v>665</v>
      </c>
      <c r="E715" s="151" t="s">
        <v>69</v>
      </c>
      <c r="F715" s="208" t="s">
        <v>588</v>
      </c>
      <c r="G715" s="192">
        <f t="shared" ref="G715:T715" si="272">SUM(G716:G727)</f>
        <v>61875</v>
      </c>
      <c r="H715" s="192">
        <f t="shared" si="272"/>
        <v>1186.0000000000002</v>
      </c>
      <c r="I715" s="192">
        <f t="shared" si="272"/>
        <v>750</v>
      </c>
      <c r="J715" s="192">
        <f t="shared" si="272"/>
        <v>600</v>
      </c>
      <c r="K715" s="192">
        <f t="shared" si="272"/>
        <v>8647</v>
      </c>
      <c r="L715" s="192">
        <f t="shared" si="272"/>
        <v>8177</v>
      </c>
      <c r="M715" s="192">
        <f t="shared" si="272"/>
        <v>1945</v>
      </c>
      <c r="N715" s="192">
        <f t="shared" si="272"/>
        <v>5398</v>
      </c>
      <c r="O715" s="192">
        <f t="shared" si="272"/>
        <v>1279</v>
      </c>
      <c r="P715" s="192">
        <f t="shared" si="272"/>
        <v>3100.9999999999995</v>
      </c>
      <c r="Q715" s="192">
        <f t="shared" si="272"/>
        <v>15665</v>
      </c>
      <c r="R715" s="192">
        <f t="shared" si="272"/>
        <v>9767</v>
      </c>
      <c r="S715" s="192">
        <f t="shared" si="272"/>
        <v>0</v>
      </c>
      <c r="T715" s="192">
        <f t="shared" si="272"/>
        <v>56515</v>
      </c>
      <c r="U715"/>
      <c r="V715">
        <f>+PRESUPUESTO22[[#This Row],[EJECUTADO ]]-SUM(PRESUPUESTO22[[#This Row],[   ENERO ]:[DIC]])</f>
        <v>0</v>
      </c>
    </row>
    <row r="716" spans="1:25" ht="15" x14ac:dyDescent="0.25">
      <c r="A716" s="52"/>
      <c r="B716" s="156">
        <v>13020401</v>
      </c>
      <c r="C716" s="130" t="str">
        <f t="shared" si="252"/>
        <v>E-13020401</v>
      </c>
      <c r="D716" s="130">
        <v>666</v>
      </c>
      <c r="E716" s="156" t="s">
        <v>72</v>
      </c>
      <c r="F716" s="216" t="s">
        <v>589</v>
      </c>
      <c r="G716" s="372">
        <v>5570</v>
      </c>
      <c r="H716" s="372">
        <v>0</v>
      </c>
      <c r="I716" s="372">
        <v>0</v>
      </c>
      <c r="J716" s="372">
        <v>0</v>
      </c>
      <c r="K716" s="372">
        <v>570</v>
      </c>
      <c r="L716" s="372">
        <v>0</v>
      </c>
      <c r="M716" s="372">
        <v>0</v>
      </c>
      <c r="N716" s="372">
        <v>0</v>
      </c>
      <c r="O716" s="372">
        <v>0</v>
      </c>
      <c r="P716" s="372">
        <v>0</v>
      </c>
      <c r="Q716" s="372">
        <f>1000+1000</f>
        <v>2000</v>
      </c>
      <c r="R716" s="372">
        <v>1000</v>
      </c>
      <c r="S716" s="372">
        <v>0</v>
      </c>
      <c r="T716" s="193">
        <f t="shared" ref="T716:T727" si="273">SUM(H716:S716)</f>
        <v>3570</v>
      </c>
      <c r="U716"/>
      <c r="V716">
        <f>+PRESUPUESTO22[[#This Row],[EJECUTADO ]]-SUM(PRESUPUESTO22[[#This Row],[   ENERO ]:[DIC]])</f>
        <v>0</v>
      </c>
    </row>
    <row r="717" spans="1:25" ht="15" x14ac:dyDescent="0.25">
      <c r="A717" s="52"/>
      <c r="B717" s="156">
        <v>13020402</v>
      </c>
      <c r="C717" s="130" t="str">
        <f t="shared" si="252"/>
        <v>E-13020402</v>
      </c>
      <c r="D717" s="130">
        <v>667</v>
      </c>
      <c r="E717" s="156" t="s">
        <v>72</v>
      </c>
      <c r="F717" s="216" t="s">
        <v>590</v>
      </c>
      <c r="G717" s="372">
        <f>13600+14400</f>
        <v>28000</v>
      </c>
      <c r="H717" s="372">
        <f>814.87+370.74+0.39</f>
        <v>1186.0000000000002</v>
      </c>
      <c r="I717" s="372">
        <v>0</v>
      </c>
      <c r="J717" s="372">
        <v>0</v>
      </c>
      <c r="K717" s="372">
        <f>1681.91+0.09</f>
        <v>1682</v>
      </c>
      <c r="L717" s="372">
        <f>4769.36-0.36</f>
        <v>4769</v>
      </c>
      <c r="M717" s="372">
        <f>858.91+0.09</f>
        <v>859</v>
      </c>
      <c r="N717" s="372">
        <f>3694.36-0.36</f>
        <v>3694</v>
      </c>
      <c r="O717" s="372">
        <f>678.72+0.28</f>
        <v>679</v>
      </c>
      <c r="P717" s="372">
        <f>1093.75+507.53+1500-0.28</f>
        <v>3100.9999999999995</v>
      </c>
      <c r="Q717" s="372">
        <f>8906.64+0.36</f>
        <v>8907</v>
      </c>
      <c r="R717" s="372">
        <f>3956.79+1379.08+0.13</f>
        <v>5336</v>
      </c>
      <c r="S717" s="372">
        <v>0</v>
      </c>
      <c r="T717" s="193">
        <f t="shared" si="273"/>
        <v>30213</v>
      </c>
      <c r="U717"/>
      <c r="V717">
        <f>+PRESUPUESTO22[[#This Row],[EJECUTADO ]]-SUM(PRESUPUESTO22[[#This Row],[   ENERO ]:[DIC]])</f>
        <v>0</v>
      </c>
    </row>
    <row r="718" spans="1:25" ht="15" x14ac:dyDescent="0.25">
      <c r="A718" s="52"/>
      <c r="B718" s="156">
        <v>13020403</v>
      </c>
      <c r="C718" s="130" t="str">
        <f t="shared" si="252"/>
        <v>E-13020403</v>
      </c>
      <c r="D718" s="130">
        <v>668</v>
      </c>
      <c r="E718" s="156" t="s">
        <v>72</v>
      </c>
      <c r="F718" s="216" t="s">
        <v>1423</v>
      </c>
      <c r="G718" s="372">
        <v>0</v>
      </c>
      <c r="H718" s="372"/>
      <c r="I718" s="372"/>
      <c r="J718" s="372"/>
      <c r="K718" s="372">
        <v>0</v>
      </c>
      <c r="L718" s="372">
        <f>576.55+0.45</f>
        <v>577</v>
      </c>
      <c r="M718" s="372">
        <f>576.51+0.49</f>
        <v>577</v>
      </c>
      <c r="N718" s="372">
        <v>0</v>
      </c>
      <c r="O718" s="372">
        <v>600</v>
      </c>
      <c r="P718" s="372">
        <v>0</v>
      </c>
      <c r="Q718" s="372">
        <v>500</v>
      </c>
      <c r="R718" s="372">
        <v>0</v>
      </c>
      <c r="S718" s="372">
        <v>0</v>
      </c>
      <c r="T718" s="193">
        <f t="shared" si="273"/>
        <v>2254</v>
      </c>
      <c r="U718"/>
      <c r="V718">
        <f>+PRESUPUESTO22[[#This Row],[EJECUTADO ]]-SUM(PRESUPUESTO22[[#This Row],[   ENERO ]:[DIC]])</f>
        <v>0</v>
      </c>
    </row>
    <row r="719" spans="1:25" ht="15" x14ac:dyDescent="0.25">
      <c r="A719" s="52"/>
      <c r="B719" s="156">
        <v>13020404</v>
      </c>
      <c r="C719" s="130" t="str">
        <f t="shared" si="252"/>
        <v>E-13020404</v>
      </c>
      <c r="D719" s="130">
        <v>669</v>
      </c>
      <c r="E719" s="156" t="s">
        <v>72</v>
      </c>
      <c r="F719" s="216" t="s">
        <v>591</v>
      </c>
      <c r="G719" s="372">
        <v>4830</v>
      </c>
      <c r="H719" s="372">
        <v>0</v>
      </c>
      <c r="I719" s="372">
        <v>0</v>
      </c>
      <c r="J719" s="372">
        <v>0</v>
      </c>
      <c r="K719" s="372">
        <f>1000+1000</f>
        <v>2000</v>
      </c>
      <c r="L719" s="372">
        <v>0</v>
      </c>
      <c r="M719" s="372">
        <v>0</v>
      </c>
      <c r="N719" s="372">
        <v>0</v>
      </c>
      <c r="O719" s="372">
        <v>0</v>
      </c>
      <c r="P719" s="372">
        <v>0</v>
      </c>
      <c r="Q719" s="372">
        <f>2260</f>
        <v>2260</v>
      </c>
      <c r="R719" s="372">
        <v>0</v>
      </c>
      <c r="S719" s="372">
        <v>0</v>
      </c>
      <c r="T719" s="193">
        <f t="shared" si="273"/>
        <v>4260</v>
      </c>
      <c r="U719"/>
      <c r="V719">
        <f>+PRESUPUESTO22[[#This Row],[EJECUTADO ]]-SUM(PRESUPUESTO22[[#This Row],[   ENERO ]:[DIC]])</f>
        <v>0</v>
      </c>
    </row>
    <row r="720" spans="1:25" ht="15" x14ac:dyDescent="0.25">
      <c r="A720" s="52"/>
      <c r="B720" s="156">
        <v>13020405</v>
      </c>
      <c r="C720" s="130" t="str">
        <f t="shared" si="252"/>
        <v>E-13020405</v>
      </c>
      <c r="D720" s="130">
        <v>670</v>
      </c>
      <c r="E720" s="156" t="s">
        <v>72</v>
      </c>
      <c r="F720" s="216" t="s">
        <v>592</v>
      </c>
      <c r="G720" s="372">
        <v>0</v>
      </c>
      <c r="H720" s="372">
        <v>0</v>
      </c>
      <c r="I720" s="372">
        <v>0</v>
      </c>
      <c r="J720" s="372">
        <v>0</v>
      </c>
      <c r="K720" s="372">
        <v>0</v>
      </c>
      <c r="L720" s="372">
        <f>1830.9+0.1</f>
        <v>1831</v>
      </c>
      <c r="M720" s="372">
        <v>0</v>
      </c>
      <c r="N720" s="372">
        <v>0</v>
      </c>
      <c r="O720" s="372">
        <v>0</v>
      </c>
      <c r="P720" s="372">
        <v>0</v>
      </c>
      <c r="Q720" s="372">
        <v>0</v>
      </c>
      <c r="R720" s="372">
        <v>0</v>
      </c>
      <c r="S720" s="372">
        <v>0</v>
      </c>
      <c r="T720" s="193">
        <f t="shared" si="273"/>
        <v>1831</v>
      </c>
      <c r="U720"/>
      <c r="V720">
        <f>+PRESUPUESTO22[[#This Row],[EJECUTADO ]]-SUM(PRESUPUESTO22[[#This Row],[   ENERO ]:[DIC]])</f>
        <v>0</v>
      </c>
    </row>
    <row r="721" spans="1:22" ht="15" x14ac:dyDescent="0.25">
      <c r="A721" s="52"/>
      <c r="B721" s="156">
        <v>13020406</v>
      </c>
      <c r="C721" s="130" t="str">
        <f t="shared" si="252"/>
        <v>E-13020406</v>
      </c>
      <c r="D721" s="130">
        <v>671</v>
      </c>
      <c r="E721" s="156" t="s">
        <v>72</v>
      </c>
      <c r="F721" s="216" t="s">
        <v>593</v>
      </c>
      <c r="G721" s="372">
        <v>6095</v>
      </c>
      <c r="H721" s="372">
        <v>0</v>
      </c>
      <c r="I721" s="372">
        <v>0</v>
      </c>
      <c r="J721" s="372">
        <v>0</v>
      </c>
      <c r="K721" s="372">
        <f>3095.07-0.07</f>
        <v>3095</v>
      </c>
      <c r="L721" s="372">
        <v>0</v>
      </c>
      <c r="M721" s="372">
        <v>0</v>
      </c>
      <c r="N721" s="372">
        <v>0</v>
      </c>
      <c r="O721" s="372">
        <v>0</v>
      </c>
      <c r="P721" s="372">
        <v>0</v>
      </c>
      <c r="Q721" s="372">
        <f>1997.84+0.16</f>
        <v>1998</v>
      </c>
      <c r="R721" s="372">
        <v>0</v>
      </c>
      <c r="S721" s="372">
        <v>0</v>
      </c>
      <c r="T721" s="193">
        <f t="shared" si="273"/>
        <v>5093</v>
      </c>
      <c r="U721"/>
      <c r="V721">
        <f>+PRESUPUESTO22[[#This Row],[EJECUTADO ]]-SUM(PRESUPUESTO22[[#This Row],[   ENERO ]:[DIC]])</f>
        <v>0</v>
      </c>
    </row>
    <row r="722" spans="1:22" ht="27.75" customHeight="1" x14ac:dyDescent="0.25">
      <c r="A722" s="52"/>
      <c r="B722" s="156">
        <v>13020407</v>
      </c>
      <c r="C722" s="130" t="str">
        <f t="shared" si="252"/>
        <v>E-13020407</v>
      </c>
      <c r="D722" s="130">
        <v>672</v>
      </c>
      <c r="E722" s="156" t="s">
        <v>72</v>
      </c>
      <c r="F722" s="216" t="s">
        <v>594</v>
      </c>
      <c r="G722" s="193">
        <v>3300</v>
      </c>
      <c r="H722" s="193">
        <v>0</v>
      </c>
      <c r="I722" s="193">
        <v>0</v>
      </c>
      <c r="J722" s="193">
        <v>0</v>
      </c>
      <c r="K722" s="193">
        <v>1300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93">
        <v>0</v>
      </c>
      <c r="R722" s="193">
        <v>0</v>
      </c>
      <c r="S722" s="193">
        <v>0</v>
      </c>
      <c r="T722" s="193">
        <f t="shared" si="273"/>
        <v>1300</v>
      </c>
      <c r="U722"/>
      <c r="V722">
        <f>+PRESUPUESTO22[[#This Row],[EJECUTADO ]]-SUM(PRESUPUESTO22[[#This Row],[   ENERO ]:[DIC]])</f>
        <v>0</v>
      </c>
    </row>
    <row r="723" spans="1:22" ht="27.75" customHeight="1" x14ac:dyDescent="0.25">
      <c r="A723" s="52"/>
      <c r="B723" s="156">
        <v>13020408</v>
      </c>
      <c r="C723" s="130" t="str">
        <f t="shared" si="252"/>
        <v>E-13020408</v>
      </c>
      <c r="D723" s="130">
        <v>673</v>
      </c>
      <c r="E723" s="156" t="s">
        <v>72</v>
      </c>
      <c r="F723" s="216" t="s">
        <v>595</v>
      </c>
      <c r="G723" s="193">
        <v>2000</v>
      </c>
      <c r="H723" s="193">
        <v>0</v>
      </c>
      <c r="I723" s="193">
        <v>0</v>
      </c>
      <c r="J723" s="193">
        <v>0</v>
      </c>
      <c r="K723" s="193">
        <v>0</v>
      </c>
      <c r="L723" s="193">
        <v>0</v>
      </c>
      <c r="M723" s="193">
        <f>508.5+0.5</f>
        <v>509</v>
      </c>
      <c r="N723" s="193">
        <f>254.25-0.25</f>
        <v>254</v>
      </c>
      <c r="O723" s="193">
        <v>0</v>
      </c>
      <c r="P723" s="193">
        <v>0</v>
      </c>
      <c r="Q723" s="193">
        <v>0</v>
      </c>
      <c r="R723" s="193">
        <f>711.9+0.1</f>
        <v>712</v>
      </c>
      <c r="S723" s="193">
        <v>0</v>
      </c>
      <c r="T723" s="193">
        <f t="shared" si="273"/>
        <v>1475</v>
      </c>
      <c r="U723"/>
      <c r="V723">
        <f>+PRESUPUESTO22[[#This Row],[EJECUTADO ]]-SUM(PRESUPUESTO22[[#This Row],[   ENERO ]:[DIC]])</f>
        <v>0</v>
      </c>
    </row>
    <row r="724" spans="1:22" ht="16.5" customHeight="1" x14ac:dyDescent="0.25">
      <c r="A724" s="52"/>
      <c r="B724" s="156">
        <v>13020409</v>
      </c>
      <c r="C724" s="130" t="str">
        <f t="shared" si="252"/>
        <v>E-13020409</v>
      </c>
      <c r="D724" s="130">
        <v>674</v>
      </c>
      <c r="E724" s="156" t="s">
        <v>72</v>
      </c>
      <c r="F724" s="216" t="s">
        <v>596</v>
      </c>
      <c r="G724" s="193">
        <v>600</v>
      </c>
      <c r="H724" s="193">
        <v>0</v>
      </c>
      <c r="I724" s="193">
        <v>0</v>
      </c>
      <c r="J724" s="193">
        <v>0</v>
      </c>
      <c r="K724" s="193">
        <v>0</v>
      </c>
      <c r="L724" s="193">
        <v>0</v>
      </c>
      <c r="M724" s="193">
        <v>0</v>
      </c>
      <c r="N724" s="193">
        <v>0</v>
      </c>
      <c r="O724" s="193">
        <v>0</v>
      </c>
      <c r="P724" s="193">
        <v>0</v>
      </c>
      <c r="Q724" s="193">
        <v>0</v>
      </c>
      <c r="R724" s="193">
        <v>0</v>
      </c>
      <c r="S724" s="193">
        <v>0</v>
      </c>
      <c r="T724" s="193">
        <f t="shared" si="273"/>
        <v>0</v>
      </c>
      <c r="U724"/>
      <c r="V724">
        <f>+PRESUPUESTO22[[#This Row],[EJECUTADO ]]-SUM(PRESUPUESTO22[[#This Row],[   ENERO ]:[DIC]])</f>
        <v>0</v>
      </c>
    </row>
    <row r="725" spans="1:22" ht="15.75" customHeight="1" x14ac:dyDescent="0.25">
      <c r="A725" s="52"/>
      <c r="B725" s="156">
        <v>13020410</v>
      </c>
      <c r="C725" s="130" t="str">
        <f t="shared" si="252"/>
        <v>E-13020410</v>
      </c>
      <c r="D725" s="130">
        <v>675</v>
      </c>
      <c r="E725" s="156" t="s">
        <v>72</v>
      </c>
      <c r="F725" s="216" t="s">
        <v>597</v>
      </c>
      <c r="G725" s="193">
        <v>2300</v>
      </c>
      <c r="H725" s="193">
        <v>0</v>
      </c>
      <c r="I725" s="193">
        <v>0</v>
      </c>
      <c r="J725" s="193">
        <v>0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93">
        <v>0</v>
      </c>
      <c r="R725" s="193">
        <v>0</v>
      </c>
      <c r="S725" s="193">
        <v>0</v>
      </c>
      <c r="T725" s="193">
        <f t="shared" si="273"/>
        <v>0</v>
      </c>
      <c r="U725"/>
      <c r="V725">
        <f>+PRESUPUESTO22[[#This Row],[EJECUTADO ]]-SUM(PRESUPUESTO22[[#This Row],[   ENERO ]:[DIC]])</f>
        <v>0</v>
      </c>
    </row>
    <row r="726" spans="1:22" ht="15.75" customHeight="1" x14ac:dyDescent="0.25">
      <c r="A726" s="52"/>
      <c r="B726" s="156">
        <v>13020411</v>
      </c>
      <c r="C726" s="130" t="str">
        <f t="shared" ref="C726:C789" si="274">"E"&amp;"-"&amp;B726</f>
        <v>E-13020411</v>
      </c>
      <c r="D726" s="130">
        <v>676</v>
      </c>
      <c r="E726" s="156" t="s">
        <v>72</v>
      </c>
      <c r="F726" s="216" t="s">
        <v>586</v>
      </c>
      <c r="G726" s="193">
        <v>80</v>
      </c>
      <c r="H726" s="193">
        <v>0</v>
      </c>
      <c r="I726" s="193">
        <v>0</v>
      </c>
      <c r="J726" s="193">
        <v>0</v>
      </c>
      <c r="K726" s="193">
        <v>0</v>
      </c>
      <c r="L726" s="193">
        <v>0</v>
      </c>
      <c r="M726" s="193">
        <v>0</v>
      </c>
      <c r="N726" s="193">
        <v>0</v>
      </c>
      <c r="O726" s="193">
        <v>0</v>
      </c>
      <c r="P726" s="193">
        <v>0</v>
      </c>
      <c r="Q726" s="193">
        <v>0</v>
      </c>
      <c r="R726" s="193">
        <v>0</v>
      </c>
      <c r="S726" s="193">
        <v>0</v>
      </c>
      <c r="T726" s="193">
        <f t="shared" si="273"/>
        <v>0</v>
      </c>
      <c r="U726"/>
      <c r="V726">
        <f>+PRESUPUESTO22[[#This Row],[EJECUTADO ]]-SUM(PRESUPUESTO22[[#This Row],[   ENERO ]:[DIC]])</f>
        <v>0</v>
      </c>
    </row>
    <row r="727" spans="1:22" ht="15.95" customHeight="1" x14ac:dyDescent="0.25">
      <c r="A727" s="52"/>
      <c r="B727" s="156">
        <v>13020412</v>
      </c>
      <c r="C727" s="130" t="str">
        <f t="shared" si="274"/>
        <v>E-13020412</v>
      </c>
      <c r="D727" s="130">
        <v>677</v>
      </c>
      <c r="E727" s="156" t="s">
        <v>72</v>
      </c>
      <c r="F727" s="216" t="s">
        <v>598</v>
      </c>
      <c r="G727" s="193">
        <v>9100</v>
      </c>
      <c r="H727" s="193">
        <v>0</v>
      </c>
      <c r="I727" s="193">
        <f>320+430</f>
        <v>750</v>
      </c>
      <c r="J727" s="193">
        <f>280+320</f>
        <v>600</v>
      </c>
      <c r="K727" s="193">
        <v>0</v>
      </c>
      <c r="L727" s="193">
        <v>1000</v>
      </c>
      <c r="M727" s="193">
        <v>0</v>
      </c>
      <c r="N727" s="193">
        <f>780+670</f>
        <v>1450</v>
      </c>
      <c r="O727" s="193">
        <v>0</v>
      </c>
      <c r="P727" s="193">
        <v>0</v>
      </c>
      <c r="Q727" s="193">
        <v>0</v>
      </c>
      <c r="R727" s="193">
        <f>1670+1030+18.78+0.22</f>
        <v>2719</v>
      </c>
      <c r="S727" s="193">
        <v>0</v>
      </c>
      <c r="T727" s="193">
        <f t="shared" si="273"/>
        <v>6519</v>
      </c>
      <c r="U727"/>
      <c r="V727">
        <f>+PRESUPUESTO22[[#This Row],[EJECUTADO ]]-SUM(PRESUPUESTO22[[#This Row],[   ENERO ]:[DIC]])</f>
        <v>0</v>
      </c>
    </row>
    <row r="728" spans="1:22" ht="15.95" customHeight="1" x14ac:dyDescent="0.25">
      <c r="A728" s="52"/>
      <c r="B728" s="151">
        <v>130205</v>
      </c>
      <c r="C728" s="130" t="str">
        <f t="shared" si="274"/>
        <v>E-130205</v>
      </c>
      <c r="D728" s="130">
        <v>678</v>
      </c>
      <c r="E728" s="151" t="s">
        <v>69</v>
      </c>
      <c r="F728" s="208" t="s">
        <v>599</v>
      </c>
      <c r="G728" s="192">
        <f>SUM(G729:G732)</f>
        <v>8700</v>
      </c>
      <c r="H728" s="192">
        <f>SUM(H729:H732)</f>
        <v>0</v>
      </c>
      <c r="I728" s="192">
        <f>SUM(I729:I732)</f>
        <v>605</v>
      </c>
      <c r="J728" s="192">
        <f>SUM(J729:J732)</f>
        <v>1557</v>
      </c>
      <c r="K728" s="192">
        <f t="shared" ref="K728:T728" si="275">SUM(K729:K732)</f>
        <v>0</v>
      </c>
      <c r="L728" s="192">
        <f t="shared" si="275"/>
        <v>0</v>
      </c>
      <c r="M728" s="192">
        <f t="shared" si="275"/>
        <v>0</v>
      </c>
      <c r="N728" s="192">
        <f t="shared" si="275"/>
        <v>2607</v>
      </c>
      <c r="O728" s="192">
        <f t="shared" si="275"/>
        <v>0</v>
      </c>
      <c r="P728" s="192">
        <f t="shared" si="275"/>
        <v>538</v>
      </c>
      <c r="Q728" s="192">
        <f t="shared" si="275"/>
        <v>0</v>
      </c>
      <c r="R728" s="192">
        <f t="shared" si="275"/>
        <v>0</v>
      </c>
      <c r="S728" s="192">
        <f t="shared" si="275"/>
        <v>0</v>
      </c>
      <c r="T728" s="192">
        <f t="shared" si="275"/>
        <v>5307</v>
      </c>
      <c r="U728"/>
      <c r="V728">
        <f>+PRESUPUESTO22[[#This Row],[EJECUTADO ]]-SUM(PRESUPUESTO22[[#This Row],[   ENERO ]:[DIC]])</f>
        <v>0</v>
      </c>
    </row>
    <row r="729" spans="1:22" ht="15.95" customHeight="1" x14ac:dyDescent="0.25">
      <c r="A729" s="52"/>
      <c r="B729" s="156">
        <v>13020501</v>
      </c>
      <c r="C729" s="130" t="str">
        <f t="shared" si="274"/>
        <v>E-13020501</v>
      </c>
      <c r="D729" s="130">
        <v>679</v>
      </c>
      <c r="E729" s="156" t="s">
        <v>72</v>
      </c>
      <c r="F729" s="216" t="s">
        <v>600</v>
      </c>
      <c r="G729" s="193">
        <v>1500</v>
      </c>
      <c r="H729" s="193">
        <v>0</v>
      </c>
      <c r="I729" s="193">
        <f>403.12-0.12</f>
        <v>403</v>
      </c>
      <c r="J729" s="193">
        <f>4.8+0.2</f>
        <v>5</v>
      </c>
      <c r="K729" s="193">
        <v>0</v>
      </c>
      <c r="L729" s="193">
        <v>0</v>
      </c>
      <c r="M729" s="193">
        <v>0</v>
      </c>
      <c r="N729" s="193">
        <f>537.88+0.12</f>
        <v>538</v>
      </c>
      <c r="O729" s="193">
        <v>0</v>
      </c>
      <c r="P729" s="193">
        <f>537.6+0.4</f>
        <v>538</v>
      </c>
      <c r="Q729" s="193">
        <v>0</v>
      </c>
      <c r="R729" s="193">
        <v>0</v>
      </c>
      <c r="S729" s="193">
        <v>0</v>
      </c>
      <c r="T729" s="193">
        <f>SUM(H729:S729)</f>
        <v>1484</v>
      </c>
      <c r="U729"/>
      <c r="V729">
        <f>+PRESUPUESTO22[[#This Row],[EJECUTADO ]]-SUM(PRESUPUESTO22[[#This Row],[   ENERO ]:[DIC]])</f>
        <v>0</v>
      </c>
    </row>
    <row r="730" spans="1:22" ht="15.95" customHeight="1" x14ac:dyDescent="0.25">
      <c r="A730" s="52"/>
      <c r="B730" s="156">
        <v>13020502</v>
      </c>
      <c r="C730" s="130" t="str">
        <f t="shared" si="274"/>
        <v>E-13020502</v>
      </c>
      <c r="D730" s="130">
        <v>680</v>
      </c>
      <c r="E730" s="156" t="s">
        <v>72</v>
      </c>
      <c r="F730" s="216" t="s">
        <v>601</v>
      </c>
      <c r="G730" s="193">
        <v>6000</v>
      </c>
      <c r="H730" s="193">
        <v>0</v>
      </c>
      <c r="I730" s="193">
        <v>0</v>
      </c>
      <c r="J730" s="193">
        <f>1551.94+0.06</f>
        <v>1552</v>
      </c>
      <c r="K730" s="193">
        <v>0</v>
      </c>
      <c r="L730" s="193">
        <v>0</v>
      </c>
      <c r="M730" s="193">
        <v>0</v>
      </c>
      <c r="N730" s="193">
        <f>2069.26-0.26</f>
        <v>2069</v>
      </c>
      <c r="O730" s="193">
        <v>0</v>
      </c>
      <c r="P730" s="193">
        <v>0</v>
      </c>
      <c r="Q730" s="193">
        <v>0</v>
      </c>
      <c r="R730" s="193">
        <v>0</v>
      </c>
      <c r="S730" s="193">
        <v>0</v>
      </c>
      <c r="T730" s="193">
        <f>SUM(H730:S730)</f>
        <v>3621</v>
      </c>
      <c r="U730"/>
      <c r="V730">
        <f>+PRESUPUESTO22[[#This Row],[EJECUTADO ]]-SUM(PRESUPUESTO22[[#This Row],[   ENERO ]:[DIC]])</f>
        <v>0</v>
      </c>
    </row>
    <row r="731" spans="1:22" ht="15.95" customHeight="1" x14ac:dyDescent="0.25">
      <c r="A731" s="52"/>
      <c r="B731" s="156">
        <v>13020503</v>
      </c>
      <c r="C731" s="130" t="str">
        <f t="shared" si="274"/>
        <v>E-13020503</v>
      </c>
      <c r="D731" s="130">
        <v>681</v>
      </c>
      <c r="E731" s="156" t="s">
        <v>72</v>
      </c>
      <c r="F731" s="216" t="s">
        <v>602</v>
      </c>
      <c r="G731" s="193">
        <v>300</v>
      </c>
      <c r="H731" s="193">
        <v>0</v>
      </c>
      <c r="I731" s="193">
        <v>0</v>
      </c>
      <c r="J731" s="193">
        <v>0</v>
      </c>
      <c r="K731" s="193">
        <v>0</v>
      </c>
      <c r="L731" s="193">
        <v>0</v>
      </c>
      <c r="M731" s="193">
        <v>0</v>
      </c>
      <c r="N731" s="193">
        <v>0</v>
      </c>
      <c r="O731" s="193">
        <v>0</v>
      </c>
      <c r="P731" s="193">
        <v>0</v>
      </c>
      <c r="Q731" s="193">
        <v>0</v>
      </c>
      <c r="R731" s="193">
        <v>0</v>
      </c>
      <c r="S731" s="193">
        <v>0</v>
      </c>
      <c r="T731" s="193">
        <f>SUM(H731:S731)</f>
        <v>0</v>
      </c>
      <c r="U731"/>
      <c r="V731">
        <f>+PRESUPUESTO22[[#This Row],[EJECUTADO ]]-SUM(PRESUPUESTO22[[#This Row],[   ENERO ]:[DIC]])</f>
        <v>0</v>
      </c>
    </row>
    <row r="732" spans="1:22" ht="15.95" customHeight="1" x14ac:dyDescent="0.25">
      <c r="A732" s="52"/>
      <c r="B732" s="156">
        <v>13020504</v>
      </c>
      <c r="C732" s="130" t="str">
        <f t="shared" si="274"/>
        <v>E-13020504</v>
      </c>
      <c r="D732" s="130">
        <v>682</v>
      </c>
      <c r="E732" s="156" t="s">
        <v>72</v>
      </c>
      <c r="F732" s="216" t="s">
        <v>603</v>
      </c>
      <c r="G732" s="193">
        <v>900</v>
      </c>
      <c r="H732" s="193">
        <v>0</v>
      </c>
      <c r="I732" s="193">
        <f>202.47-0.47</f>
        <v>202</v>
      </c>
      <c r="J732" s="193">
        <v>0</v>
      </c>
      <c r="K732" s="193">
        <v>0</v>
      </c>
      <c r="L732" s="193">
        <v>0</v>
      </c>
      <c r="M732" s="193">
        <v>0</v>
      </c>
      <c r="N732" s="193">
        <v>0</v>
      </c>
      <c r="O732" s="193">
        <v>0</v>
      </c>
      <c r="P732" s="193">
        <v>0</v>
      </c>
      <c r="Q732" s="193">
        <v>0</v>
      </c>
      <c r="R732" s="193">
        <v>0</v>
      </c>
      <c r="S732" s="193">
        <v>0</v>
      </c>
      <c r="T732" s="193">
        <f>SUM(H732:S732)</f>
        <v>202</v>
      </c>
      <c r="U732"/>
      <c r="V732">
        <f>+PRESUPUESTO22[[#This Row],[EJECUTADO ]]-SUM(PRESUPUESTO22[[#This Row],[   ENERO ]:[DIC]])</f>
        <v>0</v>
      </c>
    </row>
    <row r="733" spans="1:22" ht="15.95" customHeight="1" x14ac:dyDescent="0.25">
      <c r="A733" s="51">
        <v>3</v>
      </c>
      <c r="B733" s="139">
        <v>1303</v>
      </c>
      <c r="C733" s="130" t="str">
        <f t="shared" si="274"/>
        <v>E-1303</v>
      </c>
      <c r="D733" s="130">
        <v>683</v>
      </c>
      <c r="E733" s="139" t="s">
        <v>69</v>
      </c>
      <c r="F733" s="189" t="s">
        <v>604</v>
      </c>
      <c r="G733" s="190">
        <f>+G734+G737</f>
        <v>55740</v>
      </c>
      <c r="H733" s="190">
        <f>+H734+H737+H740</f>
        <v>0</v>
      </c>
      <c r="I733" s="190">
        <f>+I734+I737+I740</f>
        <v>4160</v>
      </c>
      <c r="J733" s="190">
        <f>+J734+J737+J740</f>
        <v>4480</v>
      </c>
      <c r="K733" s="190">
        <f>+K734+K737+K740</f>
        <v>5440</v>
      </c>
      <c r="L733" s="190">
        <f t="shared" ref="L733:T733" si="276">+L734+L737+L739</f>
        <v>8480</v>
      </c>
      <c r="M733" s="190">
        <f t="shared" si="276"/>
        <v>5320</v>
      </c>
      <c r="N733" s="190">
        <f t="shared" si="276"/>
        <v>7040</v>
      </c>
      <c r="O733" s="190">
        <f t="shared" si="276"/>
        <v>7114</v>
      </c>
      <c r="P733" s="190">
        <f t="shared" si="276"/>
        <v>5126</v>
      </c>
      <c r="Q733" s="190">
        <f t="shared" si="276"/>
        <v>8831</v>
      </c>
      <c r="R733" s="190">
        <f t="shared" si="276"/>
        <v>12774</v>
      </c>
      <c r="S733" s="190">
        <f t="shared" si="276"/>
        <v>0</v>
      </c>
      <c r="T733" s="190">
        <f t="shared" si="276"/>
        <v>68765</v>
      </c>
      <c r="U733"/>
      <c r="V733">
        <f>+PRESUPUESTO22[[#This Row],[EJECUTADO ]]-SUM(PRESUPUESTO22[[#This Row],[   ENERO ]:[DIC]])</f>
        <v>0</v>
      </c>
    </row>
    <row r="734" spans="1:22" ht="15.95" customHeight="1" x14ac:dyDescent="0.25">
      <c r="A734" s="52"/>
      <c r="B734" s="151">
        <v>130301</v>
      </c>
      <c r="C734" s="130" t="str">
        <f t="shared" si="274"/>
        <v>E-130301</v>
      </c>
      <c r="D734" s="130">
        <v>684</v>
      </c>
      <c r="E734" s="151" t="s">
        <v>69</v>
      </c>
      <c r="F734" s="208" t="s">
        <v>605</v>
      </c>
      <c r="G734" s="192">
        <f t="shared" ref="G734:T734" si="277">SUM(G735:G736)</f>
        <v>54300</v>
      </c>
      <c r="H734" s="192">
        <f t="shared" si="277"/>
        <v>0</v>
      </c>
      <c r="I734" s="192">
        <f t="shared" si="277"/>
        <v>4160</v>
      </c>
      <c r="J734" s="192">
        <f t="shared" si="277"/>
        <v>4480</v>
      </c>
      <c r="K734" s="192">
        <f t="shared" si="277"/>
        <v>5440</v>
      </c>
      <c r="L734" s="192">
        <f t="shared" si="277"/>
        <v>8480</v>
      </c>
      <c r="M734" s="192">
        <f t="shared" si="277"/>
        <v>5320</v>
      </c>
      <c r="N734" s="192">
        <f t="shared" si="277"/>
        <v>7040</v>
      </c>
      <c r="O734" s="192">
        <f t="shared" si="277"/>
        <v>7114</v>
      </c>
      <c r="P734" s="192">
        <f t="shared" si="277"/>
        <v>5126</v>
      </c>
      <c r="Q734" s="192">
        <f t="shared" si="277"/>
        <v>8831</v>
      </c>
      <c r="R734" s="192">
        <f t="shared" si="277"/>
        <v>12774</v>
      </c>
      <c r="S734" s="192">
        <f t="shared" si="277"/>
        <v>0</v>
      </c>
      <c r="T734" s="192">
        <f t="shared" si="277"/>
        <v>68765</v>
      </c>
      <c r="U734"/>
      <c r="V734">
        <f>+PRESUPUESTO22[[#This Row],[EJECUTADO ]]-SUM(PRESUPUESTO22[[#This Row],[   ENERO ]:[DIC]])</f>
        <v>0</v>
      </c>
    </row>
    <row r="735" spans="1:22" ht="15.95" customHeight="1" x14ac:dyDescent="0.25">
      <c r="A735" s="52"/>
      <c r="B735" s="156">
        <v>13030101</v>
      </c>
      <c r="C735" s="130" t="str">
        <f t="shared" si="274"/>
        <v>E-13030101</v>
      </c>
      <c r="D735" s="130">
        <v>685</v>
      </c>
      <c r="E735" s="156" t="s">
        <v>72</v>
      </c>
      <c r="F735" s="216" t="s">
        <v>606</v>
      </c>
      <c r="G735" s="193">
        <v>44700</v>
      </c>
      <c r="H735" s="193">
        <v>0</v>
      </c>
      <c r="I735" s="193">
        <f>2720+640</f>
        <v>3360</v>
      </c>
      <c r="J735" s="193">
        <v>3680</v>
      </c>
      <c r="K735" s="193">
        <f>4480+160</f>
        <v>4640</v>
      </c>
      <c r="L735" s="193">
        <v>7680</v>
      </c>
      <c r="M735" s="193">
        <f>4200+320</f>
        <v>4520</v>
      </c>
      <c r="N735" s="193">
        <f>4960+640+640</f>
        <v>6240</v>
      </c>
      <c r="O735" s="193">
        <f>5033.6+800+0.4+480</f>
        <v>6314</v>
      </c>
      <c r="P735" s="193">
        <f>4326.4-0.4</f>
        <v>4326</v>
      </c>
      <c r="Q735" s="193">
        <f>7231.2+800-0.2</f>
        <v>8031</v>
      </c>
      <c r="R735" s="193">
        <f>11973.6+0.4</f>
        <v>11974</v>
      </c>
      <c r="S735" s="193">
        <v>0</v>
      </c>
      <c r="T735" s="193">
        <f>SUM(H735:S735)</f>
        <v>60765</v>
      </c>
      <c r="U735"/>
      <c r="V735">
        <f>+PRESUPUESTO22[[#This Row],[EJECUTADO ]]-SUM(PRESUPUESTO22[[#This Row],[   ENERO ]:[DIC]])</f>
        <v>0</v>
      </c>
    </row>
    <row r="736" spans="1:22" ht="15.95" customHeight="1" x14ac:dyDescent="0.25">
      <c r="A736" s="52"/>
      <c r="B736" s="156">
        <v>13030102</v>
      </c>
      <c r="C736" s="130" t="str">
        <f t="shared" si="274"/>
        <v>E-13030102</v>
      </c>
      <c r="D736" s="130">
        <v>686</v>
      </c>
      <c r="E736" s="156" t="s">
        <v>72</v>
      </c>
      <c r="F736" s="216" t="s">
        <v>607</v>
      </c>
      <c r="G736" s="193">
        <f>800*12</f>
        <v>9600</v>
      </c>
      <c r="H736" s="193">
        <v>0</v>
      </c>
      <c r="I736" s="193">
        <v>800</v>
      </c>
      <c r="J736" s="193">
        <v>800</v>
      </c>
      <c r="K736" s="193">
        <v>800</v>
      </c>
      <c r="L736" s="193">
        <v>800</v>
      </c>
      <c r="M736" s="193">
        <v>800</v>
      </c>
      <c r="N736" s="193">
        <v>800</v>
      </c>
      <c r="O736" s="193">
        <v>800</v>
      </c>
      <c r="P736" s="193">
        <v>800</v>
      </c>
      <c r="Q736" s="193">
        <v>800</v>
      </c>
      <c r="R736" s="193">
        <v>800</v>
      </c>
      <c r="S736" s="193">
        <v>0</v>
      </c>
      <c r="T736" s="193">
        <f>SUM(H736:S736)</f>
        <v>8000</v>
      </c>
      <c r="U736"/>
      <c r="V736">
        <f>+PRESUPUESTO22[[#This Row],[EJECUTADO ]]-SUM(PRESUPUESTO22[[#This Row],[   ENERO ]:[DIC]])</f>
        <v>0</v>
      </c>
    </row>
    <row r="737" spans="1:22" ht="15.95" customHeight="1" x14ac:dyDescent="0.25">
      <c r="A737" s="52"/>
      <c r="B737" s="151">
        <v>130302</v>
      </c>
      <c r="C737" s="130" t="str">
        <f t="shared" si="274"/>
        <v>E-130302</v>
      </c>
      <c r="D737" s="130">
        <v>687</v>
      </c>
      <c r="E737" s="151" t="s">
        <v>69</v>
      </c>
      <c r="F737" s="208" t="s">
        <v>608</v>
      </c>
      <c r="G737" s="192">
        <f>SUM(G738:G738)</f>
        <v>1440</v>
      </c>
      <c r="H737" s="192">
        <f>SUM(H738:H738)</f>
        <v>0</v>
      </c>
      <c r="I737" s="192">
        <f>SUM(I738:I738)</f>
        <v>0</v>
      </c>
      <c r="J737" s="192">
        <f>SUM(J738:J738)</f>
        <v>0</v>
      </c>
      <c r="K737" s="192">
        <f t="shared" ref="K737:T737" si="278">SUM(K738:K738)</f>
        <v>0</v>
      </c>
      <c r="L737" s="192">
        <f t="shared" si="278"/>
        <v>0</v>
      </c>
      <c r="M737" s="192">
        <f t="shared" si="278"/>
        <v>0</v>
      </c>
      <c r="N737" s="192">
        <f t="shared" si="278"/>
        <v>0</v>
      </c>
      <c r="O737" s="192">
        <f t="shared" si="278"/>
        <v>0</v>
      </c>
      <c r="P737" s="192">
        <f t="shared" si="278"/>
        <v>0</v>
      </c>
      <c r="Q737" s="192">
        <f t="shared" si="278"/>
        <v>0</v>
      </c>
      <c r="R737" s="192">
        <f t="shared" si="278"/>
        <v>0</v>
      </c>
      <c r="S737" s="192">
        <f t="shared" si="278"/>
        <v>0</v>
      </c>
      <c r="T737" s="192">
        <f t="shared" si="278"/>
        <v>0</v>
      </c>
      <c r="U737"/>
      <c r="V737">
        <f>+PRESUPUESTO22[[#This Row],[EJECUTADO ]]-SUM(PRESUPUESTO22[[#This Row],[   ENERO ]:[DIC]])</f>
        <v>0</v>
      </c>
    </row>
    <row r="738" spans="1:22" ht="15.95" customHeight="1" x14ac:dyDescent="0.25">
      <c r="A738" s="52"/>
      <c r="B738" s="156">
        <v>13030201</v>
      </c>
      <c r="C738" s="130" t="str">
        <f t="shared" si="274"/>
        <v>E-13030201</v>
      </c>
      <c r="D738" s="130">
        <v>688</v>
      </c>
      <c r="E738" s="156" t="s">
        <v>72</v>
      </c>
      <c r="F738" s="216" t="s">
        <v>518</v>
      </c>
      <c r="G738" s="193">
        <v>1440</v>
      </c>
      <c r="H738" s="193">
        <v>0</v>
      </c>
      <c r="I738" s="193">
        <v>0</v>
      </c>
      <c r="J738" s="193">
        <v>0</v>
      </c>
      <c r="K738" s="193">
        <v>0</v>
      </c>
      <c r="L738" s="193">
        <v>0</v>
      </c>
      <c r="M738" s="193">
        <v>0</v>
      </c>
      <c r="N738" s="193">
        <v>0</v>
      </c>
      <c r="O738" s="193">
        <v>0</v>
      </c>
      <c r="P738" s="193">
        <v>0</v>
      </c>
      <c r="Q738" s="193">
        <v>0</v>
      </c>
      <c r="R738" s="193">
        <v>0</v>
      </c>
      <c r="S738" s="193">
        <v>0</v>
      </c>
      <c r="T738" s="193">
        <f>SUM(H738:S738)</f>
        <v>0</v>
      </c>
      <c r="U738"/>
      <c r="V738">
        <f>+PRESUPUESTO22[[#This Row],[EJECUTADO ]]-SUM(PRESUPUESTO22[[#This Row],[   ENERO ]:[DIC]])</f>
        <v>0</v>
      </c>
    </row>
    <row r="739" spans="1:22" ht="15.95" customHeight="1" x14ac:dyDescent="0.25">
      <c r="A739" s="51">
        <v>4</v>
      </c>
      <c r="B739" s="139">
        <v>1304</v>
      </c>
      <c r="C739" s="130" t="str">
        <f t="shared" si="274"/>
        <v>E-1304</v>
      </c>
      <c r="D739" s="130">
        <v>689</v>
      </c>
      <c r="E739" s="139" t="s">
        <v>69</v>
      </c>
      <c r="F739" s="189" t="s">
        <v>609</v>
      </c>
      <c r="G739" s="190">
        <f>+G740</f>
        <v>3000</v>
      </c>
      <c r="H739" s="190">
        <f t="shared" ref="H739:T739" si="279">+H740</f>
        <v>0</v>
      </c>
      <c r="I739" s="190">
        <f t="shared" si="279"/>
        <v>0</v>
      </c>
      <c r="J739" s="190">
        <f t="shared" si="279"/>
        <v>0</v>
      </c>
      <c r="K739" s="190">
        <f t="shared" si="279"/>
        <v>0</v>
      </c>
      <c r="L739" s="190">
        <f t="shared" si="279"/>
        <v>0</v>
      </c>
      <c r="M739" s="190">
        <f t="shared" si="279"/>
        <v>0</v>
      </c>
      <c r="N739" s="190">
        <f t="shared" si="279"/>
        <v>0</v>
      </c>
      <c r="O739" s="190">
        <f t="shared" si="279"/>
        <v>0</v>
      </c>
      <c r="P739" s="190">
        <f t="shared" si="279"/>
        <v>0</v>
      </c>
      <c r="Q739" s="190">
        <f t="shared" si="279"/>
        <v>0</v>
      </c>
      <c r="R739" s="190">
        <f t="shared" si="279"/>
        <v>0</v>
      </c>
      <c r="S739" s="190">
        <f t="shared" si="279"/>
        <v>0</v>
      </c>
      <c r="T739" s="190">
        <f t="shared" si="279"/>
        <v>0</v>
      </c>
      <c r="U739"/>
      <c r="V739">
        <f>+PRESUPUESTO22[[#This Row],[EJECUTADO ]]-SUM(PRESUPUESTO22[[#This Row],[   ENERO ]:[DIC]])</f>
        <v>0</v>
      </c>
    </row>
    <row r="740" spans="1:22" ht="15.95" customHeight="1" x14ac:dyDescent="0.25">
      <c r="A740" s="52"/>
      <c r="B740" s="151">
        <v>130401</v>
      </c>
      <c r="C740" s="130" t="str">
        <f t="shared" si="274"/>
        <v>E-130401</v>
      </c>
      <c r="D740" s="130">
        <v>690</v>
      </c>
      <c r="E740" s="151" t="s">
        <v>69</v>
      </c>
      <c r="F740" s="208" t="s">
        <v>524</v>
      </c>
      <c r="G740" s="192">
        <f>SUM(G741:G741)</f>
        <v>3000</v>
      </c>
      <c r="H740" s="192">
        <f t="shared" ref="H740:T740" si="280">SUM(H741:H741)</f>
        <v>0</v>
      </c>
      <c r="I740" s="192">
        <f t="shared" si="280"/>
        <v>0</v>
      </c>
      <c r="J740" s="192">
        <f t="shared" si="280"/>
        <v>0</v>
      </c>
      <c r="K740" s="192">
        <f t="shared" si="280"/>
        <v>0</v>
      </c>
      <c r="L740" s="192">
        <f t="shared" si="280"/>
        <v>0</v>
      </c>
      <c r="M740" s="192">
        <f t="shared" si="280"/>
        <v>0</v>
      </c>
      <c r="N740" s="192">
        <f t="shared" si="280"/>
        <v>0</v>
      </c>
      <c r="O740" s="192">
        <f t="shared" si="280"/>
        <v>0</v>
      </c>
      <c r="P740" s="192">
        <f t="shared" si="280"/>
        <v>0</v>
      </c>
      <c r="Q740" s="192">
        <f t="shared" si="280"/>
        <v>0</v>
      </c>
      <c r="R740" s="192">
        <f t="shared" si="280"/>
        <v>0</v>
      </c>
      <c r="S740" s="192">
        <f t="shared" si="280"/>
        <v>0</v>
      </c>
      <c r="T740" s="192">
        <f t="shared" si="280"/>
        <v>0</v>
      </c>
      <c r="U740"/>
      <c r="V740">
        <f>+PRESUPUESTO22[[#This Row],[EJECUTADO ]]-SUM(PRESUPUESTO22[[#This Row],[   ENERO ]:[DIC]])</f>
        <v>0</v>
      </c>
    </row>
    <row r="741" spans="1:22" ht="15.95" customHeight="1" x14ac:dyDescent="0.25">
      <c r="A741" s="52"/>
      <c r="B741" s="156">
        <v>13040101</v>
      </c>
      <c r="C741" s="130" t="str">
        <f t="shared" si="274"/>
        <v>E-13040101</v>
      </c>
      <c r="D741" s="130">
        <v>691</v>
      </c>
      <c r="E741" s="156" t="s">
        <v>72</v>
      </c>
      <c r="F741" s="216" t="s">
        <v>610</v>
      </c>
      <c r="G741" s="193">
        <v>3000</v>
      </c>
      <c r="H741" s="193">
        <v>0</v>
      </c>
      <c r="I741" s="193">
        <v>0</v>
      </c>
      <c r="J741" s="193">
        <v>0</v>
      </c>
      <c r="K741" s="193">
        <v>0</v>
      </c>
      <c r="L741" s="193">
        <v>0</v>
      </c>
      <c r="M741" s="193">
        <v>0</v>
      </c>
      <c r="N741" s="193">
        <v>0</v>
      </c>
      <c r="O741" s="193">
        <v>0</v>
      </c>
      <c r="P741" s="193">
        <v>0</v>
      </c>
      <c r="Q741" s="193">
        <v>0</v>
      </c>
      <c r="R741" s="193">
        <v>0</v>
      </c>
      <c r="S741" s="193">
        <v>0</v>
      </c>
      <c r="T741" s="193">
        <f>SUM(H741:S741)</f>
        <v>0</v>
      </c>
      <c r="U741"/>
      <c r="V741">
        <f>+PRESUPUESTO22[[#This Row],[EJECUTADO ]]-SUM(PRESUPUESTO22[[#This Row],[   ENERO ]:[DIC]])</f>
        <v>0</v>
      </c>
    </row>
    <row r="742" spans="1:22" ht="15.95" customHeight="1" x14ac:dyDescent="0.25">
      <c r="A742" s="51">
        <v>5</v>
      </c>
      <c r="B742" s="139">
        <v>1305</v>
      </c>
      <c r="C742" s="130" t="str">
        <f t="shared" si="274"/>
        <v>E-1305</v>
      </c>
      <c r="D742" s="130">
        <v>692</v>
      </c>
      <c r="E742" s="139" t="s">
        <v>69</v>
      </c>
      <c r="F742" s="189" t="s">
        <v>353</v>
      </c>
      <c r="G742" s="190">
        <f>+G743</f>
        <v>0</v>
      </c>
      <c r="H742" s="190">
        <f t="shared" ref="H742:T742" si="281">+H743</f>
        <v>0</v>
      </c>
      <c r="I742" s="190">
        <f t="shared" si="281"/>
        <v>0</v>
      </c>
      <c r="J742" s="190">
        <f t="shared" si="281"/>
        <v>0</v>
      </c>
      <c r="K742" s="190">
        <f t="shared" si="281"/>
        <v>0</v>
      </c>
      <c r="L742" s="190">
        <f t="shared" si="281"/>
        <v>451</v>
      </c>
      <c r="M742" s="190">
        <f t="shared" si="281"/>
        <v>0</v>
      </c>
      <c r="N742" s="190">
        <f t="shared" si="281"/>
        <v>0</v>
      </c>
      <c r="O742" s="190">
        <f t="shared" si="281"/>
        <v>0</v>
      </c>
      <c r="P742" s="190">
        <f t="shared" si="281"/>
        <v>0</v>
      </c>
      <c r="Q742" s="190">
        <f t="shared" si="281"/>
        <v>0</v>
      </c>
      <c r="R742" s="190">
        <f t="shared" si="281"/>
        <v>0</v>
      </c>
      <c r="S742" s="190">
        <f t="shared" si="281"/>
        <v>0</v>
      </c>
      <c r="T742" s="190">
        <f t="shared" si="281"/>
        <v>451</v>
      </c>
      <c r="U742"/>
      <c r="V742">
        <f>+PRESUPUESTO22[[#This Row],[EJECUTADO ]]-SUM(PRESUPUESTO22[[#This Row],[   ENERO ]:[DIC]])</f>
        <v>0</v>
      </c>
    </row>
    <row r="743" spans="1:22" ht="15.95" customHeight="1" x14ac:dyDescent="0.25">
      <c r="A743" s="52"/>
      <c r="B743" s="137">
        <v>130501</v>
      </c>
      <c r="C743" s="130" t="str">
        <f t="shared" si="274"/>
        <v>E-130501</v>
      </c>
      <c r="D743" s="130">
        <v>693</v>
      </c>
      <c r="E743" s="137" t="s">
        <v>72</v>
      </c>
      <c r="F743" s="57" t="s">
        <v>611</v>
      </c>
      <c r="G743" s="193">
        <v>0</v>
      </c>
      <c r="H743" s="193">
        <v>0</v>
      </c>
      <c r="I743" s="193">
        <v>0</v>
      </c>
      <c r="J743" s="193">
        <v>0</v>
      </c>
      <c r="K743" s="193">
        <v>0</v>
      </c>
      <c r="L743" s="193">
        <f>450.5+0.5</f>
        <v>451</v>
      </c>
      <c r="M743" s="193">
        <v>0</v>
      </c>
      <c r="N743" s="193">
        <v>0</v>
      </c>
      <c r="O743" s="193">
        <v>0</v>
      </c>
      <c r="P743" s="193">
        <v>0</v>
      </c>
      <c r="Q743" s="193">
        <v>0</v>
      </c>
      <c r="R743" s="193">
        <v>0</v>
      </c>
      <c r="S743" s="193">
        <v>0</v>
      </c>
      <c r="T743" s="193">
        <f>SUM(H743:S743)</f>
        <v>451</v>
      </c>
      <c r="U743"/>
      <c r="V743">
        <f>+PRESUPUESTO22[[#This Row],[EJECUTADO ]]-SUM(PRESUPUESTO22[[#This Row],[   ENERO ]:[DIC]])</f>
        <v>0</v>
      </c>
    </row>
    <row r="744" spans="1:22" ht="15.95" customHeight="1" x14ac:dyDescent="0.25">
      <c r="A744" s="49">
        <v>14</v>
      </c>
      <c r="B744" s="131">
        <v>14</v>
      </c>
      <c r="C744" s="130" t="str">
        <f t="shared" si="274"/>
        <v>E-14</v>
      </c>
      <c r="D744" s="130">
        <v>694</v>
      </c>
      <c r="E744" s="131" t="s">
        <v>67</v>
      </c>
      <c r="F744" s="50" t="s">
        <v>612</v>
      </c>
      <c r="G744" s="188">
        <v>350000</v>
      </c>
      <c r="H744" s="188">
        <f t="shared" ref="H744:T744" si="282">+H745+H762+H775+H784</f>
        <v>29728</v>
      </c>
      <c r="I744" s="188">
        <f t="shared" si="282"/>
        <v>35863</v>
      </c>
      <c r="J744" s="188">
        <f t="shared" si="282"/>
        <v>29583</v>
      </c>
      <c r="K744" s="188">
        <f t="shared" si="282"/>
        <v>26790</v>
      </c>
      <c r="L744" s="188">
        <f t="shared" si="282"/>
        <v>26709</v>
      </c>
      <c r="M744" s="188">
        <f t="shared" si="282"/>
        <v>28209</v>
      </c>
      <c r="N744" s="188">
        <f t="shared" si="282"/>
        <v>29115</v>
      </c>
      <c r="O744" s="188">
        <f t="shared" si="282"/>
        <v>26730</v>
      </c>
      <c r="P744" s="188">
        <f t="shared" si="282"/>
        <v>25729</v>
      </c>
      <c r="Q744" s="188">
        <f t="shared" si="282"/>
        <v>25729</v>
      </c>
      <c r="R744" s="188">
        <f t="shared" si="282"/>
        <v>25729</v>
      </c>
      <c r="S744" s="188">
        <f t="shared" si="282"/>
        <v>0</v>
      </c>
      <c r="T744" s="188">
        <f t="shared" si="282"/>
        <v>309914</v>
      </c>
      <c r="U744"/>
      <c r="V744">
        <f>+PRESUPUESTO22[[#This Row],[EJECUTADO ]]-SUM(PRESUPUESTO22[[#This Row],[   ENERO ]:[DIC]])</f>
        <v>0</v>
      </c>
    </row>
    <row r="745" spans="1:22" ht="15.95" customHeight="1" x14ac:dyDescent="0.25">
      <c r="A745" s="52">
        <v>14.1</v>
      </c>
      <c r="B745" s="139">
        <v>1401</v>
      </c>
      <c r="C745" s="130" t="str">
        <f t="shared" si="274"/>
        <v>E-1401</v>
      </c>
      <c r="D745" s="130">
        <v>695</v>
      </c>
      <c r="E745" s="139" t="s">
        <v>69</v>
      </c>
      <c r="F745" s="189" t="s">
        <v>613</v>
      </c>
      <c r="G745" s="190">
        <f t="shared" ref="G745:T745" si="283">+G746+G750+G754+G758</f>
        <v>4900</v>
      </c>
      <c r="H745" s="190">
        <f t="shared" si="283"/>
        <v>234</v>
      </c>
      <c r="I745" s="190">
        <f t="shared" si="283"/>
        <v>0</v>
      </c>
      <c r="J745" s="190">
        <f t="shared" si="283"/>
        <v>134</v>
      </c>
      <c r="K745" s="190">
        <f t="shared" si="283"/>
        <v>81</v>
      </c>
      <c r="L745" s="190">
        <f t="shared" si="283"/>
        <v>0</v>
      </c>
      <c r="M745" s="190">
        <f t="shared" si="283"/>
        <v>0</v>
      </c>
      <c r="N745" s="190">
        <f t="shared" si="283"/>
        <v>412</v>
      </c>
      <c r="O745" s="190">
        <f t="shared" si="283"/>
        <v>0</v>
      </c>
      <c r="P745" s="190">
        <f t="shared" si="283"/>
        <v>0</v>
      </c>
      <c r="Q745" s="190">
        <f t="shared" si="283"/>
        <v>0</v>
      </c>
      <c r="R745" s="190">
        <f t="shared" si="283"/>
        <v>0</v>
      </c>
      <c r="S745" s="190">
        <f t="shared" si="283"/>
        <v>0</v>
      </c>
      <c r="T745" s="190">
        <f t="shared" si="283"/>
        <v>861</v>
      </c>
      <c r="U745"/>
      <c r="V745">
        <f>+PRESUPUESTO22[[#This Row],[EJECUTADO ]]-SUM(PRESUPUESTO22[[#This Row],[   ENERO ]:[DIC]])</f>
        <v>0</v>
      </c>
    </row>
    <row r="746" spans="1:22" ht="15.95" customHeight="1" x14ac:dyDescent="0.25">
      <c r="A746" s="52"/>
      <c r="B746" s="151">
        <v>140101</v>
      </c>
      <c r="C746" s="130" t="str">
        <f t="shared" si="274"/>
        <v>E-140101</v>
      </c>
      <c r="D746" s="130">
        <v>696</v>
      </c>
      <c r="E746" s="151" t="s">
        <v>72</v>
      </c>
      <c r="F746" s="208" t="s">
        <v>614</v>
      </c>
      <c r="G746" s="192">
        <v>2000</v>
      </c>
      <c r="H746" s="192">
        <f t="shared" ref="H746" si="284">SUM(H747:H749)</f>
        <v>0</v>
      </c>
      <c r="I746" s="192">
        <f t="shared" ref="I746:T746" si="285">SUM(I747:I749)</f>
        <v>0</v>
      </c>
      <c r="J746" s="192">
        <f t="shared" si="285"/>
        <v>26</v>
      </c>
      <c r="K746" s="192">
        <f t="shared" si="285"/>
        <v>0</v>
      </c>
      <c r="L746" s="192">
        <f t="shared" si="285"/>
        <v>0</v>
      </c>
      <c r="M746" s="192">
        <f t="shared" si="285"/>
        <v>0</v>
      </c>
      <c r="N746" s="192">
        <f t="shared" si="285"/>
        <v>19</v>
      </c>
      <c r="O746" s="192">
        <f t="shared" si="285"/>
        <v>0</v>
      </c>
      <c r="P746" s="192">
        <f t="shared" si="285"/>
        <v>0</v>
      </c>
      <c r="Q746" s="192">
        <f t="shared" si="285"/>
        <v>0</v>
      </c>
      <c r="R746" s="192">
        <f t="shared" si="285"/>
        <v>0</v>
      </c>
      <c r="S746" s="192">
        <f t="shared" si="285"/>
        <v>0</v>
      </c>
      <c r="T746" s="192">
        <f t="shared" si="285"/>
        <v>45</v>
      </c>
      <c r="U746"/>
      <c r="V746">
        <f>+PRESUPUESTO22[[#This Row],[EJECUTADO ]]-SUM(PRESUPUESTO22[[#This Row],[   ENERO ]:[DIC]])</f>
        <v>0</v>
      </c>
    </row>
    <row r="747" spans="1:22" ht="15.95" customHeight="1" x14ac:dyDescent="0.25">
      <c r="A747" s="52"/>
      <c r="B747" s="156">
        <v>14010101</v>
      </c>
      <c r="C747" s="130" t="str">
        <f t="shared" si="274"/>
        <v>E-14010101</v>
      </c>
      <c r="D747" s="130">
        <v>697</v>
      </c>
      <c r="E747" s="156" t="s">
        <v>69</v>
      </c>
      <c r="F747" s="216" t="s">
        <v>615</v>
      </c>
      <c r="G747" s="193">
        <v>0</v>
      </c>
      <c r="H747" s="193">
        <v>0</v>
      </c>
      <c r="I747" s="193">
        <v>0</v>
      </c>
      <c r="J747" s="193">
        <v>0</v>
      </c>
      <c r="K747" s="193">
        <v>0</v>
      </c>
      <c r="L747" s="193">
        <v>0</v>
      </c>
      <c r="M747" s="193">
        <v>0</v>
      </c>
      <c r="N747" s="193">
        <v>0</v>
      </c>
      <c r="O747" s="193">
        <v>0</v>
      </c>
      <c r="P747" s="193">
        <v>0</v>
      </c>
      <c r="Q747" s="193">
        <v>0</v>
      </c>
      <c r="R747" s="193">
        <v>0</v>
      </c>
      <c r="S747" s="193">
        <v>0</v>
      </c>
      <c r="T747" s="193">
        <f>SUM(H747:S747)</f>
        <v>0</v>
      </c>
      <c r="U747"/>
      <c r="V747">
        <f>+PRESUPUESTO22[[#This Row],[EJECUTADO ]]-SUM(PRESUPUESTO22[[#This Row],[   ENERO ]:[DIC]])</f>
        <v>0</v>
      </c>
    </row>
    <row r="748" spans="1:22" ht="15.95" customHeight="1" x14ac:dyDescent="0.25">
      <c r="A748" s="52"/>
      <c r="B748" s="156">
        <v>14010101</v>
      </c>
      <c r="C748" s="130" t="str">
        <f t="shared" si="274"/>
        <v>E-14010101</v>
      </c>
      <c r="D748" s="130">
        <v>698</v>
      </c>
      <c r="E748" s="156" t="s">
        <v>69</v>
      </c>
      <c r="F748" s="216" t="s">
        <v>616</v>
      </c>
      <c r="G748" s="193">
        <v>0</v>
      </c>
      <c r="H748" s="193">
        <v>0</v>
      </c>
      <c r="I748" s="193">
        <v>0</v>
      </c>
      <c r="J748" s="193">
        <v>0</v>
      </c>
      <c r="K748" s="193">
        <v>0</v>
      </c>
      <c r="L748" s="193">
        <v>0</v>
      </c>
      <c r="M748" s="193">
        <v>0</v>
      </c>
      <c r="N748" s="193">
        <v>0</v>
      </c>
      <c r="O748" s="193">
        <v>0</v>
      </c>
      <c r="P748" s="193">
        <v>0</v>
      </c>
      <c r="Q748" s="193">
        <v>0</v>
      </c>
      <c r="R748" s="193">
        <v>0</v>
      </c>
      <c r="S748" s="193">
        <v>0</v>
      </c>
      <c r="T748" s="193">
        <f>SUM(H748:S748)</f>
        <v>0</v>
      </c>
      <c r="U748"/>
      <c r="V748">
        <f>+PRESUPUESTO22[[#This Row],[EJECUTADO ]]-SUM(PRESUPUESTO22[[#This Row],[   ENERO ]:[DIC]])</f>
        <v>0</v>
      </c>
    </row>
    <row r="749" spans="1:22" ht="15.95" customHeight="1" x14ac:dyDescent="0.25">
      <c r="A749" s="52"/>
      <c r="B749" s="156">
        <v>14010101</v>
      </c>
      <c r="C749" s="130" t="str">
        <f t="shared" si="274"/>
        <v>E-14010101</v>
      </c>
      <c r="D749" s="130">
        <v>699</v>
      </c>
      <c r="E749" s="156" t="s">
        <v>69</v>
      </c>
      <c r="F749" s="216" t="s">
        <v>587</v>
      </c>
      <c r="G749" s="193">
        <v>0</v>
      </c>
      <c r="H749" s="193">
        <v>0</v>
      </c>
      <c r="I749" s="193">
        <v>0</v>
      </c>
      <c r="J749" s="193">
        <f>26.33-0.33</f>
        <v>26</v>
      </c>
      <c r="K749" s="193">
        <v>0</v>
      </c>
      <c r="L749" s="193">
        <v>0</v>
      </c>
      <c r="M749" s="193">
        <v>0</v>
      </c>
      <c r="N749" s="193">
        <v>19</v>
      </c>
      <c r="O749" s="193">
        <v>0</v>
      </c>
      <c r="P749" s="193">
        <v>0</v>
      </c>
      <c r="Q749" s="193">
        <v>0</v>
      </c>
      <c r="R749" s="193">
        <v>0</v>
      </c>
      <c r="S749" s="193">
        <v>0</v>
      </c>
      <c r="T749" s="193">
        <f>SUM(H749:S749)</f>
        <v>45</v>
      </c>
      <c r="U749"/>
      <c r="V749">
        <f>+PRESUPUESTO22[[#This Row],[EJECUTADO ]]-SUM(PRESUPUESTO22[[#This Row],[   ENERO ]:[DIC]])</f>
        <v>0</v>
      </c>
    </row>
    <row r="750" spans="1:22" ht="15.95" customHeight="1" x14ac:dyDescent="0.25">
      <c r="A750" s="52"/>
      <c r="B750" s="151">
        <v>140102</v>
      </c>
      <c r="C750" s="130" t="str">
        <f t="shared" si="274"/>
        <v>E-140102</v>
      </c>
      <c r="D750" s="130">
        <v>700</v>
      </c>
      <c r="E750" s="151" t="s">
        <v>72</v>
      </c>
      <c r="F750" s="208" t="s">
        <v>617</v>
      </c>
      <c r="G750" s="192">
        <v>700</v>
      </c>
      <c r="H750" s="192">
        <f>SUM(H751:H753)</f>
        <v>0</v>
      </c>
      <c r="I750" s="192">
        <f t="shared" ref="I750:T750" si="286">SUM(I751:I753)</f>
        <v>0</v>
      </c>
      <c r="J750" s="192">
        <f t="shared" si="286"/>
        <v>8</v>
      </c>
      <c r="K750" s="192">
        <f t="shared" si="286"/>
        <v>81</v>
      </c>
      <c r="L750" s="192">
        <f t="shared" si="286"/>
        <v>0</v>
      </c>
      <c r="M750" s="192">
        <f t="shared" si="286"/>
        <v>0</v>
      </c>
      <c r="N750" s="192">
        <f t="shared" si="286"/>
        <v>0</v>
      </c>
      <c r="O750" s="192">
        <f t="shared" si="286"/>
        <v>0</v>
      </c>
      <c r="P750" s="192">
        <f t="shared" si="286"/>
        <v>0</v>
      </c>
      <c r="Q750" s="192">
        <f t="shared" si="286"/>
        <v>0</v>
      </c>
      <c r="R750" s="192">
        <f t="shared" si="286"/>
        <v>0</v>
      </c>
      <c r="S750" s="192">
        <f t="shared" si="286"/>
        <v>0</v>
      </c>
      <c r="T750" s="192">
        <f t="shared" si="286"/>
        <v>89</v>
      </c>
      <c r="U750"/>
      <c r="V750">
        <f>+PRESUPUESTO22[[#This Row],[EJECUTADO ]]-SUM(PRESUPUESTO22[[#This Row],[   ENERO ]:[DIC]])</f>
        <v>0</v>
      </c>
    </row>
    <row r="751" spans="1:22" ht="15.95" customHeight="1" x14ac:dyDescent="0.25">
      <c r="A751" s="52"/>
      <c r="B751" s="156">
        <v>14010201</v>
      </c>
      <c r="C751" s="130" t="str">
        <f t="shared" si="274"/>
        <v>E-14010201</v>
      </c>
      <c r="D751" s="130">
        <v>701</v>
      </c>
      <c r="E751" s="156" t="s">
        <v>69</v>
      </c>
      <c r="F751" s="216" t="s">
        <v>615</v>
      </c>
      <c r="G751" s="193">
        <v>0</v>
      </c>
      <c r="H751" s="193">
        <v>0</v>
      </c>
      <c r="I751" s="193">
        <v>0</v>
      </c>
      <c r="J751" s="193">
        <v>0</v>
      </c>
      <c r="K751" s="193">
        <v>0</v>
      </c>
      <c r="L751" s="193">
        <v>0</v>
      </c>
      <c r="M751" s="193">
        <v>0</v>
      </c>
      <c r="N751" s="193">
        <v>0</v>
      </c>
      <c r="O751" s="193">
        <v>0</v>
      </c>
      <c r="P751" s="193">
        <v>0</v>
      </c>
      <c r="Q751" s="193">
        <v>0</v>
      </c>
      <c r="R751" s="193">
        <v>0</v>
      </c>
      <c r="S751" s="193">
        <v>0</v>
      </c>
      <c r="T751" s="193">
        <f>SUM(H751:S751)</f>
        <v>0</v>
      </c>
      <c r="U751"/>
      <c r="V751">
        <f>+PRESUPUESTO22[[#This Row],[EJECUTADO ]]-SUM(PRESUPUESTO22[[#This Row],[   ENERO ]:[DIC]])</f>
        <v>0</v>
      </c>
    </row>
    <row r="752" spans="1:22" ht="15.95" customHeight="1" x14ac:dyDescent="0.25">
      <c r="A752" s="52"/>
      <c r="B752" s="156">
        <v>14010202</v>
      </c>
      <c r="C752" s="130" t="str">
        <f t="shared" si="274"/>
        <v>E-14010202</v>
      </c>
      <c r="D752" s="130">
        <v>702</v>
      </c>
      <c r="E752" s="156" t="s">
        <v>69</v>
      </c>
      <c r="F752" s="216" t="s">
        <v>616</v>
      </c>
      <c r="G752" s="193">
        <v>0</v>
      </c>
      <c r="H752" s="193">
        <v>0</v>
      </c>
      <c r="I752" s="193">
        <v>0</v>
      </c>
      <c r="J752" s="193">
        <v>0</v>
      </c>
      <c r="K752" s="193">
        <v>0</v>
      </c>
      <c r="L752" s="193">
        <v>0</v>
      </c>
      <c r="M752" s="193">
        <v>0</v>
      </c>
      <c r="N752" s="193">
        <v>0</v>
      </c>
      <c r="O752" s="193">
        <v>0</v>
      </c>
      <c r="P752" s="193">
        <v>0</v>
      </c>
      <c r="Q752" s="193">
        <v>0</v>
      </c>
      <c r="R752" s="193">
        <v>0</v>
      </c>
      <c r="S752" s="193">
        <v>0</v>
      </c>
      <c r="T752" s="193">
        <f>SUM(H752:S752)</f>
        <v>0</v>
      </c>
      <c r="U752"/>
      <c r="V752">
        <f>+PRESUPUESTO22[[#This Row],[EJECUTADO ]]-SUM(PRESUPUESTO22[[#This Row],[   ENERO ]:[DIC]])</f>
        <v>0</v>
      </c>
    </row>
    <row r="753" spans="1:22" ht="15.95" customHeight="1" x14ac:dyDescent="0.25">
      <c r="A753" s="52"/>
      <c r="B753" s="156">
        <v>14010203</v>
      </c>
      <c r="C753" s="130" t="str">
        <f t="shared" si="274"/>
        <v>E-14010203</v>
      </c>
      <c r="D753" s="130">
        <v>703</v>
      </c>
      <c r="E753" s="156" t="s">
        <v>69</v>
      </c>
      <c r="F753" s="216" t="s">
        <v>587</v>
      </c>
      <c r="G753" s="193">
        <v>0</v>
      </c>
      <c r="H753" s="193">
        <v>0</v>
      </c>
      <c r="I753" s="193">
        <v>0</v>
      </c>
      <c r="J753" s="193">
        <v>8</v>
      </c>
      <c r="K753" s="193">
        <f>80.7+0.3</f>
        <v>81</v>
      </c>
      <c r="L753" s="193">
        <v>0</v>
      </c>
      <c r="M753" s="193">
        <v>0</v>
      </c>
      <c r="N753" s="193">
        <v>0</v>
      </c>
      <c r="O753" s="193">
        <v>0</v>
      </c>
      <c r="P753" s="193">
        <v>0</v>
      </c>
      <c r="Q753" s="193">
        <v>0</v>
      </c>
      <c r="R753" s="193">
        <v>0</v>
      </c>
      <c r="S753" s="193">
        <v>0</v>
      </c>
      <c r="T753" s="193">
        <f>SUM(H753:S753)</f>
        <v>89</v>
      </c>
      <c r="U753"/>
      <c r="V753">
        <f>+PRESUPUESTO22[[#This Row],[EJECUTADO ]]-SUM(PRESUPUESTO22[[#This Row],[   ENERO ]:[DIC]])</f>
        <v>0</v>
      </c>
    </row>
    <row r="754" spans="1:22" ht="15.95" customHeight="1" x14ac:dyDescent="0.25">
      <c r="A754" s="52"/>
      <c r="B754" s="151">
        <v>140103</v>
      </c>
      <c r="C754" s="130" t="str">
        <f t="shared" si="274"/>
        <v>E-140103</v>
      </c>
      <c r="D754" s="130">
        <v>704</v>
      </c>
      <c r="E754" s="151" t="s">
        <v>72</v>
      </c>
      <c r="F754" s="208" t="s">
        <v>618</v>
      </c>
      <c r="G754" s="192">
        <v>1000</v>
      </c>
      <c r="H754" s="192">
        <f>SUM(H755:H757)</f>
        <v>234</v>
      </c>
      <c r="I754" s="192">
        <f t="shared" ref="I754:T754" si="287">SUM(I755:I757)</f>
        <v>0</v>
      </c>
      <c r="J754" s="192">
        <f t="shared" si="287"/>
        <v>94</v>
      </c>
      <c r="K754" s="192">
        <f t="shared" si="287"/>
        <v>0</v>
      </c>
      <c r="L754" s="192">
        <f t="shared" si="287"/>
        <v>0</v>
      </c>
      <c r="M754" s="192">
        <f t="shared" si="287"/>
        <v>0</v>
      </c>
      <c r="N754" s="192">
        <f t="shared" si="287"/>
        <v>393</v>
      </c>
      <c r="O754" s="192">
        <f t="shared" si="287"/>
        <v>0</v>
      </c>
      <c r="P754" s="192">
        <f t="shared" si="287"/>
        <v>0</v>
      </c>
      <c r="Q754" s="192">
        <f t="shared" si="287"/>
        <v>0</v>
      </c>
      <c r="R754" s="192">
        <f t="shared" si="287"/>
        <v>0</v>
      </c>
      <c r="S754" s="192">
        <f t="shared" si="287"/>
        <v>0</v>
      </c>
      <c r="T754" s="192">
        <f t="shared" si="287"/>
        <v>721</v>
      </c>
      <c r="U754"/>
      <c r="V754">
        <f>+PRESUPUESTO22[[#This Row],[EJECUTADO ]]-SUM(PRESUPUESTO22[[#This Row],[   ENERO ]:[DIC]])</f>
        <v>0</v>
      </c>
    </row>
    <row r="755" spans="1:22" ht="15.95" customHeight="1" x14ac:dyDescent="0.25">
      <c r="A755" s="52"/>
      <c r="B755" s="156">
        <v>14010301</v>
      </c>
      <c r="C755" s="130" t="str">
        <f t="shared" si="274"/>
        <v>E-14010301</v>
      </c>
      <c r="D755" s="130">
        <v>705</v>
      </c>
      <c r="E755" s="156" t="s">
        <v>69</v>
      </c>
      <c r="F755" s="216" t="s">
        <v>615</v>
      </c>
      <c r="G755" s="193">
        <v>0</v>
      </c>
      <c r="H755" s="193">
        <f>233.84+0.16</f>
        <v>234</v>
      </c>
      <c r="I755" s="193">
        <v>0</v>
      </c>
      <c r="J755" s="193">
        <v>0</v>
      </c>
      <c r="K755" s="193">
        <v>0</v>
      </c>
      <c r="L755" s="193">
        <v>0</v>
      </c>
      <c r="M755" s="193">
        <v>0</v>
      </c>
      <c r="N755" s="193">
        <v>0</v>
      </c>
      <c r="O755" s="193">
        <v>0</v>
      </c>
      <c r="P755" s="193">
        <v>0</v>
      </c>
      <c r="Q755" s="193">
        <v>0</v>
      </c>
      <c r="R755" s="193">
        <v>0</v>
      </c>
      <c r="S755" s="193">
        <v>0</v>
      </c>
      <c r="T755" s="193">
        <f>SUM(H755:S755)</f>
        <v>234</v>
      </c>
      <c r="U755"/>
      <c r="V755">
        <f>+PRESUPUESTO22[[#This Row],[EJECUTADO ]]-SUM(PRESUPUESTO22[[#This Row],[   ENERO ]:[DIC]])</f>
        <v>0</v>
      </c>
    </row>
    <row r="756" spans="1:22" ht="15.95" customHeight="1" x14ac:dyDescent="0.25">
      <c r="A756" s="52"/>
      <c r="B756" s="156">
        <v>14010302</v>
      </c>
      <c r="C756" s="130" t="str">
        <f t="shared" si="274"/>
        <v>E-14010302</v>
      </c>
      <c r="D756" s="130">
        <v>706</v>
      </c>
      <c r="E756" s="156" t="s">
        <v>69</v>
      </c>
      <c r="F756" s="216" t="s">
        <v>616</v>
      </c>
      <c r="G756" s="193">
        <v>0</v>
      </c>
      <c r="H756" s="193">
        <v>0</v>
      </c>
      <c r="I756" s="193">
        <v>0</v>
      </c>
      <c r="J756" s="193">
        <v>0</v>
      </c>
      <c r="K756" s="193">
        <v>0</v>
      </c>
      <c r="L756" s="193">
        <v>0</v>
      </c>
      <c r="M756" s="193">
        <v>0</v>
      </c>
      <c r="N756" s="193">
        <v>0</v>
      </c>
      <c r="O756" s="193">
        <v>0</v>
      </c>
      <c r="P756" s="193">
        <v>0</v>
      </c>
      <c r="Q756" s="193">
        <v>0</v>
      </c>
      <c r="R756" s="193">
        <v>0</v>
      </c>
      <c r="S756" s="193">
        <v>0</v>
      </c>
      <c r="T756" s="193">
        <f>SUM(H756:S756)</f>
        <v>0</v>
      </c>
      <c r="U756"/>
      <c r="V756">
        <f>+PRESUPUESTO22[[#This Row],[EJECUTADO ]]-SUM(PRESUPUESTO22[[#This Row],[   ENERO ]:[DIC]])</f>
        <v>0</v>
      </c>
    </row>
    <row r="757" spans="1:22" ht="15.95" customHeight="1" x14ac:dyDescent="0.25">
      <c r="A757" s="52"/>
      <c r="B757" s="156">
        <v>14010303</v>
      </c>
      <c r="C757" s="130" t="str">
        <f t="shared" si="274"/>
        <v>E-14010303</v>
      </c>
      <c r="D757" s="130">
        <v>707</v>
      </c>
      <c r="E757" s="156" t="s">
        <v>69</v>
      </c>
      <c r="F757" s="216" t="s">
        <v>587</v>
      </c>
      <c r="G757" s="193">
        <v>0</v>
      </c>
      <c r="H757" s="193">
        <v>0</v>
      </c>
      <c r="I757" s="193">
        <v>0</v>
      </c>
      <c r="J757" s="193">
        <f>93.91+0.09</f>
        <v>94</v>
      </c>
      <c r="K757" s="193">
        <v>0</v>
      </c>
      <c r="L757" s="193">
        <v>0</v>
      </c>
      <c r="M757" s="193">
        <v>0</v>
      </c>
      <c r="N757" s="193">
        <f>392.6+0.4</f>
        <v>393</v>
      </c>
      <c r="O757" s="193">
        <v>0</v>
      </c>
      <c r="P757" s="193">
        <v>0</v>
      </c>
      <c r="Q757" s="193">
        <v>0</v>
      </c>
      <c r="R757" s="193">
        <v>0</v>
      </c>
      <c r="S757" s="193">
        <v>0</v>
      </c>
      <c r="T757" s="193">
        <f>SUM(H757:S757)</f>
        <v>487</v>
      </c>
      <c r="U757"/>
      <c r="V757">
        <f>+PRESUPUESTO22[[#This Row],[EJECUTADO ]]-SUM(PRESUPUESTO22[[#This Row],[   ENERO ]:[DIC]])</f>
        <v>0</v>
      </c>
    </row>
    <row r="758" spans="1:22" ht="15.95" customHeight="1" x14ac:dyDescent="0.25">
      <c r="A758" s="52"/>
      <c r="B758" s="151">
        <v>140104</v>
      </c>
      <c r="C758" s="130" t="str">
        <f t="shared" si="274"/>
        <v>E-140104</v>
      </c>
      <c r="D758" s="130">
        <v>708</v>
      </c>
      <c r="E758" s="151" t="s">
        <v>72</v>
      </c>
      <c r="F758" s="208" t="s">
        <v>619</v>
      </c>
      <c r="G758" s="192">
        <v>1200</v>
      </c>
      <c r="H758" s="192">
        <f>SUM(H759:H761)</f>
        <v>0</v>
      </c>
      <c r="I758" s="192">
        <f t="shared" ref="I758:T758" si="288">SUM(I759:I761)</f>
        <v>0</v>
      </c>
      <c r="J758" s="192">
        <f t="shared" si="288"/>
        <v>6</v>
      </c>
      <c r="K758" s="192">
        <f t="shared" si="288"/>
        <v>0</v>
      </c>
      <c r="L758" s="192">
        <f t="shared" si="288"/>
        <v>0</v>
      </c>
      <c r="M758" s="192">
        <f t="shared" si="288"/>
        <v>0</v>
      </c>
      <c r="N758" s="192">
        <f t="shared" si="288"/>
        <v>0</v>
      </c>
      <c r="O758" s="192">
        <f t="shared" si="288"/>
        <v>0</v>
      </c>
      <c r="P758" s="192">
        <f t="shared" si="288"/>
        <v>0</v>
      </c>
      <c r="Q758" s="192">
        <f t="shared" si="288"/>
        <v>0</v>
      </c>
      <c r="R758" s="192">
        <f t="shared" si="288"/>
        <v>0</v>
      </c>
      <c r="S758" s="192">
        <f t="shared" si="288"/>
        <v>0</v>
      </c>
      <c r="T758" s="192">
        <f t="shared" si="288"/>
        <v>6</v>
      </c>
      <c r="U758"/>
      <c r="V758">
        <f>+PRESUPUESTO22[[#This Row],[EJECUTADO ]]-SUM(PRESUPUESTO22[[#This Row],[   ENERO ]:[DIC]])</f>
        <v>0</v>
      </c>
    </row>
    <row r="759" spans="1:22" ht="15.95" customHeight="1" x14ac:dyDescent="0.25">
      <c r="A759" s="52"/>
      <c r="B759" s="156">
        <v>14010401</v>
      </c>
      <c r="C759" s="130" t="str">
        <f t="shared" si="274"/>
        <v>E-14010401</v>
      </c>
      <c r="D759" s="130">
        <v>709</v>
      </c>
      <c r="E759" s="156" t="s">
        <v>69</v>
      </c>
      <c r="F759" s="216" t="s">
        <v>615</v>
      </c>
      <c r="G759" s="193">
        <v>0</v>
      </c>
      <c r="H759" s="193">
        <v>0</v>
      </c>
      <c r="I759" s="193">
        <v>0</v>
      </c>
      <c r="J759" s="193">
        <v>0</v>
      </c>
      <c r="K759" s="193">
        <v>0</v>
      </c>
      <c r="L759" s="193">
        <v>0</v>
      </c>
      <c r="M759" s="193">
        <v>0</v>
      </c>
      <c r="N759" s="193">
        <v>0</v>
      </c>
      <c r="O759" s="193">
        <v>0</v>
      </c>
      <c r="P759" s="193">
        <v>0</v>
      </c>
      <c r="Q759" s="193">
        <v>0</v>
      </c>
      <c r="R759" s="193">
        <v>0</v>
      </c>
      <c r="S759" s="193">
        <v>0</v>
      </c>
      <c r="T759" s="193">
        <f>SUM(H759:S759)</f>
        <v>0</v>
      </c>
      <c r="U759"/>
      <c r="V759">
        <f>+PRESUPUESTO22[[#This Row],[EJECUTADO ]]-SUM(PRESUPUESTO22[[#This Row],[   ENERO ]:[DIC]])</f>
        <v>0</v>
      </c>
    </row>
    <row r="760" spans="1:22" ht="15.95" customHeight="1" x14ac:dyDescent="0.25">
      <c r="A760" s="52"/>
      <c r="B760" s="156">
        <v>14010402</v>
      </c>
      <c r="C760" s="130" t="str">
        <f t="shared" si="274"/>
        <v>E-14010402</v>
      </c>
      <c r="D760" s="130">
        <v>710</v>
      </c>
      <c r="E760" s="156" t="s">
        <v>69</v>
      </c>
      <c r="F760" s="216" t="s">
        <v>616</v>
      </c>
      <c r="G760" s="193">
        <v>0</v>
      </c>
      <c r="H760" s="193">
        <v>0</v>
      </c>
      <c r="I760" s="193">
        <v>0</v>
      </c>
      <c r="J760" s="193">
        <v>0</v>
      </c>
      <c r="K760" s="193">
        <v>0</v>
      </c>
      <c r="L760" s="193">
        <v>0</v>
      </c>
      <c r="M760" s="193">
        <v>0</v>
      </c>
      <c r="N760" s="193">
        <v>0</v>
      </c>
      <c r="O760" s="193">
        <v>0</v>
      </c>
      <c r="P760" s="193">
        <v>0</v>
      </c>
      <c r="Q760" s="193">
        <v>0</v>
      </c>
      <c r="R760" s="193">
        <v>0</v>
      </c>
      <c r="S760" s="193">
        <v>0</v>
      </c>
      <c r="T760" s="193">
        <f>SUM(H760:S760)</f>
        <v>0</v>
      </c>
      <c r="U760"/>
      <c r="V760">
        <f>+PRESUPUESTO22[[#This Row],[EJECUTADO ]]-SUM(PRESUPUESTO22[[#This Row],[   ENERO ]:[DIC]])</f>
        <v>0</v>
      </c>
    </row>
    <row r="761" spans="1:22" ht="15.95" customHeight="1" x14ac:dyDescent="0.25">
      <c r="A761" s="52"/>
      <c r="B761" s="156">
        <v>14010403</v>
      </c>
      <c r="C761" s="130" t="str">
        <f t="shared" si="274"/>
        <v>E-14010403</v>
      </c>
      <c r="D761" s="130">
        <v>711</v>
      </c>
      <c r="E761" s="156" t="s">
        <v>69</v>
      </c>
      <c r="F761" s="216" t="s">
        <v>587</v>
      </c>
      <c r="G761" s="193">
        <v>0</v>
      </c>
      <c r="H761" s="193">
        <v>0</v>
      </c>
      <c r="I761" s="193">
        <v>0</v>
      </c>
      <c r="J761" s="193">
        <f>5.77+0.23</f>
        <v>6</v>
      </c>
      <c r="K761" s="193">
        <v>0</v>
      </c>
      <c r="L761" s="193">
        <v>0</v>
      </c>
      <c r="M761" s="193">
        <v>0</v>
      </c>
      <c r="N761" s="193">
        <v>0</v>
      </c>
      <c r="O761" s="193">
        <v>0</v>
      </c>
      <c r="P761" s="193">
        <v>0</v>
      </c>
      <c r="Q761" s="193">
        <v>0</v>
      </c>
      <c r="R761" s="193">
        <v>0</v>
      </c>
      <c r="S761" s="193">
        <v>0</v>
      </c>
      <c r="T761" s="193">
        <f>SUM(H761:S761)</f>
        <v>6</v>
      </c>
      <c r="U761"/>
      <c r="V761">
        <f>+PRESUPUESTO22[[#This Row],[EJECUTADO ]]-SUM(PRESUPUESTO22[[#This Row],[   ENERO ]:[DIC]])</f>
        <v>0</v>
      </c>
    </row>
    <row r="762" spans="1:22" ht="15.95" customHeight="1" x14ac:dyDescent="0.25">
      <c r="A762" s="52">
        <v>14.2</v>
      </c>
      <c r="B762" s="139">
        <v>1402</v>
      </c>
      <c r="C762" s="130" t="str">
        <f t="shared" si="274"/>
        <v>E-1402</v>
      </c>
      <c r="D762" s="130">
        <v>712</v>
      </c>
      <c r="E762" s="139" t="s">
        <v>69</v>
      </c>
      <c r="F762" s="189" t="s">
        <v>620</v>
      </c>
      <c r="G762" s="190">
        <f t="shared" ref="G762:T762" si="289">+G763+G766+G769+G772</f>
        <v>1075</v>
      </c>
      <c r="H762" s="190">
        <f t="shared" si="289"/>
        <v>45</v>
      </c>
      <c r="I762" s="190">
        <f t="shared" si="289"/>
        <v>0</v>
      </c>
      <c r="J762" s="190">
        <f t="shared" si="289"/>
        <v>0</v>
      </c>
      <c r="K762" s="190">
        <f t="shared" si="289"/>
        <v>0</v>
      </c>
      <c r="L762" s="190">
        <f t="shared" si="289"/>
        <v>0</v>
      </c>
      <c r="M762" s="190">
        <f t="shared" si="289"/>
        <v>0</v>
      </c>
      <c r="N762" s="190">
        <f t="shared" si="289"/>
        <v>0</v>
      </c>
      <c r="O762" s="190">
        <f t="shared" si="289"/>
        <v>21</v>
      </c>
      <c r="P762" s="190">
        <f t="shared" si="289"/>
        <v>0</v>
      </c>
      <c r="Q762" s="190">
        <f t="shared" si="289"/>
        <v>0</v>
      </c>
      <c r="R762" s="190">
        <f t="shared" si="289"/>
        <v>0</v>
      </c>
      <c r="S762" s="190">
        <f t="shared" si="289"/>
        <v>0</v>
      </c>
      <c r="T762" s="190">
        <f t="shared" si="289"/>
        <v>66</v>
      </c>
      <c r="U762"/>
      <c r="V762">
        <f>+PRESUPUESTO22[[#This Row],[EJECUTADO ]]-SUM(PRESUPUESTO22[[#This Row],[   ENERO ]:[DIC]])</f>
        <v>0</v>
      </c>
    </row>
    <row r="763" spans="1:22" ht="15.95" customHeight="1" x14ac:dyDescent="0.25">
      <c r="A763" s="52"/>
      <c r="B763" s="151">
        <v>140201</v>
      </c>
      <c r="C763" s="130" t="str">
        <f t="shared" si="274"/>
        <v>E-140201</v>
      </c>
      <c r="D763" s="130">
        <v>713</v>
      </c>
      <c r="E763" s="151" t="s">
        <v>72</v>
      </c>
      <c r="F763" s="208" t="s">
        <v>614</v>
      </c>
      <c r="G763" s="192">
        <v>225</v>
      </c>
      <c r="H763" s="192">
        <f>SUM(H764:H765)</f>
        <v>0</v>
      </c>
      <c r="I763" s="192">
        <f t="shared" ref="I763:T763" si="290">SUM(I764:I765)</f>
        <v>0</v>
      </c>
      <c r="J763" s="192">
        <f t="shared" si="290"/>
        <v>0</v>
      </c>
      <c r="K763" s="192">
        <f t="shared" si="290"/>
        <v>0</v>
      </c>
      <c r="L763" s="192">
        <f t="shared" si="290"/>
        <v>0</v>
      </c>
      <c r="M763" s="192">
        <f t="shared" si="290"/>
        <v>0</v>
      </c>
      <c r="N763" s="192">
        <f t="shared" si="290"/>
        <v>0</v>
      </c>
      <c r="O763" s="192">
        <f t="shared" si="290"/>
        <v>0</v>
      </c>
      <c r="P763" s="192">
        <f t="shared" si="290"/>
        <v>0</v>
      </c>
      <c r="Q763" s="192">
        <f t="shared" si="290"/>
        <v>0</v>
      </c>
      <c r="R763" s="192">
        <f t="shared" si="290"/>
        <v>0</v>
      </c>
      <c r="S763" s="192">
        <f t="shared" si="290"/>
        <v>0</v>
      </c>
      <c r="T763" s="192">
        <f t="shared" si="290"/>
        <v>0</v>
      </c>
      <c r="U763"/>
      <c r="V763">
        <f>+PRESUPUESTO22[[#This Row],[EJECUTADO ]]-SUM(PRESUPUESTO22[[#This Row],[   ENERO ]:[DIC]])</f>
        <v>0</v>
      </c>
    </row>
    <row r="764" spans="1:22" ht="15.95" customHeight="1" x14ac:dyDescent="0.25">
      <c r="A764" s="52"/>
      <c r="B764" s="156">
        <v>14020101</v>
      </c>
      <c r="C764" s="130" t="str">
        <f t="shared" si="274"/>
        <v>E-14020101</v>
      </c>
      <c r="D764" s="130">
        <v>714</v>
      </c>
      <c r="E764" s="156" t="s">
        <v>69</v>
      </c>
      <c r="F764" s="216" t="s">
        <v>621</v>
      </c>
      <c r="G764" s="193">
        <v>0</v>
      </c>
      <c r="H764" s="193">
        <v>0</v>
      </c>
      <c r="I764" s="193">
        <v>0</v>
      </c>
      <c r="J764" s="193">
        <v>0</v>
      </c>
      <c r="K764" s="193">
        <v>0</v>
      </c>
      <c r="L764" s="193">
        <v>0</v>
      </c>
      <c r="M764" s="193">
        <v>0</v>
      </c>
      <c r="N764" s="193">
        <v>0</v>
      </c>
      <c r="O764" s="193">
        <v>0</v>
      </c>
      <c r="P764" s="193">
        <v>0</v>
      </c>
      <c r="Q764" s="193">
        <v>0</v>
      </c>
      <c r="R764" s="193">
        <v>0</v>
      </c>
      <c r="S764" s="193">
        <v>0</v>
      </c>
      <c r="T764" s="193">
        <f>SUM(H764:S764)</f>
        <v>0</v>
      </c>
      <c r="U764"/>
      <c r="V764">
        <f>+PRESUPUESTO22[[#This Row],[EJECUTADO ]]-SUM(PRESUPUESTO22[[#This Row],[   ENERO ]:[DIC]])</f>
        <v>0</v>
      </c>
    </row>
    <row r="765" spans="1:22" ht="15.95" customHeight="1" x14ac:dyDescent="0.25">
      <c r="A765" s="52"/>
      <c r="B765" s="156">
        <v>14020102</v>
      </c>
      <c r="C765" s="130" t="str">
        <f t="shared" si="274"/>
        <v>E-14020102</v>
      </c>
      <c r="D765" s="130">
        <v>715</v>
      </c>
      <c r="E765" s="156" t="s">
        <v>69</v>
      </c>
      <c r="F765" s="216" t="s">
        <v>622</v>
      </c>
      <c r="G765" s="193">
        <v>0</v>
      </c>
      <c r="H765" s="193">
        <v>0</v>
      </c>
      <c r="I765" s="193">
        <v>0</v>
      </c>
      <c r="J765" s="193">
        <v>0</v>
      </c>
      <c r="K765" s="193">
        <v>0</v>
      </c>
      <c r="L765" s="193">
        <v>0</v>
      </c>
      <c r="M765" s="193">
        <v>0</v>
      </c>
      <c r="N765" s="193">
        <v>0</v>
      </c>
      <c r="O765" s="193">
        <v>0</v>
      </c>
      <c r="P765" s="193">
        <v>0</v>
      </c>
      <c r="Q765" s="193">
        <v>0</v>
      </c>
      <c r="R765" s="193">
        <v>0</v>
      </c>
      <c r="S765" s="193">
        <v>0</v>
      </c>
      <c r="T765" s="193">
        <f>SUM(H765:S765)</f>
        <v>0</v>
      </c>
      <c r="U765"/>
      <c r="V765">
        <f>+PRESUPUESTO22[[#This Row],[EJECUTADO ]]-SUM(PRESUPUESTO22[[#This Row],[   ENERO ]:[DIC]])</f>
        <v>0</v>
      </c>
    </row>
    <row r="766" spans="1:22" ht="15.95" customHeight="1" x14ac:dyDescent="0.25">
      <c r="A766" s="52"/>
      <c r="B766" s="151">
        <v>140202</v>
      </c>
      <c r="C766" s="130" t="str">
        <f t="shared" si="274"/>
        <v>E-140202</v>
      </c>
      <c r="D766" s="130">
        <v>716</v>
      </c>
      <c r="E766" s="151" t="s">
        <v>72</v>
      </c>
      <c r="F766" s="208" t="s">
        <v>617</v>
      </c>
      <c r="G766" s="192">
        <v>450</v>
      </c>
      <c r="H766" s="192">
        <f>SUM(H767:H768)</f>
        <v>0</v>
      </c>
      <c r="I766" s="192">
        <f t="shared" ref="I766:T766" si="291">SUM(I767:I768)</f>
        <v>0</v>
      </c>
      <c r="J766" s="192">
        <f t="shared" si="291"/>
        <v>0</v>
      </c>
      <c r="K766" s="192">
        <f t="shared" si="291"/>
        <v>0</v>
      </c>
      <c r="L766" s="192">
        <f t="shared" si="291"/>
        <v>0</v>
      </c>
      <c r="M766" s="192">
        <f t="shared" si="291"/>
        <v>0</v>
      </c>
      <c r="N766" s="192">
        <f t="shared" si="291"/>
        <v>0</v>
      </c>
      <c r="O766" s="192">
        <f t="shared" si="291"/>
        <v>21</v>
      </c>
      <c r="P766" s="192">
        <f t="shared" si="291"/>
        <v>0</v>
      </c>
      <c r="Q766" s="192">
        <f t="shared" si="291"/>
        <v>0</v>
      </c>
      <c r="R766" s="192">
        <f t="shared" si="291"/>
        <v>0</v>
      </c>
      <c r="S766" s="192">
        <f t="shared" si="291"/>
        <v>0</v>
      </c>
      <c r="T766" s="192">
        <f t="shared" si="291"/>
        <v>21</v>
      </c>
      <c r="U766"/>
      <c r="V766">
        <f>+PRESUPUESTO22[[#This Row],[EJECUTADO ]]-SUM(PRESUPUESTO22[[#This Row],[   ENERO ]:[DIC]])</f>
        <v>0</v>
      </c>
    </row>
    <row r="767" spans="1:22" ht="15.95" customHeight="1" x14ac:dyDescent="0.25">
      <c r="A767" s="52"/>
      <c r="B767" s="156">
        <v>14020201</v>
      </c>
      <c r="C767" s="130" t="str">
        <f t="shared" si="274"/>
        <v>E-14020201</v>
      </c>
      <c r="D767" s="130">
        <v>717</v>
      </c>
      <c r="E767" s="156" t="s">
        <v>69</v>
      </c>
      <c r="F767" s="216" t="s">
        <v>623</v>
      </c>
      <c r="G767" s="193">
        <v>0</v>
      </c>
      <c r="H767" s="193">
        <v>0</v>
      </c>
      <c r="I767" s="193">
        <v>0</v>
      </c>
      <c r="J767" s="193">
        <v>0</v>
      </c>
      <c r="K767" s="193">
        <v>0</v>
      </c>
      <c r="L767" s="193">
        <v>0</v>
      </c>
      <c r="M767" s="193">
        <v>0</v>
      </c>
      <c r="N767" s="193">
        <v>0</v>
      </c>
      <c r="O767" s="193">
        <v>21</v>
      </c>
      <c r="P767" s="193">
        <v>0</v>
      </c>
      <c r="Q767" s="193">
        <v>0</v>
      </c>
      <c r="R767" s="193">
        <v>0</v>
      </c>
      <c r="S767" s="193">
        <v>0</v>
      </c>
      <c r="T767" s="193">
        <f>SUM(H767:S767)</f>
        <v>21</v>
      </c>
      <c r="U767"/>
      <c r="V767">
        <f>+PRESUPUESTO22[[#This Row],[EJECUTADO ]]-SUM(PRESUPUESTO22[[#This Row],[   ENERO ]:[DIC]])</f>
        <v>0</v>
      </c>
    </row>
    <row r="768" spans="1:22" ht="15.95" customHeight="1" x14ac:dyDescent="0.25">
      <c r="A768" s="52"/>
      <c r="B768" s="156">
        <v>14020202</v>
      </c>
      <c r="C768" s="130" t="str">
        <f t="shared" si="274"/>
        <v>E-14020202</v>
      </c>
      <c r="D768" s="130">
        <v>718</v>
      </c>
      <c r="E768" s="156" t="s">
        <v>69</v>
      </c>
      <c r="F768" s="216" t="s">
        <v>624</v>
      </c>
      <c r="G768" s="193">
        <v>0</v>
      </c>
      <c r="H768" s="193">
        <v>0</v>
      </c>
      <c r="I768" s="193">
        <v>0</v>
      </c>
      <c r="J768" s="193">
        <v>0</v>
      </c>
      <c r="K768" s="193">
        <v>0</v>
      </c>
      <c r="L768" s="193">
        <v>0</v>
      </c>
      <c r="M768" s="193">
        <v>0</v>
      </c>
      <c r="N768" s="193">
        <v>0</v>
      </c>
      <c r="O768" s="193">
        <v>0</v>
      </c>
      <c r="P768" s="193">
        <v>0</v>
      </c>
      <c r="Q768" s="193">
        <v>0</v>
      </c>
      <c r="R768" s="193">
        <v>0</v>
      </c>
      <c r="S768" s="193">
        <v>0</v>
      </c>
      <c r="T768" s="193">
        <f>SUM(H768:S768)</f>
        <v>0</v>
      </c>
      <c r="U768"/>
      <c r="V768">
        <f>+PRESUPUESTO22[[#This Row],[EJECUTADO ]]-SUM(PRESUPUESTO22[[#This Row],[   ENERO ]:[DIC]])</f>
        <v>0</v>
      </c>
    </row>
    <row r="769" spans="1:22" ht="15.95" customHeight="1" x14ac:dyDescent="0.25">
      <c r="A769" s="52"/>
      <c r="B769" s="151">
        <v>140203</v>
      </c>
      <c r="C769" s="130" t="str">
        <f t="shared" si="274"/>
        <v>E-140203</v>
      </c>
      <c r="D769" s="130">
        <v>719</v>
      </c>
      <c r="E769" s="151" t="s">
        <v>72</v>
      </c>
      <c r="F769" s="208" t="s">
        <v>618</v>
      </c>
      <c r="G769" s="192">
        <v>300</v>
      </c>
      <c r="H769" s="192">
        <f>SUM(H770:H771)</f>
        <v>45</v>
      </c>
      <c r="I769" s="192">
        <f t="shared" ref="I769:T769" si="292">SUM(I770:I771)</f>
        <v>0</v>
      </c>
      <c r="J769" s="192">
        <f t="shared" si="292"/>
        <v>0</v>
      </c>
      <c r="K769" s="192">
        <f t="shared" si="292"/>
        <v>0</v>
      </c>
      <c r="L769" s="192">
        <f t="shared" si="292"/>
        <v>0</v>
      </c>
      <c r="M769" s="192">
        <f t="shared" si="292"/>
        <v>0</v>
      </c>
      <c r="N769" s="192">
        <f t="shared" si="292"/>
        <v>0</v>
      </c>
      <c r="O769" s="192">
        <f t="shared" si="292"/>
        <v>0</v>
      </c>
      <c r="P769" s="192">
        <f t="shared" si="292"/>
        <v>0</v>
      </c>
      <c r="Q769" s="192">
        <f t="shared" si="292"/>
        <v>0</v>
      </c>
      <c r="R769" s="192">
        <f t="shared" si="292"/>
        <v>0</v>
      </c>
      <c r="S769" s="192">
        <f t="shared" si="292"/>
        <v>0</v>
      </c>
      <c r="T769" s="192">
        <f t="shared" si="292"/>
        <v>45</v>
      </c>
      <c r="U769"/>
      <c r="V769">
        <f>+PRESUPUESTO22[[#This Row],[EJECUTADO ]]-SUM(PRESUPUESTO22[[#This Row],[   ENERO ]:[DIC]])</f>
        <v>0</v>
      </c>
    </row>
    <row r="770" spans="1:22" ht="15.95" customHeight="1" x14ac:dyDescent="0.25">
      <c r="A770" s="52"/>
      <c r="B770" s="156">
        <v>14020301</v>
      </c>
      <c r="C770" s="130" t="str">
        <f t="shared" si="274"/>
        <v>E-14020301</v>
      </c>
      <c r="D770" s="130">
        <v>720</v>
      </c>
      <c r="E770" s="156" t="s">
        <v>69</v>
      </c>
      <c r="F770" s="216" t="s">
        <v>623</v>
      </c>
      <c r="G770" s="193">
        <v>0</v>
      </c>
      <c r="H770" s="193">
        <f>33.58+0.42</f>
        <v>34</v>
      </c>
      <c r="I770" s="193">
        <v>0</v>
      </c>
      <c r="J770" s="193">
        <v>0</v>
      </c>
      <c r="K770" s="193">
        <v>0</v>
      </c>
      <c r="L770" s="193">
        <v>0</v>
      </c>
      <c r="M770" s="193">
        <v>0</v>
      </c>
      <c r="N770" s="193">
        <v>0</v>
      </c>
      <c r="O770" s="193">
        <v>0</v>
      </c>
      <c r="P770" s="193">
        <v>0</v>
      </c>
      <c r="Q770" s="193">
        <v>0</v>
      </c>
      <c r="R770" s="193">
        <v>0</v>
      </c>
      <c r="S770" s="193">
        <v>0</v>
      </c>
      <c r="T770" s="193">
        <f>SUM(H770:S770)</f>
        <v>34</v>
      </c>
      <c r="U770"/>
      <c r="V770">
        <f>+PRESUPUESTO22[[#This Row],[EJECUTADO ]]-SUM(PRESUPUESTO22[[#This Row],[   ENERO ]:[DIC]])</f>
        <v>0</v>
      </c>
    </row>
    <row r="771" spans="1:22" ht="15.95" customHeight="1" x14ac:dyDescent="0.25">
      <c r="A771" s="52"/>
      <c r="B771" s="156">
        <v>14020302</v>
      </c>
      <c r="C771" s="130" t="str">
        <f t="shared" si="274"/>
        <v>E-14020302</v>
      </c>
      <c r="D771" s="130">
        <v>721</v>
      </c>
      <c r="E771" s="156" t="s">
        <v>69</v>
      </c>
      <c r="F771" s="216" t="s">
        <v>624</v>
      </c>
      <c r="G771" s="193">
        <v>0</v>
      </c>
      <c r="H771" s="193">
        <f>10.75+0.25</f>
        <v>11</v>
      </c>
      <c r="I771" s="193">
        <v>0</v>
      </c>
      <c r="J771" s="193">
        <v>0</v>
      </c>
      <c r="K771" s="193">
        <v>0</v>
      </c>
      <c r="L771" s="193">
        <v>0</v>
      </c>
      <c r="M771" s="193">
        <v>0</v>
      </c>
      <c r="N771" s="193">
        <v>0</v>
      </c>
      <c r="O771" s="193">
        <v>0</v>
      </c>
      <c r="P771" s="193">
        <v>0</v>
      </c>
      <c r="Q771" s="193">
        <v>0</v>
      </c>
      <c r="R771" s="193">
        <v>0</v>
      </c>
      <c r="S771" s="193">
        <v>0</v>
      </c>
      <c r="T771" s="193">
        <f>SUM(H771:S771)</f>
        <v>11</v>
      </c>
      <c r="U771"/>
      <c r="V771">
        <f>+PRESUPUESTO22[[#This Row],[EJECUTADO ]]-SUM(PRESUPUESTO22[[#This Row],[   ENERO ]:[DIC]])</f>
        <v>0</v>
      </c>
    </row>
    <row r="772" spans="1:22" ht="15.95" customHeight="1" x14ac:dyDescent="0.25">
      <c r="A772" s="52"/>
      <c r="B772" s="151">
        <v>140204</v>
      </c>
      <c r="C772" s="130" t="str">
        <f t="shared" si="274"/>
        <v>E-140204</v>
      </c>
      <c r="D772" s="130">
        <v>722</v>
      </c>
      <c r="E772" s="151" t="s">
        <v>72</v>
      </c>
      <c r="F772" s="208" t="s">
        <v>619</v>
      </c>
      <c r="G772" s="192">
        <v>100</v>
      </c>
      <c r="H772" s="192">
        <f>SUM(H773:H774)</f>
        <v>0</v>
      </c>
      <c r="I772" s="192">
        <f t="shared" ref="I772:T772" si="293">SUM(I773:I774)</f>
        <v>0</v>
      </c>
      <c r="J772" s="192">
        <f t="shared" si="293"/>
        <v>0</v>
      </c>
      <c r="K772" s="192">
        <f t="shared" si="293"/>
        <v>0</v>
      </c>
      <c r="L772" s="192">
        <f t="shared" si="293"/>
        <v>0</v>
      </c>
      <c r="M772" s="192">
        <f t="shared" si="293"/>
        <v>0</v>
      </c>
      <c r="N772" s="192">
        <f t="shared" si="293"/>
        <v>0</v>
      </c>
      <c r="O772" s="192">
        <f t="shared" si="293"/>
        <v>0</v>
      </c>
      <c r="P772" s="192">
        <f t="shared" si="293"/>
        <v>0</v>
      </c>
      <c r="Q772" s="192">
        <f t="shared" si="293"/>
        <v>0</v>
      </c>
      <c r="R772" s="192">
        <f t="shared" si="293"/>
        <v>0</v>
      </c>
      <c r="S772" s="192">
        <f t="shared" si="293"/>
        <v>0</v>
      </c>
      <c r="T772" s="192">
        <f t="shared" si="293"/>
        <v>0</v>
      </c>
      <c r="U772"/>
      <c r="V772">
        <f>+PRESUPUESTO22[[#This Row],[EJECUTADO ]]-SUM(PRESUPUESTO22[[#This Row],[   ENERO ]:[DIC]])</f>
        <v>0</v>
      </c>
    </row>
    <row r="773" spans="1:22" ht="15.95" customHeight="1" x14ac:dyDescent="0.25">
      <c r="A773" s="52"/>
      <c r="B773" s="156">
        <v>14020401</v>
      </c>
      <c r="C773" s="130" t="str">
        <f t="shared" si="274"/>
        <v>E-14020401</v>
      </c>
      <c r="D773" s="130">
        <v>723</v>
      </c>
      <c r="E773" s="156" t="s">
        <v>69</v>
      </c>
      <c r="F773" s="216" t="s">
        <v>623</v>
      </c>
      <c r="G773" s="193">
        <v>0</v>
      </c>
      <c r="H773" s="193">
        <v>0</v>
      </c>
      <c r="I773" s="193">
        <v>0</v>
      </c>
      <c r="J773" s="193">
        <v>0</v>
      </c>
      <c r="K773" s="193">
        <v>0</v>
      </c>
      <c r="L773" s="193">
        <v>0</v>
      </c>
      <c r="M773" s="193">
        <v>0</v>
      </c>
      <c r="N773" s="193">
        <v>0</v>
      </c>
      <c r="O773" s="193">
        <v>0</v>
      </c>
      <c r="P773" s="193">
        <v>0</v>
      </c>
      <c r="Q773" s="193">
        <v>0</v>
      </c>
      <c r="R773" s="193">
        <v>0</v>
      </c>
      <c r="S773" s="193">
        <v>0</v>
      </c>
      <c r="T773" s="193">
        <f>SUM(H773:S773)</f>
        <v>0</v>
      </c>
      <c r="U773"/>
      <c r="V773">
        <f>+PRESUPUESTO22[[#This Row],[EJECUTADO ]]-SUM(PRESUPUESTO22[[#This Row],[   ENERO ]:[DIC]])</f>
        <v>0</v>
      </c>
    </row>
    <row r="774" spans="1:22" ht="15.95" customHeight="1" x14ac:dyDescent="0.25">
      <c r="A774" s="52"/>
      <c r="B774" s="156">
        <v>14020401</v>
      </c>
      <c r="C774" s="130" t="str">
        <f t="shared" si="274"/>
        <v>E-14020401</v>
      </c>
      <c r="D774" s="130">
        <v>724</v>
      </c>
      <c r="E774" s="156" t="s">
        <v>69</v>
      </c>
      <c r="F774" s="216" t="s">
        <v>624</v>
      </c>
      <c r="G774" s="193">
        <v>0</v>
      </c>
      <c r="H774" s="193">
        <v>0</v>
      </c>
      <c r="I774" s="193">
        <v>0</v>
      </c>
      <c r="J774" s="193">
        <v>0</v>
      </c>
      <c r="K774" s="193">
        <v>0</v>
      </c>
      <c r="L774" s="193">
        <v>0</v>
      </c>
      <c r="M774" s="193">
        <v>0</v>
      </c>
      <c r="N774" s="193">
        <v>0</v>
      </c>
      <c r="O774" s="193">
        <v>0</v>
      </c>
      <c r="P774" s="193">
        <v>0</v>
      </c>
      <c r="Q774" s="193">
        <v>0</v>
      </c>
      <c r="R774" s="193">
        <v>0</v>
      </c>
      <c r="S774" s="193">
        <v>0</v>
      </c>
      <c r="T774" s="193">
        <f>SUM(H774:S774)</f>
        <v>0</v>
      </c>
      <c r="U774"/>
      <c r="V774">
        <f>+PRESUPUESTO22[[#This Row],[EJECUTADO ]]-SUM(PRESUPUESTO22[[#This Row],[   ENERO ]:[DIC]])</f>
        <v>0</v>
      </c>
    </row>
    <row r="775" spans="1:22" ht="15.95" customHeight="1" x14ac:dyDescent="0.25">
      <c r="A775" s="52">
        <v>14.3</v>
      </c>
      <c r="B775" s="139">
        <v>1403</v>
      </c>
      <c r="C775" s="130" t="str">
        <f t="shared" si="274"/>
        <v>E-1403</v>
      </c>
      <c r="D775" s="130">
        <v>725</v>
      </c>
      <c r="E775" s="139" t="s">
        <v>69</v>
      </c>
      <c r="F775" s="189" t="s">
        <v>625</v>
      </c>
      <c r="G775" s="190">
        <f>+G776+G780</f>
        <v>2750</v>
      </c>
      <c r="H775" s="190">
        <f t="shared" ref="H775:T775" si="294">+H776+H780+H782</f>
        <v>229</v>
      </c>
      <c r="I775" s="190">
        <f t="shared" si="294"/>
        <v>229</v>
      </c>
      <c r="J775" s="190">
        <f t="shared" si="294"/>
        <v>229</v>
      </c>
      <c r="K775" s="190">
        <f t="shared" si="294"/>
        <v>229</v>
      </c>
      <c r="L775" s="190">
        <f t="shared" si="294"/>
        <v>229</v>
      </c>
      <c r="M775" s="190">
        <f t="shared" si="294"/>
        <v>229</v>
      </c>
      <c r="N775" s="190">
        <f t="shared" si="294"/>
        <v>229</v>
      </c>
      <c r="O775" s="190">
        <f t="shared" si="294"/>
        <v>229</v>
      </c>
      <c r="P775" s="190">
        <f t="shared" si="294"/>
        <v>229</v>
      </c>
      <c r="Q775" s="190">
        <f t="shared" si="294"/>
        <v>229</v>
      </c>
      <c r="R775" s="190">
        <f t="shared" si="294"/>
        <v>229</v>
      </c>
      <c r="S775" s="190">
        <f t="shared" si="294"/>
        <v>0</v>
      </c>
      <c r="T775" s="190">
        <f t="shared" si="294"/>
        <v>2519</v>
      </c>
      <c r="U775"/>
      <c r="V775">
        <f>+PRESUPUESTO22[[#This Row],[EJECUTADO ]]-SUM(PRESUPUESTO22[[#This Row],[   ENERO ]:[DIC]])</f>
        <v>0</v>
      </c>
    </row>
    <row r="776" spans="1:22" ht="15.95" customHeight="1" x14ac:dyDescent="0.25">
      <c r="A776" s="52"/>
      <c r="B776" s="151">
        <v>14030102</v>
      </c>
      <c r="C776" s="130" t="str">
        <f t="shared" si="274"/>
        <v>E-14030102</v>
      </c>
      <c r="D776" s="130">
        <v>726</v>
      </c>
      <c r="E776" s="151" t="s">
        <v>69</v>
      </c>
      <c r="F776" s="208" t="s">
        <v>1</v>
      </c>
      <c r="G776" s="192">
        <f>+G777</f>
        <v>0</v>
      </c>
      <c r="H776" s="192">
        <f>+H777</f>
        <v>0</v>
      </c>
      <c r="I776" s="192">
        <f t="shared" ref="I776:S776" si="295">+I777</f>
        <v>0</v>
      </c>
      <c r="J776" s="192">
        <f t="shared" si="295"/>
        <v>0</v>
      </c>
      <c r="K776" s="192">
        <f t="shared" si="295"/>
        <v>0</v>
      </c>
      <c r="L776" s="192">
        <f t="shared" si="295"/>
        <v>0</v>
      </c>
      <c r="M776" s="192">
        <f t="shared" si="295"/>
        <v>0</v>
      </c>
      <c r="N776" s="192">
        <f t="shared" si="295"/>
        <v>0</v>
      </c>
      <c r="O776" s="192">
        <f t="shared" si="295"/>
        <v>0</v>
      </c>
      <c r="P776" s="192">
        <f t="shared" si="295"/>
        <v>0</v>
      </c>
      <c r="Q776" s="192">
        <f t="shared" si="295"/>
        <v>0</v>
      </c>
      <c r="R776" s="192">
        <f t="shared" si="295"/>
        <v>0</v>
      </c>
      <c r="S776" s="192">
        <f t="shared" si="295"/>
        <v>0</v>
      </c>
      <c r="T776" s="192">
        <f>+T777</f>
        <v>0</v>
      </c>
      <c r="U776"/>
      <c r="V776">
        <f>+PRESUPUESTO22[[#This Row],[EJECUTADO ]]-SUM(PRESUPUESTO22[[#This Row],[   ENERO ]:[DIC]])</f>
        <v>0</v>
      </c>
    </row>
    <row r="777" spans="1:22" ht="18" customHeight="1" x14ac:dyDescent="0.25">
      <c r="A777" s="52" t="s">
        <v>1</v>
      </c>
      <c r="B777" s="166">
        <v>14030103</v>
      </c>
      <c r="C777" s="130" t="str">
        <f t="shared" si="274"/>
        <v>E-14030103</v>
      </c>
      <c r="D777" s="130">
        <v>727</v>
      </c>
      <c r="E777" s="166" t="s">
        <v>69</v>
      </c>
      <c r="F777" s="230" t="s">
        <v>1</v>
      </c>
      <c r="G777" s="231">
        <f>SUM(G778:G779)</f>
        <v>0</v>
      </c>
      <c r="H777" s="231">
        <f>SUM(H778:H779)</f>
        <v>0</v>
      </c>
      <c r="I777" s="231">
        <f>SUM(I778:I779)</f>
        <v>0</v>
      </c>
      <c r="J777" s="231">
        <f>SUM(J778:J779)</f>
        <v>0</v>
      </c>
      <c r="K777" s="231">
        <f t="shared" ref="K777:T777" si="296">SUM(K778:K779)</f>
        <v>0</v>
      </c>
      <c r="L777" s="231">
        <f t="shared" si="296"/>
        <v>0</v>
      </c>
      <c r="M777" s="231">
        <f t="shared" si="296"/>
        <v>0</v>
      </c>
      <c r="N777" s="231">
        <f t="shared" si="296"/>
        <v>0</v>
      </c>
      <c r="O777" s="231">
        <f t="shared" si="296"/>
        <v>0</v>
      </c>
      <c r="P777" s="231">
        <f t="shared" si="296"/>
        <v>0</v>
      </c>
      <c r="Q777" s="231">
        <f t="shared" si="296"/>
        <v>0</v>
      </c>
      <c r="R777" s="231">
        <f t="shared" si="296"/>
        <v>0</v>
      </c>
      <c r="S777" s="231">
        <f t="shared" si="296"/>
        <v>0</v>
      </c>
      <c r="T777" s="231">
        <f t="shared" si="296"/>
        <v>0</v>
      </c>
      <c r="U777"/>
      <c r="V777">
        <f>+PRESUPUESTO22[[#This Row],[EJECUTADO ]]-SUM(PRESUPUESTO22[[#This Row],[   ENERO ]:[DIC]])</f>
        <v>0</v>
      </c>
    </row>
    <row r="778" spans="1:22" ht="15.95" customHeight="1" x14ac:dyDescent="0.25">
      <c r="A778" s="52"/>
      <c r="B778" s="151">
        <v>14030104</v>
      </c>
      <c r="C778" s="130" t="str">
        <f t="shared" si="274"/>
        <v>E-14030104</v>
      </c>
      <c r="D778" s="130">
        <v>728</v>
      </c>
      <c r="E778" s="156" t="s">
        <v>69</v>
      </c>
      <c r="F778" s="216" t="s">
        <v>626</v>
      </c>
      <c r="G778" s="193">
        <v>0</v>
      </c>
      <c r="H778" s="193">
        <v>0</v>
      </c>
      <c r="I778" s="193">
        <v>0</v>
      </c>
      <c r="J778" s="193">
        <v>0</v>
      </c>
      <c r="K778" s="193">
        <v>0</v>
      </c>
      <c r="L778" s="193">
        <v>0</v>
      </c>
      <c r="M778" s="193">
        <v>0</v>
      </c>
      <c r="N778" s="193">
        <v>0</v>
      </c>
      <c r="O778" s="193">
        <v>0</v>
      </c>
      <c r="P778" s="193">
        <v>0</v>
      </c>
      <c r="Q778" s="193">
        <v>0</v>
      </c>
      <c r="R778" s="193">
        <v>0</v>
      </c>
      <c r="S778" s="193">
        <v>0</v>
      </c>
      <c r="T778" s="193">
        <f>SUM(H778:S778)</f>
        <v>0</v>
      </c>
      <c r="U778"/>
      <c r="V778">
        <f>+PRESUPUESTO22[[#This Row],[EJECUTADO ]]-SUM(PRESUPUESTO22[[#This Row],[   ENERO ]:[DIC]])</f>
        <v>0</v>
      </c>
    </row>
    <row r="779" spans="1:22" ht="15.95" customHeight="1" x14ac:dyDescent="0.25">
      <c r="A779" s="52"/>
      <c r="B779" s="166">
        <v>14030105</v>
      </c>
      <c r="C779" s="130" t="str">
        <f t="shared" si="274"/>
        <v>E-14030105</v>
      </c>
      <c r="D779" s="130">
        <v>729</v>
      </c>
      <c r="E779" s="156" t="s">
        <v>69</v>
      </c>
      <c r="F779" s="216" t="s">
        <v>627</v>
      </c>
      <c r="G779" s="193">
        <v>0</v>
      </c>
      <c r="H779" s="193">
        <v>0</v>
      </c>
      <c r="I779" s="193">
        <v>0</v>
      </c>
      <c r="J779" s="193">
        <v>0</v>
      </c>
      <c r="K779" s="193">
        <v>0</v>
      </c>
      <c r="L779" s="193">
        <v>0</v>
      </c>
      <c r="M779" s="193">
        <v>0</v>
      </c>
      <c r="N779" s="193">
        <v>0</v>
      </c>
      <c r="O779" s="193">
        <v>0</v>
      </c>
      <c r="P779" s="193">
        <v>0</v>
      </c>
      <c r="Q779" s="193">
        <v>0</v>
      </c>
      <c r="R779" s="193">
        <v>0</v>
      </c>
      <c r="S779" s="193">
        <v>0</v>
      </c>
      <c r="T779" s="193">
        <f>SUM(H779:S779)</f>
        <v>0</v>
      </c>
      <c r="U779"/>
      <c r="V779">
        <f>+PRESUPUESTO22[[#This Row],[EJECUTADO ]]-SUM(PRESUPUESTO22[[#This Row],[   ENERO ]:[DIC]])</f>
        <v>0</v>
      </c>
    </row>
    <row r="780" spans="1:22" ht="15.95" customHeight="1" x14ac:dyDescent="0.25">
      <c r="A780" s="52"/>
      <c r="B780" s="151">
        <v>140301</v>
      </c>
      <c r="C780" s="130" t="str">
        <f t="shared" si="274"/>
        <v>E-140301</v>
      </c>
      <c r="D780" s="130">
        <v>730</v>
      </c>
      <c r="E780" s="151" t="s">
        <v>69</v>
      </c>
      <c r="F780" s="208" t="s">
        <v>628</v>
      </c>
      <c r="G780" s="192">
        <f>+G781</f>
        <v>2750</v>
      </c>
      <c r="H780" s="192">
        <f t="shared" ref="H780:T780" si="297">+H781</f>
        <v>229</v>
      </c>
      <c r="I780" s="192">
        <f t="shared" si="297"/>
        <v>229</v>
      </c>
      <c r="J780" s="192">
        <f t="shared" si="297"/>
        <v>229</v>
      </c>
      <c r="K780" s="192">
        <f t="shared" si="297"/>
        <v>229</v>
      </c>
      <c r="L780" s="192">
        <f t="shared" si="297"/>
        <v>229</v>
      </c>
      <c r="M780" s="192">
        <f t="shared" si="297"/>
        <v>229</v>
      </c>
      <c r="N780" s="192">
        <f t="shared" si="297"/>
        <v>229</v>
      </c>
      <c r="O780" s="192">
        <f t="shared" si="297"/>
        <v>229</v>
      </c>
      <c r="P780" s="192">
        <f t="shared" si="297"/>
        <v>229</v>
      </c>
      <c r="Q780" s="192">
        <f t="shared" si="297"/>
        <v>229</v>
      </c>
      <c r="R780" s="192">
        <f t="shared" si="297"/>
        <v>229</v>
      </c>
      <c r="S780" s="192">
        <f t="shared" si="297"/>
        <v>0</v>
      </c>
      <c r="T780" s="192">
        <f t="shared" si="297"/>
        <v>2519</v>
      </c>
      <c r="U780"/>
      <c r="V780">
        <f>+PRESUPUESTO22[[#This Row],[EJECUTADO ]]-SUM(PRESUPUESTO22[[#This Row],[   ENERO ]:[DIC]])</f>
        <v>0</v>
      </c>
    </row>
    <row r="781" spans="1:22" ht="15.95" customHeight="1" x14ac:dyDescent="0.25">
      <c r="A781" s="52"/>
      <c r="B781" s="156">
        <v>14030101</v>
      </c>
      <c r="C781" s="130" t="str">
        <f t="shared" si="274"/>
        <v>E-14030101</v>
      </c>
      <c r="D781" s="130">
        <v>731</v>
      </c>
      <c r="E781" s="156" t="s">
        <v>72</v>
      </c>
      <c r="F781" s="216" t="s">
        <v>629</v>
      </c>
      <c r="G781" s="193">
        <v>2750</v>
      </c>
      <c r="H781" s="193">
        <v>229</v>
      </c>
      <c r="I781" s="193">
        <v>229</v>
      </c>
      <c r="J781" s="193">
        <v>229</v>
      </c>
      <c r="K781" s="193">
        <v>229</v>
      </c>
      <c r="L781" s="193">
        <v>229</v>
      </c>
      <c r="M781" s="193">
        <v>229</v>
      </c>
      <c r="N781" s="193">
        <v>229</v>
      </c>
      <c r="O781" s="193">
        <v>229</v>
      </c>
      <c r="P781" s="193">
        <v>229</v>
      </c>
      <c r="Q781" s="193">
        <v>229</v>
      </c>
      <c r="R781" s="193">
        <v>229</v>
      </c>
      <c r="S781" s="193">
        <v>0</v>
      </c>
      <c r="T781" s="193">
        <f>SUM(H781:S781)</f>
        <v>2519</v>
      </c>
      <c r="U781"/>
      <c r="V781">
        <f>+PRESUPUESTO22[[#This Row],[EJECUTADO ]]-SUM(PRESUPUESTO22[[#This Row],[   ENERO ]:[DIC]])</f>
        <v>0</v>
      </c>
    </row>
    <row r="782" spans="1:22" ht="15.95" customHeight="1" x14ac:dyDescent="0.25">
      <c r="A782" s="52"/>
      <c r="B782" s="151">
        <v>140302</v>
      </c>
      <c r="C782" s="130" t="str">
        <f t="shared" si="274"/>
        <v>E-140302</v>
      </c>
      <c r="D782" s="130">
        <v>732</v>
      </c>
      <c r="E782" s="151" t="s">
        <v>72</v>
      </c>
      <c r="F782" s="208" t="s">
        <v>630</v>
      </c>
      <c r="G782" s="192"/>
      <c r="H782" s="192">
        <f>+H783</f>
        <v>0</v>
      </c>
      <c r="I782" s="192">
        <f t="shared" ref="I782:T782" si="298">+I783</f>
        <v>0</v>
      </c>
      <c r="J782" s="192">
        <f t="shared" si="298"/>
        <v>0</v>
      </c>
      <c r="K782" s="192">
        <f t="shared" si="298"/>
        <v>0</v>
      </c>
      <c r="L782" s="192">
        <f t="shared" si="298"/>
        <v>0</v>
      </c>
      <c r="M782" s="192">
        <f t="shared" si="298"/>
        <v>0</v>
      </c>
      <c r="N782" s="192">
        <f t="shared" si="298"/>
        <v>0</v>
      </c>
      <c r="O782" s="192">
        <f t="shared" si="298"/>
        <v>0</v>
      </c>
      <c r="P782" s="192">
        <f t="shared" si="298"/>
        <v>0</v>
      </c>
      <c r="Q782" s="192">
        <f t="shared" si="298"/>
        <v>0</v>
      </c>
      <c r="R782" s="192">
        <f t="shared" si="298"/>
        <v>0</v>
      </c>
      <c r="S782" s="192">
        <f t="shared" si="298"/>
        <v>0</v>
      </c>
      <c r="T782" s="192">
        <f t="shared" si="298"/>
        <v>0</v>
      </c>
      <c r="U782"/>
      <c r="V782">
        <f>+PRESUPUESTO22[[#This Row],[EJECUTADO ]]-SUM(PRESUPUESTO22[[#This Row],[   ENERO ]:[DIC]])</f>
        <v>0</v>
      </c>
    </row>
    <row r="783" spans="1:22" ht="24.75" customHeight="1" x14ac:dyDescent="0.25">
      <c r="A783" s="52"/>
      <c r="B783" s="156">
        <v>14030201</v>
      </c>
      <c r="C783" s="130" t="str">
        <f t="shared" si="274"/>
        <v>E-14030201</v>
      </c>
      <c r="D783" s="130">
        <v>733</v>
      </c>
      <c r="E783" s="156" t="s">
        <v>69</v>
      </c>
      <c r="F783" s="216" t="s">
        <v>631</v>
      </c>
      <c r="G783" s="193">
        <v>0</v>
      </c>
      <c r="H783" s="193">
        <v>0</v>
      </c>
      <c r="I783" s="193">
        <v>0</v>
      </c>
      <c r="J783" s="193">
        <v>0</v>
      </c>
      <c r="K783" s="193">
        <v>0</v>
      </c>
      <c r="L783" s="193">
        <v>0</v>
      </c>
      <c r="M783" s="193">
        <v>0</v>
      </c>
      <c r="N783" s="193">
        <v>0</v>
      </c>
      <c r="O783" s="193">
        <v>0</v>
      </c>
      <c r="P783" s="193">
        <v>0</v>
      </c>
      <c r="Q783" s="193">
        <v>0</v>
      </c>
      <c r="R783" s="193">
        <v>0</v>
      </c>
      <c r="S783" s="193">
        <v>0</v>
      </c>
      <c r="T783" s="193">
        <f>SUM(H783:S783)</f>
        <v>0</v>
      </c>
      <c r="U783"/>
      <c r="V783">
        <f>+PRESUPUESTO22[[#This Row],[EJECUTADO ]]-SUM(PRESUPUESTO22[[#This Row],[   ENERO ]:[DIC]])</f>
        <v>0</v>
      </c>
    </row>
    <row r="784" spans="1:22" ht="15.95" customHeight="1" x14ac:dyDescent="0.25">
      <c r="A784" s="48">
        <v>14.4</v>
      </c>
      <c r="B784" s="139">
        <v>1404</v>
      </c>
      <c r="C784" s="130" t="str">
        <f t="shared" si="274"/>
        <v>E-1404</v>
      </c>
      <c r="D784" s="130">
        <v>734</v>
      </c>
      <c r="E784" s="139" t="s">
        <v>69</v>
      </c>
      <c r="F784" s="189" t="s">
        <v>632</v>
      </c>
      <c r="G784" s="190">
        <f t="shared" ref="G784:T784" si="299">+G785+G790+G808+G819</f>
        <v>368050</v>
      </c>
      <c r="H784" s="190">
        <f t="shared" si="299"/>
        <v>29220</v>
      </c>
      <c r="I784" s="190">
        <f t="shared" si="299"/>
        <v>35634</v>
      </c>
      <c r="J784" s="190">
        <f t="shared" si="299"/>
        <v>29220</v>
      </c>
      <c r="K784" s="190">
        <f t="shared" si="299"/>
        <v>26480</v>
      </c>
      <c r="L784" s="190">
        <f t="shared" si="299"/>
        <v>26480</v>
      </c>
      <c r="M784" s="190">
        <f t="shared" si="299"/>
        <v>27980</v>
      </c>
      <c r="N784" s="190">
        <f t="shared" si="299"/>
        <v>28474</v>
      </c>
      <c r="O784" s="190">
        <f t="shared" si="299"/>
        <v>26480</v>
      </c>
      <c r="P784" s="190">
        <f t="shared" si="299"/>
        <v>25500</v>
      </c>
      <c r="Q784" s="190">
        <f t="shared" si="299"/>
        <v>25500</v>
      </c>
      <c r="R784" s="190">
        <f t="shared" si="299"/>
        <v>25500</v>
      </c>
      <c r="S784" s="190">
        <f t="shared" si="299"/>
        <v>0</v>
      </c>
      <c r="T784" s="190">
        <f t="shared" si="299"/>
        <v>306468</v>
      </c>
      <c r="U784"/>
      <c r="V784">
        <f>+PRESUPUESTO22[[#This Row],[EJECUTADO ]]-SUM(PRESUPUESTO22[[#This Row],[   ENERO ]:[DIC]])</f>
        <v>0</v>
      </c>
    </row>
    <row r="785" spans="1:24" ht="15.95" customHeight="1" x14ac:dyDescent="0.25">
      <c r="A785" s="52">
        <v>1</v>
      </c>
      <c r="B785" s="151">
        <v>140401</v>
      </c>
      <c r="C785" s="130" t="str">
        <f t="shared" si="274"/>
        <v>E-140401</v>
      </c>
      <c r="D785" s="130">
        <v>735</v>
      </c>
      <c r="E785" s="151" t="s">
        <v>69</v>
      </c>
      <c r="F785" s="208" t="s">
        <v>633</v>
      </c>
      <c r="G785" s="192">
        <f>SUM(G786:G789)</f>
        <v>247590</v>
      </c>
      <c r="H785" s="192">
        <f>SUM(H786:H789)</f>
        <v>20640</v>
      </c>
      <c r="I785" s="192">
        <f t="shared" ref="I785:T785" si="300">SUM(I786:I789)</f>
        <v>20640</v>
      </c>
      <c r="J785" s="192">
        <f t="shared" si="300"/>
        <v>20640</v>
      </c>
      <c r="K785" s="192">
        <f t="shared" si="300"/>
        <v>20330</v>
      </c>
      <c r="L785" s="192">
        <f t="shared" si="300"/>
        <v>20330</v>
      </c>
      <c r="M785" s="192">
        <f t="shared" si="300"/>
        <v>20330</v>
      </c>
      <c r="N785" s="192">
        <f t="shared" si="300"/>
        <v>20330</v>
      </c>
      <c r="O785" s="192">
        <f t="shared" si="300"/>
        <v>20330</v>
      </c>
      <c r="P785" s="192">
        <f t="shared" si="300"/>
        <v>18300</v>
      </c>
      <c r="Q785" s="192">
        <f t="shared" si="300"/>
        <v>18300</v>
      </c>
      <c r="R785" s="192">
        <f t="shared" si="300"/>
        <v>18300</v>
      </c>
      <c r="S785" s="192">
        <f t="shared" si="300"/>
        <v>0</v>
      </c>
      <c r="T785" s="192">
        <f t="shared" si="300"/>
        <v>218470</v>
      </c>
      <c r="U785"/>
      <c r="V785">
        <f>+PRESUPUESTO22[[#This Row],[EJECUTADO ]]-SUM(PRESUPUESTO22[[#This Row],[   ENERO ]:[DIC]])</f>
        <v>0</v>
      </c>
    </row>
    <row r="786" spans="1:24" ht="15.95" customHeight="1" x14ac:dyDescent="0.25">
      <c r="A786" s="52"/>
      <c r="B786" s="156">
        <v>14040101</v>
      </c>
      <c r="C786" s="130" t="str">
        <f t="shared" si="274"/>
        <v>E-14040101</v>
      </c>
      <c r="D786" s="130">
        <v>736</v>
      </c>
      <c r="E786" s="156" t="s">
        <v>72</v>
      </c>
      <c r="F786" s="216" t="s">
        <v>634</v>
      </c>
      <c r="G786" s="193">
        <v>41500</v>
      </c>
      <c r="H786" s="193">
        <v>3460</v>
      </c>
      <c r="I786" s="193">
        <v>3460</v>
      </c>
      <c r="J786" s="193">
        <v>3460</v>
      </c>
      <c r="K786" s="193">
        <v>2610</v>
      </c>
      <c r="L786" s="193">
        <v>2610</v>
      </c>
      <c r="M786" s="193">
        <v>2610</v>
      </c>
      <c r="N786" s="193">
        <v>2610</v>
      </c>
      <c r="O786" s="193">
        <v>2610</v>
      </c>
      <c r="P786" s="193">
        <v>3300</v>
      </c>
      <c r="Q786" s="193">
        <v>3300</v>
      </c>
      <c r="R786" s="193">
        <v>3300</v>
      </c>
      <c r="S786" s="193">
        <v>0</v>
      </c>
      <c r="T786" s="193">
        <f>SUM(H786:S786)</f>
        <v>33330</v>
      </c>
      <c r="U786"/>
      <c r="V786">
        <f>+PRESUPUESTO22[[#This Row],[EJECUTADO ]]-SUM(PRESUPUESTO22[[#This Row],[   ENERO ]:[DIC]])</f>
        <v>0</v>
      </c>
    </row>
    <row r="787" spans="1:24" ht="15.95" customHeight="1" x14ac:dyDescent="0.25">
      <c r="A787" s="52"/>
      <c r="B787" s="156">
        <v>14040102</v>
      </c>
      <c r="C787" s="130" t="str">
        <f t="shared" si="274"/>
        <v>E-14040102</v>
      </c>
      <c r="D787" s="130">
        <v>737</v>
      </c>
      <c r="E787" s="156" t="s">
        <v>72</v>
      </c>
      <c r="F787" s="216" t="s">
        <v>635</v>
      </c>
      <c r="G787" s="193">
        <v>102250</v>
      </c>
      <c r="H787" s="193">
        <v>8520</v>
      </c>
      <c r="I787" s="193">
        <v>8520</v>
      </c>
      <c r="J787" s="193">
        <v>8520</v>
      </c>
      <c r="K787" s="193">
        <v>8520</v>
      </c>
      <c r="L787" s="193">
        <v>8520</v>
      </c>
      <c r="M787" s="193">
        <v>8520</v>
      </c>
      <c r="N787" s="193">
        <v>8520</v>
      </c>
      <c r="O787" s="193">
        <v>8520</v>
      </c>
      <c r="P787" s="193">
        <v>7300</v>
      </c>
      <c r="Q787" s="193">
        <v>7300</v>
      </c>
      <c r="R787" s="193">
        <v>7300</v>
      </c>
      <c r="S787" s="193">
        <v>0</v>
      </c>
      <c r="T787" s="193">
        <f>SUM(H787:S787)</f>
        <v>90060</v>
      </c>
      <c r="U787"/>
      <c r="V787">
        <f>+PRESUPUESTO22[[#This Row],[EJECUTADO ]]-SUM(PRESUPUESTO22[[#This Row],[   ENERO ]:[DIC]])</f>
        <v>0</v>
      </c>
    </row>
    <row r="788" spans="1:24" ht="15.95" customHeight="1" x14ac:dyDescent="0.25">
      <c r="A788" s="52"/>
      <c r="B788" s="156">
        <v>14040103</v>
      </c>
      <c r="C788" s="130" t="str">
        <f t="shared" si="274"/>
        <v>E-14040103</v>
      </c>
      <c r="D788" s="130">
        <v>738</v>
      </c>
      <c r="E788" s="156" t="s">
        <v>72</v>
      </c>
      <c r="F788" s="216" t="s">
        <v>636</v>
      </c>
      <c r="G788" s="193">
        <v>69840</v>
      </c>
      <c r="H788" s="193">
        <v>5820</v>
      </c>
      <c r="I788" s="193">
        <v>5820</v>
      </c>
      <c r="J788" s="193">
        <v>5820</v>
      </c>
      <c r="K788" s="193">
        <v>6360</v>
      </c>
      <c r="L788" s="193">
        <v>6360</v>
      </c>
      <c r="M788" s="193">
        <v>6360</v>
      </c>
      <c r="N788" s="193">
        <v>6360</v>
      </c>
      <c r="O788" s="193">
        <v>6360</v>
      </c>
      <c r="P788" s="193">
        <v>5800</v>
      </c>
      <c r="Q788" s="193">
        <v>5800</v>
      </c>
      <c r="R788" s="193">
        <v>5800</v>
      </c>
      <c r="S788" s="193">
        <v>0</v>
      </c>
      <c r="T788" s="193">
        <f>SUM(H788:S788)</f>
        <v>66660</v>
      </c>
      <c r="U788"/>
      <c r="V788">
        <f>+PRESUPUESTO22[[#This Row],[EJECUTADO ]]-SUM(PRESUPUESTO22[[#This Row],[   ENERO ]:[DIC]])</f>
        <v>0</v>
      </c>
      <c r="W788"/>
      <c r="X788"/>
    </row>
    <row r="789" spans="1:24" ht="15.95" customHeight="1" x14ac:dyDescent="0.25">
      <c r="A789" s="52"/>
      <c r="B789" s="156">
        <v>14040104</v>
      </c>
      <c r="C789" s="130" t="str">
        <f t="shared" si="274"/>
        <v>E-14040104</v>
      </c>
      <c r="D789" s="130">
        <v>739</v>
      </c>
      <c r="E789" s="156" t="s">
        <v>72</v>
      </c>
      <c r="F789" s="216" t="s">
        <v>637</v>
      </c>
      <c r="G789" s="193">
        <v>34000</v>
      </c>
      <c r="H789" s="193">
        <v>2840</v>
      </c>
      <c r="I789" s="193">
        <v>2840</v>
      </c>
      <c r="J789" s="193">
        <v>2840</v>
      </c>
      <c r="K789" s="193">
        <v>2840</v>
      </c>
      <c r="L789" s="193">
        <v>2840</v>
      </c>
      <c r="M789" s="193">
        <v>2840</v>
      </c>
      <c r="N789" s="193">
        <v>2840</v>
      </c>
      <c r="O789" s="193">
        <v>2840</v>
      </c>
      <c r="P789" s="193">
        <v>1900</v>
      </c>
      <c r="Q789" s="193">
        <v>1900</v>
      </c>
      <c r="R789" s="193">
        <v>1900</v>
      </c>
      <c r="S789" s="193">
        <v>0</v>
      </c>
      <c r="T789" s="193">
        <f>SUM(H789:S789)</f>
        <v>28420</v>
      </c>
      <c r="U789"/>
      <c r="V789">
        <f>+PRESUPUESTO22[[#This Row],[EJECUTADO ]]-SUM(PRESUPUESTO22[[#This Row],[   ENERO ]:[DIC]])</f>
        <v>0</v>
      </c>
      <c r="W789"/>
      <c r="X789"/>
    </row>
    <row r="790" spans="1:24" ht="15.95" customHeight="1" x14ac:dyDescent="0.25">
      <c r="A790" s="52">
        <v>2</v>
      </c>
      <c r="B790" s="151">
        <v>140402</v>
      </c>
      <c r="C790" s="130" t="str">
        <f t="shared" ref="C790:C854" si="301">"E"&amp;"-"&amp;B790</f>
        <v>E-140402</v>
      </c>
      <c r="D790" s="130">
        <v>740</v>
      </c>
      <c r="E790" s="151" t="s">
        <v>72</v>
      </c>
      <c r="F790" s="208" t="s">
        <v>638</v>
      </c>
      <c r="G790" s="192">
        <f t="shared" ref="G790:T790" si="302">+G791+G795+G799+G804</f>
        <v>0</v>
      </c>
      <c r="H790" s="192">
        <f t="shared" si="302"/>
        <v>0</v>
      </c>
      <c r="I790" s="192">
        <f t="shared" si="302"/>
        <v>0</v>
      </c>
      <c r="J790" s="192">
        <f t="shared" si="302"/>
        <v>0</v>
      </c>
      <c r="K790" s="192">
        <f t="shared" si="302"/>
        <v>0</v>
      </c>
      <c r="L790" s="192">
        <f t="shared" si="302"/>
        <v>0</v>
      </c>
      <c r="M790" s="192">
        <f t="shared" si="302"/>
        <v>0</v>
      </c>
      <c r="N790" s="192">
        <f t="shared" si="302"/>
        <v>0</v>
      </c>
      <c r="O790" s="192">
        <f t="shared" si="302"/>
        <v>0</v>
      </c>
      <c r="P790" s="192">
        <f t="shared" si="302"/>
        <v>0</v>
      </c>
      <c r="Q790" s="192">
        <f t="shared" si="302"/>
        <v>0</v>
      </c>
      <c r="R790" s="192">
        <f t="shared" si="302"/>
        <v>0</v>
      </c>
      <c r="S790" s="192">
        <f t="shared" si="302"/>
        <v>0</v>
      </c>
      <c r="T790" s="192">
        <f t="shared" si="302"/>
        <v>0</v>
      </c>
      <c r="U790"/>
      <c r="V790">
        <f>+PRESUPUESTO22[[#This Row],[EJECUTADO ]]-SUM(PRESUPUESTO22[[#This Row],[   ENERO ]:[DIC]])</f>
        <v>0</v>
      </c>
      <c r="W790"/>
      <c r="X790"/>
    </row>
    <row r="791" spans="1:24" ht="15.95" customHeight="1" x14ac:dyDescent="0.25">
      <c r="A791" s="52"/>
      <c r="B791" s="166">
        <v>14040201</v>
      </c>
      <c r="C791" s="130" t="str">
        <f t="shared" si="301"/>
        <v>E-14040201</v>
      </c>
      <c r="D791" s="130">
        <v>741</v>
      </c>
      <c r="E791" s="166" t="s">
        <v>69</v>
      </c>
      <c r="F791" s="230" t="s">
        <v>639</v>
      </c>
      <c r="G791" s="231">
        <f>SUM(G792:G794)</f>
        <v>0</v>
      </c>
      <c r="H791" s="231">
        <f>SUM(H792:H794)</f>
        <v>0</v>
      </c>
      <c r="I791" s="231">
        <f t="shared" ref="I791:T791" si="303">SUM(I792:I794)</f>
        <v>0</v>
      </c>
      <c r="J791" s="231">
        <f t="shared" si="303"/>
        <v>0</v>
      </c>
      <c r="K791" s="231">
        <f t="shared" si="303"/>
        <v>0</v>
      </c>
      <c r="L791" s="231">
        <f t="shared" si="303"/>
        <v>0</v>
      </c>
      <c r="M791" s="231">
        <f t="shared" si="303"/>
        <v>0</v>
      </c>
      <c r="N791" s="231">
        <f t="shared" si="303"/>
        <v>0</v>
      </c>
      <c r="O791" s="231">
        <f t="shared" si="303"/>
        <v>0</v>
      </c>
      <c r="P791" s="231">
        <f t="shared" si="303"/>
        <v>0</v>
      </c>
      <c r="Q791" s="231">
        <f t="shared" si="303"/>
        <v>0</v>
      </c>
      <c r="R791" s="231">
        <f t="shared" si="303"/>
        <v>0</v>
      </c>
      <c r="S791" s="231">
        <f t="shared" si="303"/>
        <v>0</v>
      </c>
      <c r="T791" s="231">
        <f t="shared" si="303"/>
        <v>0</v>
      </c>
      <c r="U791"/>
      <c r="V791">
        <f>+PRESUPUESTO22[[#This Row],[EJECUTADO ]]-SUM(PRESUPUESTO22[[#This Row],[   ENERO ]:[DIC]])</f>
        <v>0</v>
      </c>
      <c r="W791"/>
      <c r="X791"/>
    </row>
    <row r="792" spans="1:24" ht="15.95" customHeight="1" x14ac:dyDescent="0.25">
      <c r="A792" s="52"/>
      <c r="B792" s="156">
        <v>1404020101</v>
      </c>
      <c r="C792" s="130" t="str">
        <f t="shared" si="301"/>
        <v>E-1404020101</v>
      </c>
      <c r="D792" s="130">
        <v>742</v>
      </c>
      <c r="E792" s="156" t="s">
        <v>69</v>
      </c>
      <c r="F792" s="216" t="s">
        <v>640</v>
      </c>
      <c r="G792" s="193">
        <v>0</v>
      </c>
      <c r="H792" s="193">
        <v>0</v>
      </c>
      <c r="I792" s="193">
        <v>0</v>
      </c>
      <c r="J792" s="193">
        <v>0</v>
      </c>
      <c r="K792" s="193">
        <v>0</v>
      </c>
      <c r="L792" s="193">
        <v>0</v>
      </c>
      <c r="M792" s="193">
        <v>0</v>
      </c>
      <c r="N792" s="193">
        <v>0</v>
      </c>
      <c r="O792" s="193">
        <v>0</v>
      </c>
      <c r="P792" s="193">
        <v>0</v>
      </c>
      <c r="Q792" s="193">
        <v>0</v>
      </c>
      <c r="R792" s="193">
        <v>0</v>
      </c>
      <c r="S792" s="193">
        <v>0</v>
      </c>
      <c r="T792" s="193">
        <f>SUM(H792:S792)</f>
        <v>0</v>
      </c>
      <c r="U792"/>
      <c r="V792">
        <f>+PRESUPUESTO22[[#This Row],[EJECUTADO ]]-SUM(PRESUPUESTO22[[#This Row],[   ENERO ]:[DIC]])</f>
        <v>0</v>
      </c>
      <c r="W792"/>
      <c r="X792"/>
    </row>
    <row r="793" spans="1:24" ht="15.95" customHeight="1" x14ac:dyDescent="0.25">
      <c r="A793" s="52"/>
      <c r="B793" s="156">
        <v>1404020102</v>
      </c>
      <c r="C793" s="130" t="str">
        <f t="shared" si="301"/>
        <v>E-1404020102</v>
      </c>
      <c r="D793" s="130">
        <v>743</v>
      </c>
      <c r="E793" s="156" t="s">
        <v>69</v>
      </c>
      <c r="F793" s="216" t="s">
        <v>641</v>
      </c>
      <c r="G793" s="193">
        <v>0</v>
      </c>
      <c r="H793" s="193">
        <v>0</v>
      </c>
      <c r="I793" s="193">
        <v>0</v>
      </c>
      <c r="J793" s="193">
        <v>0</v>
      </c>
      <c r="K793" s="193">
        <v>0</v>
      </c>
      <c r="L793" s="193">
        <v>0</v>
      </c>
      <c r="M793" s="193">
        <v>0</v>
      </c>
      <c r="N793" s="193">
        <v>0</v>
      </c>
      <c r="O793" s="193">
        <v>0</v>
      </c>
      <c r="P793" s="193">
        <v>0</v>
      </c>
      <c r="Q793" s="193">
        <v>0</v>
      </c>
      <c r="R793" s="193">
        <v>0</v>
      </c>
      <c r="S793" s="193">
        <v>0</v>
      </c>
      <c r="T793" s="193">
        <f>SUM(H793:S793)</f>
        <v>0</v>
      </c>
      <c r="U793"/>
      <c r="V793">
        <f>+PRESUPUESTO22[[#This Row],[EJECUTADO ]]-SUM(PRESUPUESTO22[[#This Row],[   ENERO ]:[DIC]])</f>
        <v>0</v>
      </c>
      <c r="W793"/>
      <c r="X793"/>
    </row>
    <row r="794" spans="1:24" ht="15.95" customHeight="1" x14ac:dyDescent="0.25">
      <c r="A794" s="52"/>
      <c r="B794" s="156">
        <v>1404020103</v>
      </c>
      <c r="C794" s="130" t="str">
        <f t="shared" si="301"/>
        <v>E-1404020103</v>
      </c>
      <c r="D794" s="130">
        <v>744</v>
      </c>
      <c r="E794" s="156" t="s">
        <v>69</v>
      </c>
      <c r="F794" s="216" t="s">
        <v>642</v>
      </c>
      <c r="G794" s="193">
        <v>0</v>
      </c>
      <c r="H794" s="193">
        <v>0</v>
      </c>
      <c r="I794" s="193">
        <v>0</v>
      </c>
      <c r="J794" s="193">
        <v>0</v>
      </c>
      <c r="K794" s="193">
        <v>0</v>
      </c>
      <c r="L794" s="193">
        <v>0</v>
      </c>
      <c r="M794" s="193">
        <v>0</v>
      </c>
      <c r="N794" s="193">
        <v>0</v>
      </c>
      <c r="O794" s="193">
        <v>0</v>
      </c>
      <c r="P794" s="193">
        <v>0</v>
      </c>
      <c r="Q794" s="193">
        <v>0</v>
      </c>
      <c r="R794" s="193">
        <v>0</v>
      </c>
      <c r="S794" s="193">
        <v>0</v>
      </c>
      <c r="T794" s="193">
        <f>SUM(H794:S794)</f>
        <v>0</v>
      </c>
      <c r="U794"/>
      <c r="V794">
        <f>+PRESUPUESTO22[[#This Row],[EJECUTADO ]]-SUM(PRESUPUESTO22[[#This Row],[   ENERO ]:[DIC]])</f>
        <v>0</v>
      </c>
      <c r="W794"/>
      <c r="X794"/>
    </row>
    <row r="795" spans="1:24" ht="15.95" customHeight="1" x14ac:dyDescent="0.25">
      <c r="A795" s="52"/>
      <c r="B795" s="166">
        <v>14040202</v>
      </c>
      <c r="C795" s="130" t="str">
        <f t="shared" si="301"/>
        <v>E-14040202</v>
      </c>
      <c r="D795" s="130">
        <v>745</v>
      </c>
      <c r="E795" s="166" t="s">
        <v>69</v>
      </c>
      <c r="F795" s="230" t="s">
        <v>643</v>
      </c>
      <c r="G795" s="231">
        <f>SUM(G796:G798)</f>
        <v>0</v>
      </c>
      <c r="H795" s="231">
        <f>SUM(H796:H798)</f>
        <v>0</v>
      </c>
      <c r="I795" s="231">
        <f t="shared" ref="I795:T795" si="304">SUM(I796:I798)</f>
        <v>0</v>
      </c>
      <c r="J795" s="231">
        <f t="shared" si="304"/>
        <v>0</v>
      </c>
      <c r="K795" s="231">
        <f t="shared" si="304"/>
        <v>0</v>
      </c>
      <c r="L795" s="231">
        <f t="shared" si="304"/>
        <v>0</v>
      </c>
      <c r="M795" s="231">
        <f t="shared" si="304"/>
        <v>0</v>
      </c>
      <c r="N795" s="231">
        <f t="shared" si="304"/>
        <v>0</v>
      </c>
      <c r="O795" s="231">
        <f t="shared" si="304"/>
        <v>0</v>
      </c>
      <c r="P795" s="231">
        <f t="shared" si="304"/>
        <v>0</v>
      </c>
      <c r="Q795" s="231">
        <f t="shared" si="304"/>
        <v>0</v>
      </c>
      <c r="R795" s="231">
        <f t="shared" si="304"/>
        <v>0</v>
      </c>
      <c r="S795" s="231">
        <f t="shared" si="304"/>
        <v>0</v>
      </c>
      <c r="T795" s="231">
        <f t="shared" si="304"/>
        <v>0</v>
      </c>
      <c r="U795"/>
      <c r="V795">
        <f>+PRESUPUESTO22[[#This Row],[EJECUTADO ]]-SUM(PRESUPUESTO22[[#This Row],[   ENERO ]:[DIC]])</f>
        <v>0</v>
      </c>
      <c r="W795"/>
      <c r="X795"/>
    </row>
    <row r="796" spans="1:24" ht="15.95" customHeight="1" x14ac:dyDescent="0.25">
      <c r="A796" s="52"/>
      <c r="B796" s="156">
        <v>1404020201</v>
      </c>
      <c r="C796" s="130" t="str">
        <f t="shared" si="301"/>
        <v>E-1404020201</v>
      </c>
      <c r="D796" s="130">
        <v>746</v>
      </c>
      <c r="E796" s="156" t="s">
        <v>69</v>
      </c>
      <c r="F796" s="216" t="s">
        <v>640</v>
      </c>
      <c r="G796" s="193">
        <v>0</v>
      </c>
      <c r="H796" s="193">
        <v>0</v>
      </c>
      <c r="I796" s="193">
        <v>0</v>
      </c>
      <c r="J796" s="193">
        <v>0</v>
      </c>
      <c r="K796" s="193">
        <v>0</v>
      </c>
      <c r="L796" s="193">
        <v>0</v>
      </c>
      <c r="M796" s="193">
        <v>0</v>
      </c>
      <c r="N796" s="193">
        <v>0</v>
      </c>
      <c r="O796" s="193">
        <v>0</v>
      </c>
      <c r="P796" s="193">
        <v>0</v>
      </c>
      <c r="Q796" s="193">
        <v>0</v>
      </c>
      <c r="R796" s="193">
        <v>0</v>
      </c>
      <c r="S796" s="193">
        <v>0</v>
      </c>
      <c r="T796" s="193">
        <f>SUM(H796:S796)</f>
        <v>0</v>
      </c>
      <c r="U796"/>
      <c r="V796">
        <f>+PRESUPUESTO22[[#This Row],[EJECUTADO ]]-SUM(PRESUPUESTO22[[#This Row],[   ENERO ]:[DIC]])</f>
        <v>0</v>
      </c>
      <c r="W796"/>
      <c r="X796"/>
    </row>
    <row r="797" spans="1:24" ht="15.95" customHeight="1" x14ac:dyDescent="0.25">
      <c r="A797" s="52"/>
      <c r="B797" s="156">
        <v>1404020202</v>
      </c>
      <c r="C797" s="130" t="str">
        <f t="shared" si="301"/>
        <v>E-1404020202</v>
      </c>
      <c r="D797" s="130">
        <v>747</v>
      </c>
      <c r="E797" s="156" t="s">
        <v>69</v>
      </c>
      <c r="F797" s="216" t="s">
        <v>641</v>
      </c>
      <c r="G797" s="193">
        <v>0</v>
      </c>
      <c r="H797" s="193">
        <v>0</v>
      </c>
      <c r="I797" s="193">
        <v>0</v>
      </c>
      <c r="J797" s="193">
        <v>0</v>
      </c>
      <c r="K797" s="193">
        <v>0</v>
      </c>
      <c r="L797" s="193">
        <v>0</v>
      </c>
      <c r="M797" s="193">
        <v>0</v>
      </c>
      <c r="N797" s="193">
        <v>0</v>
      </c>
      <c r="O797" s="193">
        <v>0</v>
      </c>
      <c r="P797" s="193">
        <v>0</v>
      </c>
      <c r="Q797" s="193">
        <v>0</v>
      </c>
      <c r="R797" s="193">
        <v>0</v>
      </c>
      <c r="S797" s="193">
        <v>0</v>
      </c>
      <c r="T797" s="193">
        <f>SUM(H797:S797)</f>
        <v>0</v>
      </c>
      <c r="U797"/>
      <c r="V797">
        <f>+PRESUPUESTO22[[#This Row],[EJECUTADO ]]-SUM(PRESUPUESTO22[[#This Row],[   ENERO ]:[DIC]])</f>
        <v>0</v>
      </c>
      <c r="W797"/>
      <c r="X797"/>
    </row>
    <row r="798" spans="1:24" ht="15.95" customHeight="1" x14ac:dyDescent="0.25">
      <c r="A798" s="52"/>
      <c r="B798" s="156">
        <v>1404020203</v>
      </c>
      <c r="C798" s="130" t="str">
        <f t="shared" si="301"/>
        <v>E-1404020203</v>
      </c>
      <c r="D798" s="130">
        <v>748</v>
      </c>
      <c r="E798" s="156" t="s">
        <v>69</v>
      </c>
      <c r="F798" s="216" t="s">
        <v>642</v>
      </c>
      <c r="G798" s="193">
        <v>0</v>
      </c>
      <c r="H798" s="193">
        <v>0</v>
      </c>
      <c r="I798" s="193">
        <v>0</v>
      </c>
      <c r="J798" s="193">
        <v>0</v>
      </c>
      <c r="K798" s="193">
        <v>0</v>
      </c>
      <c r="L798" s="193">
        <v>0</v>
      </c>
      <c r="M798" s="193">
        <v>0</v>
      </c>
      <c r="N798" s="193">
        <v>0</v>
      </c>
      <c r="O798" s="193">
        <v>0</v>
      </c>
      <c r="P798" s="193">
        <v>0</v>
      </c>
      <c r="Q798" s="193">
        <v>0</v>
      </c>
      <c r="R798" s="193">
        <v>0</v>
      </c>
      <c r="S798" s="193">
        <v>0</v>
      </c>
      <c r="T798" s="193">
        <f>SUM(H798:S798)</f>
        <v>0</v>
      </c>
      <c r="U798"/>
      <c r="V798">
        <f>+PRESUPUESTO22[[#This Row],[EJECUTADO ]]-SUM(PRESUPUESTO22[[#This Row],[   ENERO ]:[DIC]])</f>
        <v>0</v>
      </c>
      <c r="W798"/>
      <c r="X798"/>
    </row>
    <row r="799" spans="1:24" ht="15.95" customHeight="1" x14ac:dyDescent="0.25">
      <c r="A799" s="52"/>
      <c r="B799" s="166">
        <v>14040203</v>
      </c>
      <c r="C799" s="130" t="str">
        <f t="shared" si="301"/>
        <v>E-14040203</v>
      </c>
      <c r="D799" s="130">
        <v>749</v>
      </c>
      <c r="E799" s="166" t="s">
        <v>69</v>
      </c>
      <c r="F799" s="230" t="s">
        <v>644</v>
      </c>
      <c r="G799" s="231">
        <f>SUM(G800:G803)</f>
        <v>0</v>
      </c>
      <c r="H799" s="231">
        <f t="shared" ref="H799:T799" si="305">SUM(H800:H803)</f>
        <v>0</v>
      </c>
      <c r="I799" s="231">
        <f t="shared" si="305"/>
        <v>0</v>
      </c>
      <c r="J799" s="231">
        <f t="shared" si="305"/>
        <v>0</v>
      </c>
      <c r="K799" s="231">
        <f t="shared" si="305"/>
        <v>0</v>
      </c>
      <c r="L799" s="231">
        <f t="shared" si="305"/>
        <v>0</v>
      </c>
      <c r="M799" s="231">
        <f t="shared" si="305"/>
        <v>0</v>
      </c>
      <c r="N799" s="231">
        <f t="shared" si="305"/>
        <v>0</v>
      </c>
      <c r="O799" s="231">
        <f t="shared" si="305"/>
        <v>0</v>
      </c>
      <c r="P799" s="231">
        <f t="shared" si="305"/>
        <v>0</v>
      </c>
      <c r="Q799" s="231">
        <f t="shared" si="305"/>
        <v>0</v>
      </c>
      <c r="R799" s="231">
        <f t="shared" si="305"/>
        <v>0</v>
      </c>
      <c r="S799" s="231">
        <f t="shared" si="305"/>
        <v>0</v>
      </c>
      <c r="T799" s="231">
        <f t="shared" si="305"/>
        <v>0</v>
      </c>
      <c r="U799"/>
      <c r="V799">
        <f>+PRESUPUESTO22[[#This Row],[EJECUTADO ]]-SUM(PRESUPUESTO22[[#This Row],[   ENERO ]:[DIC]])</f>
        <v>0</v>
      </c>
      <c r="W799"/>
      <c r="X799"/>
    </row>
    <row r="800" spans="1:24" ht="15.95" customHeight="1" x14ac:dyDescent="0.25">
      <c r="A800" s="52"/>
      <c r="B800" s="156">
        <v>1404020301</v>
      </c>
      <c r="C800" s="130" t="str">
        <f t="shared" si="301"/>
        <v>E-1404020301</v>
      </c>
      <c r="D800" s="130">
        <v>750</v>
      </c>
      <c r="E800" s="156" t="s">
        <v>69</v>
      </c>
      <c r="F800" s="216" t="s">
        <v>640</v>
      </c>
      <c r="G800" s="193">
        <v>0</v>
      </c>
      <c r="H800" s="193">
        <v>0</v>
      </c>
      <c r="I800" s="193">
        <v>0</v>
      </c>
      <c r="J800" s="193">
        <v>0</v>
      </c>
      <c r="K800" s="193">
        <v>0</v>
      </c>
      <c r="L800" s="193">
        <v>0</v>
      </c>
      <c r="M800" s="193">
        <v>0</v>
      </c>
      <c r="N800" s="193">
        <v>0</v>
      </c>
      <c r="O800" s="193">
        <v>0</v>
      </c>
      <c r="P800" s="193">
        <v>0</v>
      </c>
      <c r="Q800" s="193">
        <v>0</v>
      </c>
      <c r="R800" s="193">
        <v>0</v>
      </c>
      <c r="S800" s="193">
        <v>0</v>
      </c>
      <c r="T800" s="193">
        <f>SUM(H800:S800)</f>
        <v>0</v>
      </c>
      <c r="U800"/>
      <c r="V800">
        <f>+PRESUPUESTO22[[#This Row],[EJECUTADO ]]-SUM(PRESUPUESTO22[[#This Row],[   ENERO ]:[DIC]])</f>
        <v>0</v>
      </c>
      <c r="W800"/>
      <c r="X800"/>
    </row>
    <row r="801" spans="1:26" ht="15.95" customHeight="1" x14ac:dyDescent="0.25">
      <c r="A801" s="52"/>
      <c r="B801" s="156">
        <v>1404020302</v>
      </c>
      <c r="C801" s="130" t="str">
        <f t="shared" si="301"/>
        <v>E-1404020302</v>
      </c>
      <c r="D801" s="130">
        <v>751</v>
      </c>
      <c r="E801" s="156" t="s">
        <v>69</v>
      </c>
      <c r="F801" s="216" t="s">
        <v>641</v>
      </c>
      <c r="G801" s="193">
        <v>0</v>
      </c>
      <c r="H801" s="193">
        <v>0</v>
      </c>
      <c r="I801" s="193">
        <v>0</v>
      </c>
      <c r="J801" s="193">
        <v>0</v>
      </c>
      <c r="K801" s="193">
        <v>0</v>
      </c>
      <c r="L801" s="193">
        <v>0</v>
      </c>
      <c r="M801" s="193">
        <v>0</v>
      </c>
      <c r="N801" s="193">
        <v>0</v>
      </c>
      <c r="O801" s="193">
        <v>0</v>
      </c>
      <c r="P801" s="193">
        <v>0</v>
      </c>
      <c r="Q801" s="193">
        <v>0</v>
      </c>
      <c r="R801" s="193">
        <v>0</v>
      </c>
      <c r="S801" s="193">
        <v>0</v>
      </c>
      <c r="T801" s="193">
        <f>SUM(H801:S801)</f>
        <v>0</v>
      </c>
      <c r="U801"/>
      <c r="V801">
        <f>+PRESUPUESTO22[[#This Row],[EJECUTADO ]]-SUM(PRESUPUESTO22[[#This Row],[   ENERO ]:[DIC]])</f>
        <v>0</v>
      </c>
      <c r="W801"/>
      <c r="X801"/>
    </row>
    <row r="802" spans="1:26" ht="15.95" customHeight="1" x14ac:dyDescent="0.25">
      <c r="A802" s="52"/>
      <c r="B802" s="156">
        <v>1404020303</v>
      </c>
      <c r="C802" s="130" t="str">
        <f t="shared" si="301"/>
        <v>E-1404020303</v>
      </c>
      <c r="D802" s="130">
        <v>752</v>
      </c>
      <c r="E802" s="156" t="s">
        <v>69</v>
      </c>
      <c r="F802" s="216" t="s">
        <v>642</v>
      </c>
      <c r="G802" s="193">
        <v>0</v>
      </c>
      <c r="H802" s="193">
        <v>0</v>
      </c>
      <c r="I802" s="193">
        <v>0</v>
      </c>
      <c r="J802" s="193">
        <v>0</v>
      </c>
      <c r="K802" s="193">
        <v>0</v>
      </c>
      <c r="L802" s="193">
        <v>0</v>
      </c>
      <c r="M802" s="193">
        <v>0</v>
      </c>
      <c r="N802" s="193">
        <v>0</v>
      </c>
      <c r="O802" s="193">
        <v>0</v>
      </c>
      <c r="P802" s="193">
        <v>0</v>
      </c>
      <c r="Q802" s="193">
        <v>0</v>
      </c>
      <c r="R802" s="193">
        <v>0</v>
      </c>
      <c r="S802" s="193">
        <v>0</v>
      </c>
      <c r="T802" s="193">
        <f>SUM(H802:S802)</f>
        <v>0</v>
      </c>
      <c r="U802"/>
      <c r="V802">
        <f>+PRESUPUESTO22[[#This Row],[EJECUTADO ]]-SUM(PRESUPUESTO22[[#This Row],[   ENERO ]:[DIC]])</f>
        <v>0</v>
      </c>
      <c r="W802"/>
      <c r="X802"/>
    </row>
    <row r="803" spans="1:26" ht="15.95" customHeight="1" x14ac:dyDescent="0.25">
      <c r="A803" s="52"/>
      <c r="B803" s="156">
        <v>1404020304</v>
      </c>
      <c r="C803" s="130" t="str">
        <f t="shared" si="301"/>
        <v>E-1404020304</v>
      </c>
      <c r="D803" s="130">
        <v>753</v>
      </c>
      <c r="E803" s="156" t="s">
        <v>69</v>
      </c>
      <c r="F803" s="216" t="s">
        <v>645</v>
      </c>
      <c r="G803" s="193">
        <v>0</v>
      </c>
      <c r="H803" s="193">
        <v>0</v>
      </c>
      <c r="I803" s="193">
        <v>0</v>
      </c>
      <c r="J803" s="193">
        <v>0</v>
      </c>
      <c r="K803" s="193">
        <v>0</v>
      </c>
      <c r="L803" s="193">
        <v>0</v>
      </c>
      <c r="M803" s="193">
        <v>0</v>
      </c>
      <c r="N803" s="193">
        <v>0</v>
      </c>
      <c r="O803" s="193">
        <v>0</v>
      </c>
      <c r="P803" s="193">
        <v>0</v>
      </c>
      <c r="Q803" s="193">
        <v>0</v>
      </c>
      <c r="R803" s="193">
        <v>0</v>
      </c>
      <c r="S803" s="193">
        <v>0</v>
      </c>
      <c r="T803" s="193">
        <f>SUM(H803:S803)</f>
        <v>0</v>
      </c>
      <c r="U803"/>
      <c r="V803">
        <f>+PRESUPUESTO22[[#This Row],[EJECUTADO ]]-SUM(PRESUPUESTO22[[#This Row],[   ENERO ]:[DIC]])</f>
        <v>0</v>
      </c>
      <c r="W803"/>
      <c r="X803"/>
    </row>
    <row r="804" spans="1:26" ht="15.95" customHeight="1" x14ac:dyDescent="0.25">
      <c r="A804" s="52"/>
      <c r="B804" s="166">
        <v>14040204</v>
      </c>
      <c r="C804" s="130" t="str">
        <f t="shared" si="301"/>
        <v>E-14040204</v>
      </c>
      <c r="D804" s="130">
        <v>754</v>
      </c>
      <c r="E804" s="166" t="s">
        <v>69</v>
      </c>
      <c r="F804" s="230" t="s">
        <v>646</v>
      </c>
      <c r="G804" s="231">
        <f>SUM(G805:G807)</f>
        <v>0</v>
      </c>
      <c r="H804" s="231">
        <f>SUM(H805:H807)</f>
        <v>0</v>
      </c>
      <c r="I804" s="231">
        <f t="shared" ref="I804:T804" si="306">SUM(I805:I807)</f>
        <v>0</v>
      </c>
      <c r="J804" s="231">
        <f t="shared" si="306"/>
        <v>0</v>
      </c>
      <c r="K804" s="231">
        <f t="shared" si="306"/>
        <v>0</v>
      </c>
      <c r="L804" s="231">
        <f t="shared" si="306"/>
        <v>0</v>
      </c>
      <c r="M804" s="231">
        <f t="shared" si="306"/>
        <v>0</v>
      </c>
      <c r="N804" s="231">
        <f t="shared" si="306"/>
        <v>0</v>
      </c>
      <c r="O804" s="231">
        <f t="shared" si="306"/>
        <v>0</v>
      </c>
      <c r="P804" s="231">
        <f t="shared" si="306"/>
        <v>0</v>
      </c>
      <c r="Q804" s="231">
        <f t="shared" si="306"/>
        <v>0</v>
      </c>
      <c r="R804" s="231">
        <f t="shared" si="306"/>
        <v>0</v>
      </c>
      <c r="S804" s="231">
        <f t="shared" si="306"/>
        <v>0</v>
      </c>
      <c r="T804" s="231">
        <f t="shared" si="306"/>
        <v>0</v>
      </c>
      <c r="U804"/>
      <c r="V804">
        <f>+PRESUPUESTO22[[#This Row],[EJECUTADO ]]-SUM(PRESUPUESTO22[[#This Row],[   ENERO ]:[DIC]])</f>
        <v>0</v>
      </c>
    </row>
    <row r="805" spans="1:26" ht="15.95" customHeight="1" x14ac:dyDescent="0.25">
      <c r="A805" s="52"/>
      <c r="B805" s="156">
        <v>1404020401</v>
      </c>
      <c r="C805" s="130" t="str">
        <f t="shared" si="301"/>
        <v>E-1404020401</v>
      </c>
      <c r="D805" s="130">
        <v>755</v>
      </c>
      <c r="E805" s="156" t="s">
        <v>69</v>
      </c>
      <c r="F805" s="216" t="s">
        <v>640</v>
      </c>
      <c r="G805" s="193">
        <v>0</v>
      </c>
      <c r="H805" s="193">
        <v>0</v>
      </c>
      <c r="I805" s="193">
        <v>0</v>
      </c>
      <c r="J805" s="193">
        <v>0</v>
      </c>
      <c r="K805" s="193">
        <v>0</v>
      </c>
      <c r="L805" s="193">
        <v>0</v>
      </c>
      <c r="M805" s="193">
        <v>0</v>
      </c>
      <c r="N805" s="193">
        <v>0</v>
      </c>
      <c r="O805" s="193">
        <v>0</v>
      </c>
      <c r="P805" s="193">
        <v>0</v>
      </c>
      <c r="Q805" s="193">
        <v>0</v>
      </c>
      <c r="R805" s="193">
        <v>0</v>
      </c>
      <c r="S805" s="193">
        <v>0</v>
      </c>
      <c r="T805" s="193">
        <f>SUM(H805:S805)</f>
        <v>0</v>
      </c>
      <c r="U805"/>
      <c r="V805">
        <f>+PRESUPUESTO22[[#This Row],[EJECUTADO ]]-SUM(PRESUPUESTO22[[#This Row],[   ENERO ]:[DIC]])</f>
        <v>0</v>
      </c>
    </row>
    <row r="806" spans="1:26" ht="15.95" customHeight="1" x14ac:dyDescent="0.25">
      <c r="A806" s="52"/>
      <c r="B806" s="156">
        <v>1404020402</v>
      </c>
      <c r="C806" s="130" t="str">
        <f t="shared" si="301"/>
        <v>E-1404020402</v>
      </c>
      <c r="D806" s="130">
        <v>756</v>
      </c>
      <c r="E806" s="156" t="s">
        <v>69</v>
      </c>
      <c r="F806" s="216" t="s">
        <v>641</v>
      </c>
      <c r="G806" s="193">
        <v>0</v>
      </c>
      <c r="H806" s="193">
        <v>0</v>
      </c>
      <c r="I806" s="193">
        <v>0</v>
      </c>
      <c r="J806" s="193">
        <v>0</v>
      </c>
      <c r="K806" s="193">
        <v>0</v>
      </c>
      <c r="L806" s="193">
        <v>0</v>
      </c>
      <c r="M806" s="193">
        <v>0</v>
      </c>
      <c r="N806" s="193">
        <v>0</v>
      </c>
      <c r="O806" s="193">
        <v>0</v>
      </c>
      <c r="P806" s="193">
        <v>0</v>
      </c>
      <c r="Q806" s="193">
        <v>0</v>
      </c>
      <c r="R806" s="193">
        <v>0</v>
      </c>
      <c r="S806" s="193">
        <v>0</v>
      </c>
      <c r="T806" s="193">
        <f>SUM(H806:S806)</f>
        <v>0</v>
      </c>
      <c r="U806"/>
      <c r="V806">
        <f>+PRESUPUESTO22[[#This Row],[EJECUTADO ]]-SUM(PRESUPUESTO22[[#This Row],[   ENERO ]:[DIC]])</f>
        <v>0</v>
      </c>
    </row>
    <row r="807" spans="1:26" ht="15.95" customHeight="1" x14ac:dyDescent="0.25">
      <c r="A807" s="52"/>
      <c r="B807" s="156">
        <v>1404020403</v>
      </c>
      <c r="C807" s="130" t="str">
        <f t="shared" si="301"/>
        <v>E-1404020403</v>
      </c>
      <c r="D807" s="130">
        <v>757</v>
      </c>
      <c r="E807" s="156" t="s">
        <v>69</v>
      </c>
      <c r="F807" s="216" t="s">
        <v>642</v>
      </c>
      <c r="G807" s="193">
        <v>0</v>
      </c>
      <c r="H807" s="193">
        <v>0</v>
      </c>
      <c r="I807" s="193">
        <v>0</v>
      </c>
      <c r="J807" s="193">
        <v>0</v>
      </c>
      <c r="K807" s="193">
        <v>0</v>
      </c>
      <c r="L807" s="193">
        <v>0</v>
      </c>
      <c r="M807" s="193">
        <v>0</v>
      </c>
      <c r="N807" s="193">
        <v>0</v>
      </c>
      <c r="O807" s="193">
        <v>0</v>
      </c>
      <c r="P807" s="193">
        <v>0</v>
      </c>
      <c r="Q807" s="193">
        <v>0</v>
      </c>
      <c r="R807" s="193">
        <v>0</v>
      </c>
      <c r="S807" s="193">
        <v>0</v>
      </c>
      <c r="T807" s="193">
        <f>SUM(H807:S807)</f>
        <v>0</v>
      </c>
      <c r="U807"/>
      <c r="V807">
        <f>+PRESUPUESTO22[[#This Row],[EJECUTADO ]]-SUM(PRESUPUESTO22[[#This Row],[   ENERO ]:[DIC]])</f>
        <v>0</v>
      </c>
    </row>
    <row r="808" spans="1:26" ht="15.95" customHeight="1" x14ac:dyDescent="0.25">
      <c r="A808" s="52">
        <v>3</v>
      </c>
      <c r="B808" s="151">
        <v>140403</v>
      </c>
      <c r="C808" s="130" t="str">
        <f t="shared" si="301"/>
        <v>E-140403</v>
      </c>
      <c r="D808" s="130">
        <v>758</v>
      </c>
      <c r="E808" s="151" t="s">
        <v>69</v>
      </c>
      <c r="F808" s="208" t="s">
        <v>647</v>
      </c>
      <c r="G808" s="192">
        <f>+G809+G814</f>
        <v>16000</v>
      </c>
      <c r="H808" s="192">
        <f t="shared" ref="H808:T808" si="307">+H809+H814</f>
        <v>0</v>
      </c>
      <c r="I808" s="192">
        <f t="shared" si="307"/>
        <v>6414</v>
      </c>
      <c r="J808" s="192">
        <f t="shared" si="307"/>
        <v>0</v>
      </c>
      <c r="K808" s="192">
        <f t="shared" si="307"/>
        <v>0</v>
      </c>
      <c r="L808" s="192">
        <f t="shared" si="307"/>
        <v>0</v>
      </c>
      <c r="M808" s="192">
        <f t="shared" si="307"/>
        <v>0</v>
      </c>
      <c r="N808" s="192">
        <f t="shared" si="307"/>
        <v>1994</v>
      </c>
      <c r="O808" s="192">
        <f t="shared" si="307"/>
        <v>0</v>
      </c>
      <c r="P808" s="192">
        <f t="shared" si="307"/>
        <v>0</v>
      </c>
      <c r="Q808" s="192">
        <f t="shared" si="307"/>
        <v>0</v>
      </c>
      <c r="R808" s="192">
        <f t="shared" si="307"/>
        <v>0</v>
      </c>
      <c r="S808" s="192">
        <f t="shared" si="307"/>
        <v>0</v>
      </c>
      <c r="T808" s="192">
        <f t="shared" si="307"/>
        <v>8408</v>
      </c>
      <c r="U808"/>
      <c r="V808">
        <f>+PRESUPUESTO22[[#This Row],[EJECUTADO ]]-SUM(PRESUPUESTO22[[#This Row],[   ENERO ]:[DIC]])</f>
        <v>0</v>
      </c>
    </row>
    <row r="809" spans="1:26" ht="15.95" customHeight="1" x14ac:dyDescent="0.25">
      <c r="A809" s="52"/>
      <c r="B809" s="166">
        <v>14040301</v>
      </c>
      <c r="C809" s="130" t="str">
        <f t="shared" si="301"/>
        <v>E-14040301</v>
      </c>
      <c r="D809" s="130">
        <v>759</v>
      </c>
      <c r="E809" s="166" t="s">
        <v>69</v>
      </c>
      <c r="F809" s="230" t="s">
        <v>648</v>
      </c>
      <c r="G809" s="231">
        <f>SUM(G810:G813)</f>
        <v>10500</v>
      </c>
      <c r="H809" s="231">
        <f>SUM(H810:H813)</f>
        <v>0</v>
      </c>
      <c r="I809" s="231">
        <f t="shared" ref="I809:T809" si="308">SUM(I810:I813)</f>
        <v>6414</v>
      </c>
      <c r="J809" s="231">
        <f t="shared" si="308"/>
        <v>0</v>
      </c>
      <c r="K809" s="231">
        <f t="shared" si="308"/>
        <v>0</v>
      </c>
      <c r="L809" s="231">
        <f t="shared" si="308"/>
        <v>0</v>
      </c>
      <c r="M809" s="231">
        <f t="shared" si="308"/>
        <v>0</v>
      </c>
      <c r="N809" s="231">
        <f t="shared" si="308"/>
        <v>0</v>
      </c>
      <c r="O809" s="231">
        <f t="shared" si="308"/>
        <v>0</v>
      </c>
      <c r="P809" s="231">
        <f t="shared" si="308"/>
        <v>0</v>
      </c>
      <c r="Q809" s="231">
        <f t="shared" si="308"/>
        <v>0</v>
      </c>
      <c r="R809" s="231">
        <f t="shared" si="308"/>
        <v>0</v>
      </c>
      <c r="S809" s="231">
        <f t="shared" si="308"/>
        <v>0</v>
      </c>
      <c r="T809" s="231">
        <f t="shared" si="308"/>
        <v>6414</v>
      </c>
      <c r="U809"/>
      <c r="V809">
        <f>+PRESUPUESTO22[[#This Row],[EJECUTADO ]]-SUM(PRESUPUESTO22[[#This Row],[   ENERO ]:[DIC]])</f>
        <v>0</v>
      </c>
    </row>
    <row r="810" spans="1:26" ht="15.95" customHeight="1" x14ac:dyDescent="0.25">
      <c r="A810" s="52"/>
      <c r="B810" s="156">
        <v>1404030101</v>
      </c>
      <c r="C810" s="130" t="str">
        <f t="shared" si="301"/>
        <v>E-1404030101</v>
      </c>
      <c r="D810" s="130">
        <v>760</v>
      </c>
      <c r="E810" s="156" t="s">
        <v>72</v>
      </c>
      <c r="F810" s="216" t="s">
        <v>614</v>
      </c>
      <c r="G810" s="193">
        <v>3500</v>
      </c>
      <c r="H810" s="193">
        <v>0</v>
      </c>
      <c r="I810" s="193">
        <f>2311.9+0.1</f>
        <v>2312</v>
      </c>
      <c r="J810" s="193">
        <v>0</v>
      </c>
      <c r="K810" s="193">
        <v>0</v>
      </c>
      <c r="L810" s="193">
        <v>0</v>
      </c>
      <c r="M810" s="193">
        <v>0</v>
      </c>
      <c r="N810" s="193">
        <v>0</v>
      </c>
      <c r="O810" s="193">
        <v>0</v>
      </c>
      <c r="P810" s="193">
        <v>0</v>
      </c>
      <c r="Q810" s="193">
        <v>0</v>
      </c>
      <c r="R810" s="193">
        <v>0</v>
      </c>
      <c r="S810" s="193">
        <v>0</v>
      </c>
      <c r="T810" s="193">
        <f>SUM(H810:S810)</f>
        <v>2312</v>
      </c>
      <c r="U810"/>
      <c r="V810">
        <f>+PRESUPUESTO22[[#This Row],[EJECUTADO ]]-SUM(PRESUPUESTO22[[#This Row],[   ENERO ]:[DIC]])</f>
        <v>0</v>
      </c>
    </row>
    <row r="811" spans="1:26" ht="15.95" customHeight="1" x14ac:dyDescent="0.25">
      <c r="A811" s="52"/>
      <c r="B811" s="156">
        <v>1404030102</v>
      </c>
      <c r="C811" s="130" t="str">
        <f t="shared" si="301"/>
        <v>E-1404030102</v>
      </c>
      <c r="D811" s="130">
        <v>761</v>
      </c>
      <c r="E811" s="156" t="s">
        <v>72</v>
      </c>
      <c r="F811" s="216" t="s">
        <v>649</v>
      </c>
      <c r="G811" s="193">
        <v>2500</v>
      </c>
      <c r="H811" s="193">
        <v>0</v>
      </c>
      <c r="I811" s="193">
        <f>1976.41-0.41</f>
        <v>1976</v>
      </c>
      <c r="J811" s="193">
        <v>0</v>
      </c>
      <c r="K811" s="193">
        <v>0</v>
      </c>
      <c r="L811" s="193">
        <v>0</v>
      </c>
      <c r="M811" s="193">
        <v>0</v>
      </c>
      <c r="N811" s="193">
        <v>0</v>
      </c>
      <c r="O811" s="193">
        <v>0</v>
      </c>
      <c r="P811" s="193">
        <v>0</v>
      </c>
      <c r="Q811" s="193">
        <v>0</v>
      </c>
      <c r="R811" s="193">
        <v>0</v>
      </c>
      <c r="S811" s="193">
        <v>0</v>
      </c>
      <c r="T811" s="193">
        <f>SUM(H811:S811)</f>
        <v>1976</v>
      </c>
      <c r="U811"/>
      <c r="V811">
        <f>+PRESUPUESTO22[[#This Row],[EJECUTADO ]]-SUM(PRESUPUESTO22[[#This Row],[   ENERO ]:[DIC]])</f>
        <v>0</v>
      </c>
    </row>
    <row r="812" spans="1:26" ht="15.95" customHeight="1" x14ac:dyDescent="0.25">
      <c r="A812" s="52"/>
      <c r="B812" s="156">
        <v>1404030103</v>
      </c>
      <c r="C812" s="130" t="str">
        <f t="shared" si="301"/>
        <v>E-1404030103</v>
      </c>
      <c r="D812" s="130">
        <v>762</v>
      </c>
      <c r="E812" s="156" t="s">
        <v>72</v>
      </c>
      <c r="F812" s="216" t="s">
        <v>618</v>
      </c>
      <c r="G812" s="193">
        <v>3000</v>
      </c>
      <c r="H812" s="193">
        <v>0</v>
      </c>
      <c r="I812" s="193">
        <f>1559.45-0.45</f>
        <v>1559</v>
      </c>
      <c r="J812" s="193">
        <v>0</v>
      </c>
      <c r="K812" s="193">
        <v>0</v>
      </c>
      <c r="L812" s="193">
        <v>0</v>
      </c>
      <c r="M812" s="193">
        <v>0</v>
      </c>
      <c r="N812" s="193">
        <v>0</v>
      </c>
      <c r="O812" s="193">
        <v>0</v>
      </c>
      <c r="P812" s="193">
        <v>0</v>
      </c>
      <c r="Q812" s="193">
        <v>0</v>
      </c>
      <c r="R812" s="193">
        <v>0</v>
      </c>
      <c r="S812" s="193">
        <v>0</v>
      </c>
      <c r="T812" s="193">
        <f>SUM(H812:S812)</f>
        <v>1559</v>
      </c>
      <c r="U812"/>
      <c r="V812">
        <f>+PRESUPUESTO22[[#This Row],[EJECUTADO ]]-SUM(PRESUPUESTO22[[#This Row],[   ENERO ]:[DIC]])</f>
        <v>0</v>
      </c>
    </row>
    <row r="813" spans="1:26" ht="15.95" customHeight="1" x14ac:dyDescent="0.25">
      <c r="A813" s="52"/>
      <c r="B813" s="156">
        <v>1404030104</v>
      </c>
      <c r="C813" s="130" t="str">
        <f t="shared" si="301"/>
        <v>E-1404030104</v>
      </c>
      <c r="D813" s="130">
        <v>763</v>
      </c>
      <c r="E813" s="156" t="s">
        <v>72</v>
      </c>
      <c r="F813" s="216" t="s">
        <v>650</v>
      </c>
      <c r="G813" s="193">
        <v>1500</v>
      </c>
      <c r="H813" s="193">
        <v>0</v>
      </c>
      <c r="I813" s="193">
        <f>567.07-0.07</f>
        <v>567</v>
      </c>
      <c r="J813" s="193">
        <v>0</v>
      </c>
      <c r="K813" s="193">
        <v>0</v>
      </c>
      <c r="L813" s="193">
        <v>0</v>
      </c>
      <c r="M813" s="193">
        <v>0</v>
      </c>
      <c r="N813" s="193">
        <v>0</v>
      </c>
      <c r="O813" s="193">
        <v>0</v>
      </c>
      <c r="P813" s="193">
        <v>0</v>
      </c>
      <c r="Q813" s="193">
        <v>0</v>
      </c>
      <c r="R813" s="193">
        <v>0</v>
      </c>
      <c r="S813" s="193">
        <v>0</v>
      </c>
      <c r="T813" s="193">
        <f>SUM(H813:S813)</f>
        <v>567</v>
      </c>
      <c r="U813"/>
      <c r="V813">
        <f>+PRESUPUESTO22[[#This Row],[EJECUTADO ]]-SUM(PRESUPUESTO22[[#This Row],[   ENERO ]:[DIC]])</f>
        <v>0</v>
      </c>
    </row>
    <row r="814" spans="1:26" ht="15.95" customHeight="1" x14ac:dyDescent="0.25">
      <c r="A814" s="52"/>
      <c r="B814" s="166">
        <v>14040302</v>
      </c>
      <c r="C814" s="130" t="str">
        <f t="shared" si="301"/>
        <v>E-14040302</v>
      </c>
      <c r="D814" s="130">
        <v>764</v>
      </c>
      <c r="E814" s="166" t="s">
        <v>69</v>
      </c>
      <c r="F814" s="230" t="s">
        <v>651</v>
      </c>
      <c r="G814" s="231">
        <f>SUM(G815:G818)</f>
        <v>5500</v>
      </c>
      <c r="H814" s="231">
        <f>SUM(H815:H818)</f>
        <v>0</v>
      </c>
      <c r="I814" s="231">
        <f t="shared" ref="I814:T814" si="309">SUM(I815:I818)</f>
        <v>0</v>
      </c>
      <c r="J814" s="231">
        <f t="shared" si="309"/>
        <v>0</v>
      </c>
      <c r="K814" s="231">
        <f t="shared" si="309"/>
        <v>0</v>
      </c>
      <c r="L814" s="231">
        <f t="shared" si="309"/>
        <v>0</v>
      </c>
      <c r="M814" s="231">
        <f t="shared" si="309"/>
        <v>0</v>
      </c>
      <c r="N814" s="231">
        <f t="shared" si="309"/>
        <v>1994</v>
      </c>
      <c r="O814" s="231">
        <f t="shared" si="309"/>
        <v>0</v>
      </c>
      <c r="P814" s="231">
        <f t="shared" si="309"/>
        <v>0</v>
      </c>
      <c r="Q814" s="231">
        <f t="shared" si="309"/>
        <v>0</v>
      </c>
      <c r="R814" s="231">
        <f t="shared" si="309"/>
        <v>0</v>
      </c>
      <c r="S814" s="231">
        <f t="shared" si="309"/>
        <v>0</v>
      </c>
      <c r="T814" s="231">
        <f t="shared" si="309"/>
        <v>1994</v>
      </c>
      <c r="U814"/>
      <c r="V814">
        <f>+PRESUPUESTO22[[#This Row],[EJECUTADO ]]-SUM(PRESUPUESTO22[[#This Row],[   ENERO ]:[DIC]])</f>
        <v>0</v>
      </c>
    </row>
    <row r="815" spans="1:26" ht="15.95" customHeight="1" x14ac:dyDescent="0.25">
      <c r="A815" s="52"/>
      <c r="B815" s="156">
        <v>1404030201</v>
      </c>
      <c r="C815" s="130" t="str">
        <f t="shared" si="301"/>
        <v>E-1404030201</v>
      </c>
      <c r="D815" s="130">
        <v>765</v>
      </c>
      <c r="E815" s="156" t="s">
        <v>72</v>
      </c>
      <c r="F815" s="216" t="s">
        <v>614</v>
      </c>
      <c r="G815" s="193">
        <v>2000</v>
      </c>
      <c r="H815" s="193">
        <v>0</v>
      </c>
      <c r="I815" s="193">
        <v>0</v>
      </c>
      <c r="J815" s="193">
        <v>0</v>
      </c>
      <c r="K815" s="193">
        <v>0</v>
      </c>
      <c r="L815" s="193">
        <v>0</v>
      </c>
      <c r="M815" s="193">
        <v>0</v>
      </c>
      <c r="N815" s="193">
        <v>598</v>
      </c>
      <c r="O815" s="193">
        <v>0</v>
      </c>
      <c r="P815" s="193">
        <v>0</v>
      </c>
      <c r="Q815" s="193">
        <v>0</v>
      </c>
      <c r="R815" s="193">
        <v>0</v>
      </c>
      <c r="S815" s="193">
        <v>0</v>
      </c>
      <c r="T815" s="193">
        <f>SUM(H815:S815)</f>
        <v>598</v>
      </c>
      <c r="U815"/>
      <c r="V815">
        <f>+PRESUPUESTO22[[#This Row],[EJECUTADO ]]-SUM(PRESUPUESTO22[[#This Row],[   ENERO ]:[DIC]])</f>
        <v>0</v>
      </c>
      <c r="W815" s="193">
        <f>+V815*V814</f>
        <v>0</v>
      </c>
      <c r="X815"/>
      <c r="Y815"/>
      <c r="Z815"/>
    </row>
    <row r="816" spans="1:26" ht="15.95" customHeight="1" x14ac:dyDescent="0.25">
      <c r="A816" s="52"/>
      <c r="B816" s="156">
        <v>1404030202</v>
      </c>
      <c r="C816" s="130" t="str">
        <f t="shared" si="301"/>
        <v>E-1404030202</v>
      </c>
      <c r="D816" s="130">
        <v>766</v>
      </c>
      <c r="E816" s="156" t="s">
        <v>72</v>
      </c>
      <c r="F816" s="216" t="s">
        <v>649</v>
      </c>
      <c r="G816" s="193">
        <v>1500</v>
      </c>
      <c r="H816" s="193">
        <v>0</v>
      </c>
      <c r="I816" s="193">
        <v>0</v>
      </c>
      <c r="J816" s="193">
        <v>0</v>
      </c>
      <c r="K816" s="193">
        <v>0</v>
      </c>
      <c r="L816" s="193">
        <v>0</v>
      </c>
      <c r="M816" s="193">
        <v>0</v>
      </c>
      <c r="N816" s="193">
        <v>598</v>
      </c>
      <c r="O816" s="193">
        <v>0</v>
      </c>
      <c r="P816" s="193">
        <v>0</v>
      </c>
      <c r="Q816" s="193">
        <v>0</v>
      </c>
      <c r="R816" s="193">
        <v>0</v>
      </c>
      <c r="S816" s="193">
        <v>0</v>
      </c>
      <c r="T816" s="193">
        <f>SUM(H816:S816)</f>
        <v>598</v>
      </c>
      <c r="U816"/>
      <c r="V816">
        <f>+PRESUPUESTO22[[#This Row],[EJECUTADO ]]-SUM(PRESUPUESTO22[[#This Row],[   ENERO ]:[DIC]])</f>
        <v>0</v>
      </c>
      <c r="W816" s="193">
        <f>+V816*V814</f>
        <v>0</v>
      </c>
      <c r="X816"/>
      <c r="Y816"/>
      <c r="Z816"/>
    </row>
    <row r="817" spans="1:26" ht="15.95" customHeight="1" x14ac:dyDescent="0.25">
      <c r="A817" s="52"/>
      <c r="B817" s="156">
        <v>1404030203</v>
      </c>
      <c r="C817" s="130" t="str">
        <f t="shared" si="301"/>
        <v>E-1404030203</v>
      </c>
      <c r="D817" s="130">
        <v>767</v>
      </c>
      <c r="E817" s="156" t="s">
        <v>72</v>
      </c>
      <c r="F817" s="216" t="s">
        <v>618</v>
      </c>
      <c r="G817" s="193">
        <v>1500</v>
      </c>
      <c r="H817" s="193">
        <v>0</v>
      </c>
      <c r="I817" s="193">
        <v>0</v>
      </c>
      <c r="J817" s="193">
        <v>0</v>
      </c>
      <c r="K817" s="193">
        <v>0</v>
      </c>
      <c r="L817" s="193">
        <v>0</v>
      </c>
      <c r="M817" s="193">
        <v>0</v>
      </c>
      <c r="N817" s="193">
        <v>598</v>
      </c>
      <c r="O817" s="193">
        <v>0</v>
      </c>
      <c r="P817" s="193">
        <v>0</v>
      </c>
      <c r="Q817" s="193">
        <v>0</v>
      </c>
      <c r="R817" s="193">
        <v>0</v>
      </c>
      <c r="S817" s="193">
        <v>0</v>
      </c>
      <c r="T817" s="193">
        <f>SUM(H817:S817)</f>
        <v>598</v>
      </c>
      <c r="U817"/>
      <c r="V817">
        <f>+PRESUPUESTO22[[#This Row],[EJECUTADO ]]-SUM(PRESUPUESTO22[[#This Row],[   ENERO ]:[DIC]])</f>
        <v>0</v>
      </c>
      <c r="W817" s="193">
        <f>+V817*V814</f>
        <v>0</v>
      </c>
      <c r="X817"/>
      <c r="Y817"/>
      <c r="Z817"/>
    </row>
    <row r="818" spans="1:26" ht="15.95" customHeight="1" x14ac:dyDescent="0.25">
      <c r="A818" s="52"/>
      <c r="B818" s="156">
        <v>1404030204</v>
      </c>
      <c r="C818" s="130" t="str">
        <f t="shared" si="301"/>
        <v>E-1404030204</v>
      </c>
      <c r="D818" s="130">
        <v>768</v>
      </c>
      <c r="E818" s="156" t="s">
        <v>72</v>
      </c>
      <c r="F818" s="216" t="s">
        <v>650</v>
      </c>
      <c r="G818" s="193">
        <v>500</v>
      </c>
      <c r="H818" s="193">
        <v>0</v>
      </c>
      <c r="I818" s="193">
        <v>0</v>
      </c>
      <c r="J818" s="193">
        <v>0</v>
      </c>
      <c r="K818" s="193">
        <v>0</v>
      </c>
      <c r="L818" s="193">
        <v>0</v>
      </c>
      <c r="M818" s="193">
        <v>0</v>
      </c>
      <c r="N818" s="193">
        <v>200</v>
      </c>
      <c r="O818" s="193">
        <v>0</v>
      </c>
      <c r="P818" s="193">
        <v>0</v>
      </c>
      <c r="Q818" s="193">
        <v>0</v>
      </c>
      <c r="R818" s="193">
        <v>0</v>
      </c>
      <c r="S818" s="193">
        <v>0</v>
      </c>
      <c r="T818" s="193">
        <f>SUM(H818:S818)</f>
        <v>200</v>
      </c>
      <c r="U818"/>
      <c r="V818">
        <f>+PRESUPUESTO22[[#This Row],[EJECUTADO ]]-SUM(PRESUPUESTO22[[#This Row],[   ENERO ]:[DIC]])</f>
        <v>0</v>
      </c>
      <c r="W818" s="193">
        <f>+V818*V814</f>
        <v>0</v>
      </c>
      <c r="X818"/>
      <c r="Y818"/>
      <c r="Z818"/>
    </row>
    <row r="819" spans="1:26" ht="15.95" customHeight="1" x14ac:dyDescent="0.25">
      <c r="A819" s="48">
        <v>4</v>
      </c>
      <c r="B819" s="140">
        <v>140404</v>
      </c>
      <c r="C819" s="130" t="str">
        <f t="shared" si="301"/>
        <v>E-140404</v>
      </c>
      <c r="D819" s="130">
        <v>769</v>
      </c>
      <c r="E819" s="140" t="s">
        <v>69</v>
      </c>
      <c r="F819" s="199" t="s">
        <v>652</v>
      </c>
      <c r="G819" s="192">
        <f t="shared" ref="G819:T819" si="310">+G820+G822</f>
        <v>104460</v>
      </c>
      <c r="H819" s="192">
        <f t="shared" si="310"/>
        <v>8580</v>
      </c>
      <c r="I819" s="192">
        <f t="shared" si="310"/>
        <v>8580</v>
      </c>
      <c r="J819" s="192">
        <f t="shared" si="310"/>
        <v>8580</v>
      </c>
      <c r="K819" s="192">
        <f t="shared" si="310"/>
        <v>6150</v>
      </c>
      <c r="L819" s="192">
        <f t="shared" si="310"/>
        <v>6150</v>
      </c>
      <c r="M819" s="192">
        <f t="shared" si="310"/>
        <v>7650</v>
      </c>
      <c r="N819" s="192">
        <f t="shared" si="310"/>
        <v>6150</v>
      </c>
      <c r="O819" s="192">
        <f t="shared" si="310"/>
        <v>6150</v>
      </c>
      <c r="P819" s="192">
        <f t="shared" si="310"/>
        <v>7200</v>
      </c>
      <c r="Q819" s="192">
        <f t="shared" si="310"/>
        <v>7200</v>
      </c>
      <c r="R819" s="192">
        <f t="shared" si="310"/>
        <v>7200</v>
      </c>
      <c r="S819" s="192">
        <f t="shared" si="310"/>
        <v>0</v>
      </c>
      <c r="T819" s="192">
        <f t="shared" si="310"/>
        <v>79590</v>
      </c>
      <c r="U819"/>
      <c r="V819">
        <f>+PRESUPUESTO22[[#This Row],[EJECUTADO ]]-SUM(PRESUPUESTO22[[#This Row],[   ENERO ]:[DIC]])</f>
        <v>0</v>
      </c>
      <c r="W819" s="193">
        <f>SUM(W815:W818)</f>
        <v>0</v>
      </c>
      <c r="X819"/>
      <c r="Y819"/>
      <c r="Z819"/>
    </row>
    <row r="820" spans="1:26" ht="15.95" customHeight="1" x14ac:dyDescent="0.25">
      <c r="A820" s="52">
        <v>1</v>
      </c>
      <c r="B820" s="166">
        <v>14040401</v>
      </c>
      <c r="C820" s="130" t="str">
        <f t="shared" si="301"/>
        <v>E-14040401</v>
      </c>
      <c r="D820" s="130">
        <v>770</v>
      </c>
      <c r="E820" s="166" t="s">
        <v>69</v>
      </c>
      <c r="F820" s="230" t="s">
        <v>653</v>
      </c>
      <c r="G820" s="231">
        <f t="shared" ref="G820:T822" si="311">SUM(G821:G821)</f>
        <v>102960</v>
      </c>
      <c r="H820" s="231">
        <f t="shared" si="311"/>
        <v>8580</v>
      </c>
      <c r="I820" s="231">
        <f t="shared" si="311"/>
        <v>8580</v>
      </c>
      <c r="J820" s="231">
        <f t="shared" si="311"/>
        <v>8580</v>
      </c>
      <c r="K820" s="231">
        <f t="shared" si="311"/>
        <v>6150</v>
      </c>
      <c r="L820" s="231">
        <f t="shared" si="311"/>
        <v>6150</v>
      </c>
      <c r="M820" s="231">
        <f t="shared" si="311"/>
        <v>6150</v>
      </c>
      <c r="N820" s="231">
        <f t="shared" si="311"/>
        <v>6150</v>
      </c>
      <c r="O820" s="231">
        <f t="shared" si="311"/>
        <v>6150</v>
      </c>
      <c r="P820" s="231">
        <f t="shared" si="311"/>
        <v>7200</v>
      </c>
      <c r="Q820" s="231">
        <f t="shared" si="311"/>
        <v>7200</v>
      </c>
      <c r="R820" s="231">
        <f t="shared" si="311"/>
        <v>7200</v>
      </c>
      <c r="S820" s="231">
        <f t="shared" si="311"/>
        <v>0</v>
      </c>
      <c r="T820" s="231">
        <f t="shared" si="311"/>
        <v>78090</v>
      </c>
      <c r="U820"/>
      <c r="V820">
        <f>+PRESUPUESTO22[[#This Row],[EJECUTADO ]]-SUM(PRESUPUESTO22[[#This Row],[   ENERO ]:[DIC]])</f>
        <v>0</v>
      </c>
      <c r="W820" s="193">
        <f>+V820*V814</f>
        <v>0</v>
      </c>
      <c r="X820"/>
      <c r="Y820"/>
      <c r="Z820"/>
    </row>
    <row r="821" spans="1:26" ht="27" customHeight="1" x14ac:dyDescent="0.25">
      <c r="A821" s="52"/>
      <c r="B821" s="156">
        <v>1404040101</v>
      </c>
      <c r="C821" s="130" t="str">
        <f t="shared" si="301"/>
        <v>E-1404040101</v>
      </c>
      <c r="D821" s="130">
        <v>771</v>
      </c>
      <c r="E821" s="156" t="s">
        <v>72</v>
      </c>
      <c r="F821" s="216" t="s">
        <v>654</v>
      </c>
      <c r="G821" s="193">
        <v>102960</v>
      </c>
      <c r="H821" s="193">
        <v>8580</v>
      </c>
      <c r="I821" s="193">
        <v>8580</v>
      </c>
      <c r="J821" s="193">
        <v>8580</v>
      </c>
      <c r="K821" s="193">
        <v>6150</v>
      </c>
      <c r="L821" s="193">
        <v>6150</v>
      </c>
      <c r="M821" s="193">
        <v>6150</v>
      </c>
      <c r="N821" s="193">
        <v>6150</v>
      </c>
      <c r="O821" s="193">
        <v>6150</v>
      </c>
      <c r="P821" s="193">
        <v>7200</v>
      </c>
      <c r="Q821" s="193">
        <v>7200</v>
      </c>
      <c r="R821" s="193">
        <v>7200</v>
      </c>
      <c r="S821" s="193">
        <v>0</v>
      </c>
      <c r="T821" s="193">
        <f>SUM(H821:S821)</f>
        <v>78090</v>
      </c>
      <c r="U821"/>
      <c r="V821">
        <f>+PRESUPUESTO22[[#This Row],[EJECUTADO ]]-SUM(PRESUPUESTO22[[#This Row],[   ENERO ]:[DIC]])</f>
        <v>0</v>
      </c>
      <c r="W821" s="193">
        <f>+V821*V814</f>
        <v>0</v>
      </c>
      <c r="X821"/>
      <c r="Y821">
        <f>8580*12</f>
        <v>102960</v>
      </c>
      <c r="Z821"/>
    </row>
    <row r="822" spans="1:26" ht="15.95" customHeight="1" x14ac:dyDescent="0.25">
      <c r="A822" s="52">
        <v>2</v>
      </c>
      <c r="B822" s="166">
        <v>14040402</v>
      </c>
      <c r="C822" s="130" t="str">
        <f t="shared" si="301"/>
        <v>E-14040402</v>
      </c>
      <c r="D822" s="130">
        <v>772</v>
      </c>
      <c r="E822" s="166" t="s">
        <v>69</v>
      </c>
      <c r="F822" s="230" t="s">
        <v>655</v>
      </c>
      <c r="G822" s="231">
        <f>+G823</f>
        <v>1500</v>
      </c>
      <c r="H822" s="231">
        <f>+H823</f>
        <v>0</v>
      </c>
      <c r="I822" s="231">
        <f t="shared" ref="I822:S822" si="312">+I823</f>
        <v>0</v>
      </c>
      <c r="J822" s="231">
        <f t="shared" si="312"/>
        <v>0</v>
      </c>
      <c r="K822" s="231">
        <f t="shared" si="312"/>
        <v>0</v>
      </c>
      <c r="L822" s="231">
        <f t="shared" si="312"/>
        <v>0</v>
      </c>
      <c r="M822" s="231">
        <f t="shared" si="312"/>
        <v>1500</v>
      </c>
      <c r="N822" s="231">
        <f t="shared" si="312"/>
        <v>0</v>
      </c>
      <c r="O822" s="231">
        <f t="shared" si="312"/>
        <v>0</v>
      </c>
      <c r="P822" s="231">
        <f t="shared" si="312"/>
        <v>0</v>
      </c>
      <c r="Q822" s="231">
        <f t="shared" si="312"/>
        <v>0</v>
      </c>
      <c r="R822" s="231">
        <f t="shared" si="312"/>
        <v>0</v>
      </c>
      <c r="S822" s="231">
        <f t="shared" si="312"/>
        <v>0</v>
      </c>
      <c r="T822" s="231">
        <f t="shared" si="311"/>
        <v>1500</v>
      </c>
      <c r="U822"/>
      <c r="V822">
        <f>+PRESUPUESTO22[[#This Row],[EJECUTADO ]]-SUM(PRESUPUESTO22[[#This Row],[   ENERO ]:[DIC]])</f>
        <v>0</v>
      </c>
      <c r="W822" s="193">
        <f>+V822*V814</f>
        <v>0</v>
      </c>
      <c r="X822"/>
      <c r="Y822"/>
      <c r="Z822"/>
    </row>
    <row r="823" spans="1:26" ht="18" customHeight="1" x14ac:dyDescent="0.25">
      <c r="A823" s="52"/>
      <c r="B823" s="156">
        <v>1404040201</v>
      </c>
      <c r="C823" s="130" t="str">
        <f t="shared" si="301"/>
        <v>E-1404040201</v>
      </c>
      <c r="D823" s="130">
        <v>773</v>
      </c>
      <c r="E823" s="156" t="s">
        <v>72</v>
      </c>
      <c r="F823" s="216" t="s">
        <v>587</v>
      </c>
      <c r="G823" s="193">
        <v>1500</v>
      </c>
      <c r="H823" s="193">
        <v>0</v>
      </c>
      <c r="I823" s="193">
        <v>0</v>
      </c>
      <c r="J823" s="193">
        <v>0</v>
      </c>
      <c r="K823" s="193">
        <v>0</v>
      </c>
      <c r="L823" s="193">
        <v>0</v>
      </c>
      <c r="M823" s="193">
        <v>1500</v>
      </c>
      <c r="N823" s="193">
        <v>0</v>
      </c>
      <c r="O823" s="193">
        <v>0</v>
      </c>
      <c r="P823" s="193">
        <v>0</v>
      </c>
      <c r="Q823" s="193">
        <v>0</v>
      </c>
      <c r="R823" s="193">
        <v>0</v>
      </c>
      <c r="S823" s="193">
        <v>0</v>
      </c>
      <c r="T823" s="193">
        <f>SUM(H823:S823)</f>
        <v>1500</v>
      </c>
      <c r="U823"/>
      <c r="V823">
        <f>+PRESUPUESTO22[[#This Row],[EJECUTADO ]]-SUM(PRESUPUESTO22[[#This Row],[   ENERO ]:[DIC]])</f>
        <v>0</v>
      </c>
      <c r="W823" s="193">
        <f>SUM(W819:W822)</f>
        <v>0</v>
      </c>
      <c r="X823"/>
      <c r="Y823"/>
      <c r="Z823"/>
    </row>
    <row r="824" spans="1:26" ht="15.95" customHeight="1" x14ac:dyDescent="0.25">
      <c r="A824" s="49">
        <v>15</v>
      </c>
      <c r="B824" s="131">
        <v>15</v>
      </c>
      <c r="C824" s="130" t="str">
        <f t="shared" si="301"/>
        <v>E-15</v>
      </c>
      <c r="D824" s="130">
        <v>774</v>
      </c>
      <c r="E824" s="131" t="s">
        <v>67</v>
      </c>
      <c r="F824" s="50" t="s">
        <v>41</v>
      </c>
      <c r="G824" s="188">
        <f t="shared" ref="G824:T824" si="313">SUM(G825:G837)</f>
        <v>745000</v>
      </c>
      <c r="H824" s="188">
        <f t="shared" si="313"/>
        <v>62045</v>
      </c>
      <c r="I824" s="188">
        <f t="shared" si="313"/>
        <v>62085</v>
      </c>
      <c r="J824" s="188">
        <f t="shared" si="313"/>
        <v>62067</v>
      </c>
      <c r="K824" s="188">
        <f t="shared" si="313"/>
        <v>62052</v>
      </c>
      <c r="L824" s="188">
        <f t="shared" si="313"/>
        <v>62026</v>
      </c>
      <c r="M824" s="188">
        <f t="shared" si="313"/>
        <v>61816</v>
      </c>
      <c r="N824" s="188">
        <f t="shared" si="313"/>
        <v>67361</v>
      </c>
      <c r="O824" s="188">
        <f t="shared" si="313"/>
        <v>57563</v>
      </c>
      <c r="P824" s="188">
        <f t="shared" si="313"/>
        <v>85843</v>
      </c>
      <c r="Q824" s="188">
        <f t="shared" si="313"/>
        <v>86066</v>
      </c>
      <c r="R824" s="188">
        <f t="shared" si="313"/>
        <v>86343</v>
      </c>
      <c r="S824" s="188">
        <f t="shared" si="313"/>
        <v>0</v>
      </c>
      <c r="T824" s="188">
        <f t="shared" si="313"/>
        <v>755267</v>
      </c>
      <c r="U824" s="8" t="s">
        <v>1</v>
      </c>
      <c r="V824">
        <f>+PRESUPUESTO22[[#This Row],[EJECUTADO ]]-SUM(PRESUPUESTO22[[#This Row],[   ENERO ]:[DIC]])</f>
        <v>0</v>
      </c>
    </row>
    <row r="825" spans="1:26" ht="15.95" customHeight="1" x14ac:dyDescent="0.25">
      <c r="A825" s="52"/>
      <c r="B825" s="156">
        <v>1501</v>
      </c>
      <c r="C825" s="130" t="str">
        <f t="shared" si="301"/>
        <v>E-1501</v>
      </c>
      <c r="D825" s="130">
        <v>775</v>
      </c>
      <c r="E825" s="156" t="s">
        <v>72</v>
      </c>
      <c r="F825" s="216" t="s">
        <v>656</v>
      </c>
      <c r="G825" s="193">
        <v>360000</v>
      </c>
      <c r="H825" s="193">
        <v>30000</v>
      </c>
      <c r="I825" s="193">
        <v>30000</v>
      </c>
      <c r="J825" s="193">
        <v>30000</v>
      </c>
      <c r="K825" s="193">
        <v>30000</v>
      </c>
      <c r="L825" s="193">
        <v>30000</v>
      </c>
      <c r="M825" s="193">
        <v>30000</v>
      </c>
      <c r="N825" s="193">
        <v>30000</v>
      </c>
      <c r="O825" s="193">
        <v>30000</v>
      </c>
      <c r="P825" s="193">
        <v>30045</v>
      </c>
      <c r="Q825" s="193">
        <v>30045</v>
      </c>
      <c r="R825" s="193">
        <v>30045</v>
      </c>
      <c r="S825" s="193">
        <v>0</v>
      </c>
      <c r="T825" s="193">
        <f t="shared" ref="T825:T837" si="314">SUM(H825:S825)</f>
        <v>330135</v>
      </c>
      <c r="U825"/>
      <c r="V825">
        <f>+PRESUPUESTO22[[#This Row],[EJECUTADO ]]-SUM(PRESUPUESTO22[[#This Row],[   ENERO ]:[DIC]])</f>
        <v>0</v>
      </c>
      <c r="W825" s="193">
        <f>+V825*V824</f>
        <v>0</v>
      </c>
    </row>
    <row r="826" spans="1:26" ht="15.95" customHeight="1" x14ac:dyDescent="0.25">
      <c r="A826" s="52"/>
      <c r="B826" s="156">
        <v>1502</v>
      </c>
      <c r="C826" s="130" t="str">
        <f t="shared" si="301"/>
        <v>E-1502</v>
      </c>
      <c r="D826" s="130">
        <v>776</v>
      </c>
      <c r="E826" s="156" t="s">
        <v>72</v>
      </c>
      <c r="F826" s="216" t="s">
        <v>657</v>
      </c>
      <c r="G826" s="193">
        <v>0</v>
      </c>
      <c r="H826" s="193">
        <v>0</v>
      </c>
      <c r="I826" s="193">
        <v>0</v>
      </c>
      <c r="J826" s="193">
        <v>0</v>
      </c>
      <c r="K826" s="193">
        <v>0</v>
      </c>
      <c r="L826" s="193">
        <v>0</v>
      </c>
      <c r="M826" s="193">
        <v>0</v>
      </c>
      <c r="N826" s="193">
        <v>0</v>
      </c>
      <c r="O826" s="193">
        <v>0</v>
      </c>
      <c r="P826" s="193">
        <v>28250</v>
      </c>
      <c r="Q826" s="193">
        <v>28250</v>
      </c>
      <c r="R826" s="193">
        <v>28250</v>
      </c>
      <c r="S826" s="193"/>
      <c r="T826" s="193">
        <f t="shared" si="314"/>
        <v>84750</v>
      </c>
      <c r="U826"/>
      <c r="V826">
        <f>+PRESUPUESTO22[[#This Row],[EJECUTADO ]]-SUM(PRESUPUESTO22[[#This Row],[   ENERO ]:[DIC]])</f>
        <v>0</v>
      </c>
      <c r="W826" s="193"/>
    </row>
    <row r="827" spans="1:26" ht="15.95" customHeight="1" x14ac:dyDescent="0.25">
      <c r="A827" s="52"/>
      <c r="B827" s="156">
        <v>1503</v>
      </c>
      <c r="C827" s="130" t="str">
        <f t="shared" si="301"/>
        <v>E-1503</v>
      </c>
      <c r="D827" s="130">
        <v>777</v>
      </c>
      <c r="E827" s="156" t="s">
        <v>72</v>
      </c>
      <c r="F827" s="216" t="s">
        <v>658</v>
      </c>
      <c r="G827" s="193">
        <v>27120</v>
      </c>
      <c r="H827" s="193">
        <v>2260</v>
      </c>
      <c r="I827" s="193">
        <v>2260</v>
      </c>
      <c r="J827" s="193">
        <v>2260</v>
      </c>
      <c r="K827" s="193">
        <v>2260</v>
      </c>
      <c r="L827" s="193">
        <v>2260</v>
      </c>
      <c r="M827" s="193">
        <v>2260</v>
      </c>
      <c r="N827" s="193">
        <v>2260</v>
      </c>
      <c r="O827" s="193">
        <v>2260</v>
      </c>
      <c r="P827" s="193">
        <v>2260</v>
      </c>
      <c r="Q827" s="193">
        <v>2260</v>
      </c>
      <c r="R827" s="193">
        <v>2260</v>
      </c>
      <c r="S827" s="193">
        <v>0</v>
      </c>
      <c r="T827" s="193">
        <f t="shared" si="314"/>
        <v>24860</v>
      </c>
      <c r="U827"/>
      <c r="V827">
        <f>+PRESUPUESTO22[[#This Row],[EJECUTADO ]]-SUM(PRESUPUESTO22[[#This Row],[   ENERO ]:[DIC]])</f>
        <v>0</v>
      </c>
      <c r="W827" s="193">
        <f>+V827*V824</f>
        <v>0</v>
      </c>
    </row>
    <row r="828" spans="1:26" ht="15.95" customHeight="1" x14ac:dyDescent="0.25">
      <c r="A828" s="52"/>
      <c r="B828" s="156">
        <v>1504</v>
      </c>
      <c r="C828" s="130" t="str">
        <f t="shared" si="301"/>
        <v>E-1504</v>
      </c>
      <c r="D828" s="130">
        <v>778</v>
      </c>
      <c r="E828" s="156" t="s">
        <v>72</v>
      </c>
      <c r="F828" s="216" t="s">
        <v>1424</v>
      </c>
      <c r="G828" s="193">
        <v>121200</v>
      </c>
      <c r="H828" s="193">
        <v>10101</v>
      </c>
      <c r="I828" s="193">
        <v>10101</v>
      </c>
      <c r="J828" s="193">
        <v>10101</v>
      </c>
      <c r="K828" s="193">
        <v>10101</v>
      </c>
      <c r="L828" s="193">
        <v>10101</v>
      </c>
      <c r="M828" s="193">
        <v>10101</v>
      </c>
      <c r="N828" s="193">
        <v>10101</v>
      </c>
      <c r="O828" s="193">
        <v>10101</v>
      </c>
      <c r="P828" s="193">
        <v>10101</v>
      </c>
      <c r="Q828" s="193">
        <f>10336.57+0.43</f>
        <v>10337</v>
      </c>
      <c r="R828" s="193">
        <f>10606.03-0.03</f>
        <v>10606</v>
      </c>
      <c r="S828" s="193">
        <v>0</v>
      </c>
      <c r="T828" s="193">
        <f t="shared" si="314"/>
        <v>111852</v>
      </c>
      <c r="U828"/>
      <c r="V828">
        <f>+PRESUPUESTO22[[#This Row],[EJECUTADO ]]-SUM(PRESUPUESTO22[[#This Row],[   ENERO ]:[DIC]])</f>
        <v>0</v>
      </c>
      <c r="W828" s="193">
        <f>+V828*V824</f>
        <v>0</v>
      </c>
    </row>
    <row r="829" spans="1:26" ht="15.95" customHeight="1" x14ac:dyDescent="0.25">
      <c r="A829" s="52"/>
      <c r="B829" s="156">
        <v>1505</v>
      </c>
      <c r="C829" s="130" t="str">
        <f t="shared" si="301"/>
        <v>E-1505</v>
      </c>
      <c r="D829" s="130">
        <v>779</v>
      </c>
      <c r="E829" s="156" t="s">
        <v>72</v>
      </c>
      <c r="F829" s="216" t="s">
        <v>659</v>
      </c>
      <c r="G829" s="193">
        <v>56400</v>
      </c>
      <c r="H829" s="193">
        <v>4700</v>
      </c>
      <c r="I829" s="193">
        <v>4700</v>
      </c>
      <c r="J829" s="193">
        <v>4700</v>
      </c>
      <c r="K829" s="193">
        <v>4700</v>
      </c>
      <c r="L829" s="193">
        <v>4700</v>
      </c>
      <c r="M829" s="193">
        <v>4700</v>
      </c>
      <c r="N829" s="193">
        <f>4700+1200</f>
        <v>5900</v>
      </c>
      <c r="O829" s="193">
        <f>3500+1200</f>
        <v>4700</v>
      </c>
      <c r="P829" s="193">
        <f>3500+1200</f>
        <v>4700</v>
      </c>
      <c r="Q829" s="193">
        <f>3500+1200</f>
        <v>4700</v>
      </c>
      <c r="R829" s="193">
        <f>3500+1200</f>
        <v>4700</v>
      </c>
      <c r="S829" s="193">
        <v>0</v>
      </c>
      <c r="T829" s="193">
        <f t="shared" si="314"/>
        <v>52900</v>
      </c>
      <c r="U829"/>
      <c r="V829">
        <f>+PRESUPUESTO22[[#This Row],[EJECUTADO ]]-SUM(PRESUPUESTO22[[#This Row],[   ENERO ]:[DIC]])</f>
        <v>0</v>
      </c>
      <c r="W829" s="193">
        <f>+V829*V824</f>
        <v>0</v>
      </c>
    </row>
    <row r="830" spans="1:26" ht="15.95" customHeight="1" x14ac:dyDescent="0.25">
      <c r="A830" s="52"/>
      <c r="B830" s="156">
        <v>1506</v>
      </c>
      <c r="C830" s="130" t="str">
        <f t="shared" si="301"/>
        <v>E-1506</v>
      </c>
      <c r="D830" s="130">
        <v>780</v>
      </c>
      <c r="E830" s="156" t="s">
        <v>72</v>
      </c>
      <c r="F830" s="216" t="s">
        <v>660</v>
      </c>
      <c r="G830" s="193">
        <v>51525</v>
      </c>
      <c r="H830" s="193">
        <v>4294</v>
      </c>
      <c r="I830" s="193">
        <v>4294</v>
      </c>
      <c r="J830" s="193">
        <v>4294</v>
      </c>
      <c r="K830" s="193">
        <v>4294</v>
      </c>
      <c r="L830" s="193">
        <v>4294</v>
      </c>
      <c r="M830" s="193">
        <v>4294</v>
      </c>
      <c r="N830" s="193">
        <v>4294</v>
      </c>
      <c r="O830" s="193">
        <v>4294</v>
      </c>
      <c r="P830" s="218">
        <v>0</v>
      </c>
      <c r="Q830" s="218">
        <v>0</v>
      </c>
      <c r="R830" s="218">
        <v>0</v>
      </c>
      <c r="S830" s="193">
        <v>0</v>
      </c>
      <c r="T830" s="193">
        <f t="shared" si="314"/>
        <v>34352</v>
      </c>
      <c r="U830"/>
      <c r="V830">
        <f>+PRESUPUESTO22[[#This Row],[EJECUTADO ]]-SUM(PRESUPUESTO22[[#This Row],[   ENERO ]:[DIC]])</f>
        <v>0</v>
      </c>
      <c r="W830"/>
    </row>
    <row r="831" spans="1:26" ht="15.95" customHeight="1" x14ac:dyDescent="0.25">
      <c r="A831" s="52"/>
      <c r="B831" s="156">
        <v>1507</v>
      </c>
      <c r="C831" s="130" t="str">
        <f t="shared" si="301"/>
        <v>E-1507</v>
      </c>
      <c r="D831" s="130">
        <v>781</v>
      </c>
      <c r="E831" s="156" t="s">
        <v>72</v>
      </c>
      <c r="F831" s="216" t="s">
        <v>661</v>
      </c>
      <c r="G831" s="193">
        <v>51525</v>
      </c>
      <c r="H831" s="193">
        <v>4294</v>
      </c>
      <c r="I831" s="193">
        <v>4294</v>
      </c>
      <c r="J831" s="193">
        <v>4294</v>
      </c>
      <c r="K831" s="193">
        <v>4294</v>
      </c>
      <c r="L831" s="193">
        <v>4294</v>
      </c>
      <c r="M831" s="193">
        <v>4294</v>
      </c>
      <c r="N831" s="193">
        <f>4294*2</f>
        <v>8588</v>
      </c>
      <c r="O831" s="193">
        <v>0</v>
      </c>
      <c r="P831" s="193">
        <v>4294</v>
      </c>
      <c r="Q831" s="193">
        <v>4294</v>
      </c>
      <c r="R831" s="193">
        <v>4294</v>
      </c>
      <c r="S831" s="193">
        <v>0</v>
      </c>
      <c r="T831" s="193">
        <f t="shared" si="314"/>
        <v>47234</v>
      </c>
      <c r="U831"/>
      <c r="V831">
        <f>+PRESUPUESTO22[[#This Row],[EJECUTADO ]]-SUM(PRESUPUESTO22[[#This Row],[   ENERO ]:[DIC]])</f>
        <v>0</v>
      </c>
      <c r="W831"/>
    </row>
    <row r="832" spans="1:26" ht="15.95" customHeight="1" x14ac:dyDescent="0.25">
      <c r="A832" s="52"/>
      <c r="B832" s="156">
        <v>1508</v>
      </c>
      <c r="C832" s="130" t="str">
        <f t="shared" si="301"/>
        <v>E-1508</v>
      </c>
      <c r="D832" s="130">
        <v>782</v>
      </c>
      <c r="E832" s="156" t="s">
        <v>72</v>
      </c>
      <c r="F832" s="216" t="s">
        <v>662</v>
      </c>
      <c r="G832" s="193">
        <v>27510</v>
      </c>
      <c r="H832" s="193">
        <v>2292</v>
      </c>
      <c r="I832" s="193">
        <v>2292</v>
      </c>
      <c r="J832" s="193">
        <v>2292</v>
      </c>
      <c r="K832" s="193">
        <v>2292</v>
      </c>
      <c r="L832" s="193">
        <v>2292</v>
      </c>
      <c r="M832" s="193">
        <v>2292</v>
      </c>
      <c r="N832" s="193">
        <v>2292</v>
      </c>
      <c r="O832" s="193">
        <v>2292</v>
      </c>
      <c r="P832" s="193">
        <v>2292</v>
      </c>
      <c r="Q832" s="193">
        <v>2292</v>
      </c>
      <c r="R832" s="193">
        <v>2292</v>
      </c>
      <c r="S832" s="193">
        <v>0</v>
      </c>
      <c r="T832" s="193">
        <f t="shared" si="314"/>
        <v>25212</v>
      </c>
      <c r="U832"/>
      <c r="V832">
        <f>+PRESUPUESTO22[[#This Row],[EJECUTADO ]]-SUM(PRESUPUESTO22[[#This Row],[   ENERO ]:[DIC]])</f>
        <v>0</v>
      </c>
      <c r="W832"/>
    </row>
    <row r="833" spans="1:23" ht="15.95" customHeight="1" x14ac:dyDescent="0.25">
      <c r="A833" s="52"/>
      <c r="B833" s="156">
        <v>1509</v>
      </c>
      <c r="C833" s="130" t="str">
        <f t="shared" si="301"/>
        <v>E-1509</v>
      </c>
      <c r="D833" s="130">
        <v>783</v>
      </c>
      <c r="E833" s="156" t="s">
        <v>72</v>
      </c>
      <c r="F833" s="216" t="s">
        <v>663</v>
      </c>
      <c r="G833" s="193">
        <v>18000</v>
      </c>
      <c r="H833" s="193">
        <v>1500</v>
      </c>
      <c r="I833" s="193">
        <v>1500</v>
      </c>
      <c r="J833" s="193">
        <v>1500</v>
      </c>
      <c r="K833" s="193">
        <v>1500</v>
      </c>
      <c r="L833" s="193">
        <v>1500</v>
      </c>
      <c r="M833" s="193">
        <v>1500</v>
      </c>
      <c r="N833" s="193">
        <v>1500</v>
      </c>
      <c r="O833" s="193">
        <v>1500</v>
      </c>
      <c r="P833" s="193">
        <v>1500</v>
      </c>
      <c r="Q833" s="193">
        <v>1500</v>
      </c>
      <c r="R833" s="193">
        <v>1500</v>
      </c>
      <c r="S833" s="193">
        <v>0</v>
      </c>
      <c r="T833" s="193">
        <f t="shared" si="314"/>
        <v>16500</v>
      </c>
      <c r="U833"/>
      <c r="V833">
        <f>+PRESUPUESTO22[[#This Row],[EJECUTADO ]]-SUM(PRESUPUESTO22[[#This Row],[   ENERO ]:[DIC]])</f>
        <v>0</v>
      </c>
      <c r="W833"/>
    </row>
    <row r="834" spans="1:23" ht="15.95" customHeight="1" x14ac:dyDescent="0.25">
      <c r="A834" s="52"/>
      <c r="B834" s="156">
        <v>1510</v>
      </c>
      <c r="C834" s="130" t="str">
        <f t="shared" si="301"/>
        <v>E-1510</v>
      </c>
      <c r="D834" s="130">
        <v>784</v>
      </c>
      <c r="E834" s="156" t="s">
        <v>72</v>
      </c>
      <c r="F834" s="216" t="s">
        <v>664</v>
      </c>
      <c r="G834" s="193">
        <v>8815</v>
      </c>
      <c r="H834" s="193">
        <v>735</v>
      </c>
      <c r="I834" s="193">
        <v>735</v>
      </c>
      <c r="J834" s="193">
        <v>735</v>
      </c>
      <c r="K834" s="193">
        <v>735</v>
      </c>
      <c r="L834" s="193">
        <v>735</v>
      </c>
      <c r="M834" s="193">
        <v>735</v>
      </c>
      <c r="N834" s="193">
        <v>735</v>
      </c>
      <c r="O834" s="193">
        <v>735</v>
      </c>
      <c r="P834" s="193">
        <v>735</v>
      </c>
      <c r="Q834" s="193">
        <v>735</v>
      </c>
      <c r="R834" s="193">
        <v>735</v>
      </c>
      <c r="S834" s="193">
        <v>0</v>
      </c>
      <c r="T834" s="193">
        <f t="shared" si="314"/>
        <v>8085</v>
      </c>
      <c r="U834"/>
      <c r="V834">
        <f>+PRESUPUESTO22[[#This Row],[EJECUTADO ]]-SUM(PRESUPUESTO22[[#This Row],[   ENERO ]:[DIC]])</f>
        <v>0</v>
      </c>
      <c r="W834"/>
    </row>
    <row r="835" spans="1:23" ht="15.95" customHeight="1" x14ac:dyDescent="0.25">
      <c r="A835" s="52"/>
      <c r="B835" s="156">
        <v>1511</v>
      </c>
      <c r="C835" s="130" t="str">
        <f t="shared" si="301"/>
        <v>E-1511</v>
      </c>
      <c r="D835" s="130">
        <v>785</v>
      </c>
      <c r="E835" s="156" t="s">
        <v>72</v>
      </c>
      <c r="F835" s="216" t="s">
        <v>665</v>
      </c>
      <c r="G835" s="193">
        <v>2520</v>
      </c>
      <c r="H835" s="193">
        <v>210</v>
      </c>
      <c r="I835" s="193">
        <v>210</v>
      </c>
      <c r="J835" s="193">
        <v>210</v>
      </c>
      <c r="K835" s="193">
        <v>210</v>
      </c>
      <c r="L835" s="193">
        <v>210</v>
      </c>
      <c r="M835" s="218">
        <v>0</v>
      </c>
      <c r="N835" s="218">
        <v>0</v>
      </c>
      <c r="O835" s="218">
        <v>0</v>
      </c>
      <c r="P835" s="218">
        <v>0</v>
      </c>
      <c r="Q835" s="218">
        <v>0</v>
      </c>
      <c r="R835" s="218">
        <v>0</v>
      </c>
      <c r="S835" s="193">
        <v>0</v>
      </c>
      <c r="T835" s="193">
        <f t="shared" si="314"/>
        <v>1050</v>
      </c>
      <c r="U835"/>
      <c r="V835">
        <f>+PRESUPUESTO22[[#This Row],[EJECUTADO ]]-SUM(PRESUPUESTO22[[#This Row],[   ENERO ]:[DIC]])</f>
        <v>0</v>
      </c>
      <c r="W835"/>
    </row>
    <row r="836" spans="1:23" ht="15.95" customHeight="1" x14ac:dyDescent="0.25">
      <c r="A836" s="52"/>
      <c r="B836" s="156">
        <v>1512</v>
      </c>
      <c r="C836" s="130" t="str">
        <f t="shared" si="301"/>
        <v>E-1512</v>
      </c>
      <c r="D836" s="130">
        <v>786</v>
      </c>
      <c r="E836" s="156" t="s">
        <v>72</v>
      </c>
      <c r="F836" s="216" t="s">
        <v>666</v>
      </c>
      <c r="G836" s="193">
        <v>6825</v>
      </c>
      <c r="H836" s="193">
        <f>528.83+0.17</f>
        <v>529</v>
      </c>
      <c r="I836" s="193">
        <f>568.61+0.39</f>
        <v>569</v>
      </c>
      <c r="J836" s="193">
        <f>551.1-0.1</f>
        <v>551</v>
      </c>
      <c r="K836" s="193">
        <f>536.44-0.44</f>
        <v>536</v>
      </c>
      <c r="L836" s="193">
        <f>509.64+0.36</f>
        <v>510</v>
      </c>
      <c r="M836" s="193">
        <f>509.92+0.08</f>
        <v>510</v>
      </c>
      <c r="N836" s="193">
        <f>560.72+0.28</f>
        <v>561</v>
      </c>
      <c r="O836" s="193">
        <v>551</v>
      </c>
      <c r="P836" s="193">
        <f>536.44-0.44</f>
        <v>536</v>
      </c>
      <c r="Q836" s="193">
        <f>522.9+0.1</f>
        <v>523</v>
      </c>
      <c r="R836" s="193">
        <f>530.51+0.49</f>
        <v>531</v>
      </c>
      <c r="S836" s="193">
        <v>0</v>
      </c>
      <c r="T836" s="193">
        <f t="shared" si="314"/>
        <v>5907</v>
      </c>
      <c r="U836"/>
      <c r="V836">
        <f>+PRESUPUESTO22[[#This Row],[EJECUTADO ]]-SUM(PRESUPUESTO22[[#This Row],[   ENERO ]:[DIC]])</f>
        <v>0</v>
      </c>
      <c r="W836"/>
    </row>
    <row r="837" spans="1:23" ht="18" customHeight="1" x14ac:dyDescent="0.25">
      <c r="A837" s="52"/>
      <c r="B837" s="156">
        <v>1513</v>
      </c>
      <c r="C837" s="130" t="str">
        <f t="shared" si="301"/>
        <v>E-1513</v>
      </c>
      <c r="D837" s="130">
        <v>787</v>
      </c>
      <c r="E837" s="156" t="s">
        <v>72</v>
      </c>
      <c r="F837" s="216" t="s">
        <v>667</v>
      </c>
      <c r="G837" s="193">
        <v>13560</v>
      </c>
      <c r="H837" s="193">
        <v>1130</v>
      </c>
      <c r="I837" s="193">
        <v>1130</v>
      </c>
      <c r="J837" s="193">
        <v>1130</v>
      </c>
      <c r="K837" s="193">
        <v>1130</v>
      </c>
      <c r="L837" s="193">
        <v>1130</v>
      </c>
      <c r="M837" s="193">
        <v>1130</v>
      </c>
      <c r="N837" s="193">
        <v>1130</v>
      </c>
      <c r="O837" s="193">
        <v>1130</v>
      </c>
      <c r="P837" s="193">
        <v>1130</v>
      </c>
      <c r="Q837" s="193">
        <v>1130</v>
      </c>
      <c r="R837" s="193">
        <v>1130</v>
      </c>
      <c r="S837" s="193">
        <v>0</v>
      </c>
      <c r="T837" s="193">
        <f t="shared" si="314"/>
        <v>12430</v>
      </c>
      <c r="U837"/>
      <c r="V837">
        <f>+PRESUPUESTO22[[#This Row],[EJECUTADO ]]-SUM(PRESUPUESTO22[[#This Row],[   ENERO ]:[DIC]])</f>
        <v>0</v>
      </c>
      <c r="W837"/>
    </row>
    <row r="838" spans="1:23" ht="15.95" customHeight="1" x14ac:dyDescent="0.25">
      <c r="A838" s="49">
        <v>16</v>
      </c>
      <c r="B838" s="143">
        <v>16</v>
      </c>
      <c r="C838" s="130" t="str">
        <f t="shared" si="301"/>
        <v>E-16</v>
      </c>
      <c r="D838" s="130">
        <v>788</v>
      </c>
      <c r="E838" s="143" t="s">
        <v>67</v>
      </c>
      <c r="F838" s="195" t="s">
        <v>668</v>
      </c>
      <c r="G838" s="188">
        <f t="shared" ref="G838:T838" si="315">+G839+G840+G848+G862</f>
        <v>900000</v>
      </c>
      <c r="H838" s="188">
        <f t="shared" si="315"/>
        <v>3387</v>
      </c>
      <c r="I838" s="188">
        <f t="shared" si="315"/>
        <v>15519</v>
      </c>
      <c r="J838" s="188">
        <f t="shared" si="315"/>
        <v>99096</v>
      </c>
      <c r="K838" s="188">
        <f t="shared" si="315"/>
        <v>32487</v>
      </c>
      <c r="L838" s="188">
        <f t="shared" si="315"/>
        <v>30655</v>
      </c>
      <c r="M838" s="188">
        <f t="shared" si="315"/>
        <v>63861</v>
      </c>
      <c r="N838" s="188">
        <f t="shared" si="315"/>
        <v>51814</v>
      </c>
      <c r="O838" s="188">
        <f t="shared" si="315"/>
        <v>13162</v>
      </c>
      <c r="P838" s="188">
        <f t="shared" si="315"/>
        <v>22960.999999999996</v>
      </c>
      <c r="Q838" s="188">
        <f t="shared" si="315"/>
        <v>100099</v>
      </c>
      <c r="R838" s="188">
        <f t="shared" si="315"/>
        <v>46429</v>
      </c>
      <c r="S838" s="188">
        <f t="shared" si="315"/>
        <v>0</v>
      </c>
      <c r="T838" s="188">
        <f t="shared" si="315"/>
        <v>479470</v>
      </c>
      <c r="U838"/>
      <c r="V838">
        <f>+PRESUPUESTO22[[#This Row],[EJECUTADO ]]-SUM(PRESUPUESTO22[[#This Row],[   ENERO ]:[DIC]])</f>
        <v>0</v>
      </c>
      <c r="W838"/>
    </row>
    <row r="839" spans="1:23" ht="15.95" customHeight="1" x14ac:dyDescent="0.25">
      <c r="A839" s="52">
        <v>1</v>
      </c>
      <c r="B839" s="157">
        <v>1601</v>
      </c>
      <c r="C839" s="130" t="str">
        <f t="shared" si="301"/>
        <v>E-1601</v>
      </c>
      <c r="D839" s="130">
        <v>789</v>
      </c>
      <c r="E839" s="157" t="s">
        <v>72</v>
      </c>
      <c r="F839" s="219" t="s">
        <v>669</v>
      </c>
      <c r="G839" s="190">
        <v>30550</v>
      </c>
      <c r="H839" s="190">
        <v>2350</v>
      </c>
      <c r="I839" s="190">
        <v>2350</v>
      </c>
      <c r="J839" s="190">
        <v>2350</v>
      </c>
      <c r="K839" s="190">
        <f>2514.5+0.5</f>
        <v>2515</v>
      </c>
      <c r="L839" s="190">
        <v>2350</v>
      </c>
      <c r="M839" s="190">
        <v>2350</v>
      </c>
      <c r="N839" s="190">
        <v>2350</v>
      </c>
      <c r="O839" s="190">
        <v>2515</v>
      </c>
      <c r="P839" s="190">
        <v>2350</v>
      </c>
      <c r="Q839" s="190">
        <v>2350</v>
      </c>
      <c r="R839" s="190">
        <v>2350</v>
      </c>
      <c r="S839" s="190">
        <v>0</v>
      </c>
      <c r="T839" s="190">
        <f>SUM(H839:S839)</f>
        <v>26180</v>
      </c>
      <c r="U839"/>
      <c r="V839">
        <f>+PRESUPUESTO22[[#This Row],[EJECUTADO ]]-SUM(PRESUPUESTO22[[#This Row],[   ENERO ]:[DIC]])</f>
        <v>0</v>
      </c>
    </row>
    <row r="840" spans="1:23" ht="15.95" customHeight="1" x14ac:dyDescent="0.25">
      <c r="A840" s="52">
        <v>2</v>
      </c>
      <c r="B840" s="157">
        <v>1602</v>
      </c>
      <c r="C840" s="130" t="str">
        <f t="shared" si="301"/>
        <v>E-1602</v>
      </c>
      <c r="D840" s="130">
        <v>790</v>
      </c>
      <c r="E840" s="157" t="s">
        <v>69</v>
      </c>
      <c r="F840" s="219" t="s">
        <v>670</v>
      </c>
      <c r="G840" s="190">
        <f>SUM(G841:G847)</f>
        <v>712250</v>
      </c>
      <c r="H840" s="190">
        <f>SUM(H841:H847)</f>
        <v>0</v>
      </c>
      <c r="I840" s="190">
        <f>SUM(I841:I847)</f>
        <v>12149</v>
      </c>
      <c r="J840" s="190">
        <f>SUM(J841:J847)</f>
        <v>11949</v>
      </c>
      <c r="K840" s="190">
        <f t="shared" ref="K840:T840" si="316">SUM(K841:K847)</f>
        <v>22923</v>
      </c>
      <c r="L840" s="190">
        <f t="shared" si="316"/>
        <v>27222</v>
      </c>
      <c r="M840" s="190">
        <f t="shared" si="316"/>
        <v>55633</v>
      </c>
      <c r="N840" s="190">
        <f t="shared" si="316"/>
        <v>48257</v>
      </c>
      <c r="O840" s="190">
        <f t="shared" si="316"/>
        <v>9627</v>
      </c>
      <c r="P840" s="190">
        <f t="shared" si="316"/>
        <v>19438.999999999996</v>
      </c>
      <c r="Q840" s="190">
        <f t="shared" si="316"/>
        <v>29849</v>
      </c>
      <c r="R840" s="190">
        <f t="shared" si="316"/>
        <v>26162</v>
      </c>
      <c r="S840" s="190">
        <f t="shared" si="316"/>
        <v>0</v>
      </c>
      <c r="T840" s="190">
        <f t="shared" si="316"/>
        <v>263210</v>
      </c>
      <c r="U840"/>
      <c r="V840">
        <f>+PRESUPUESTO22[[#This Row],[EJECUTADO ]]-SUM(PRESUPUESTO22[[#This Row],[   ENERO ]:[DIC]])</f>
        <v>0</v>
      </c>
    </row>
    <row r="841" spans="1:23" ht="15.95" customHeight="1" x14ac:dyDescent="0.25">
      <c r="A841" s="52"/>
      <c r="B841" s="156">
        <v>160201</v>
      </c>
      <c r="C841" s="130" t="str">
        <f t="shared" si="301"/>
        <v>E-160201</v>
      </c>
      <c r="D841" s="130">
        <v>791</v>
      </c>
      <c r="E841" s="156" t="s">
        <v>72</v>
      </c>
      <c r="F841" s="216" t="s">
        <v>671</v>
      </c>
      <c r="G841" s="193">
        <v>256000</v>
      </c>
      <c r="H841" s="193">
        <v>0</v>
      </c>
      <c r="I841" s="193">
        <f>8987.4+1757.1+0.5</f>
        <v>10745</v>
      </c>
      <c r="J841" s="193">
        <f>8812.5+1606.5</f>
        <v>10419</v>
      </c>
      <c r="K841" s="193">
        <f>19863.4+3060-0.4</f>
        <v>22923</v>
      </c>
      <c r="L841" s="193">
        <f>23721.9+0.1</f>
        <v>23722</v>
      </c>
      <c r="M841" s="193">
        <f>22749+2484</f>
        <v>25233</v>
      </c>
      <c r="N841" s="193">
        <f>14256.3+990-0.3</f>
        <v>15246</v>
      </c>
      <c r="O841" s="193">
        <f>8551.8+0.2</f>
        <v>8552</v>
      </c>
      <c r="P841" s="193">
        <f>17097.21+2342.1-0.31</f>
        <v>19438.999999999996</v>
      </c>
      <c r="Q841" s="193">
        <f>21813.2+2085.6+0.2</f>
        <v>23899</v>
      </c>
      <c r="R841" s="193">
        <f>23991.9+2034.6+0.5</f>
        <v>26027</v>
      </c>
      <c r="S841" s="193">
        <v>0</v>
      </c>
      <c r="T841" s="193">
        <f t="shared" ref="T841:T847" si="317">SUM(H841:S841)</f>
        <v>186205</v>
      </c>
      <c r="U841"/>
      <c r="V841">
        <f>+PRESUPUESTO22[[#This Row],[EJECUTADO ]]-SUM(PRESUPUESTO22[[#This Row],[   ENERO ]:[DIC]])</f>
        <v>0</v>
      </c>
    </row>
    <row r="842" spans="1:23" ht="15.95" customHeight="1" x14ac:dyDescent="0.25">
      <c r="A842" s="52"/>
      <c r="B842" s="156">
        <v>160202</v>
      </c>
      <c r="C842" s="130" t="str">
        <f t="shared" si="301"/>
        <v>E-160202</v>
      </c>
      <c r="D842" s="130">
        <v>792</v>
      </c>
      <c r="E842" s="156" t="s">
        <v>72</v>
      </c>
      <c r="F842" s="216" t="s">
        <v>672</v>
      </c>
      <c r="G842" s="193">
        <v>33000</v>
      </c>
      <c r="H842" s="193">
        <v>0</v>
      </c>
      <c r="I842" s="193">
        <v>0</v>
      </c>
      <c r="J842" s="193">
        <v>0</v>
      </c>
      <c r="K842" s="193">
        <v>0</v>
      </c>
      <c r="L842" s="193">
        <v>0</v>
      </c>
      <c r="M842" s="193">
        <f>1485.72+742.86+0.42</f>
        <v>2229</v>
      </c>
      <c r="N842" s="193">
        <f>22750+700</f>
        <v>23450</v>
      </c>
      <c r="O842" s="193">
        <v>350</v>
      </c>
      <c r="P842" s="193">
        <v>0</v>
      </c>
      <c r="Q842" s="193">
        <v>0</v>
      </c>
      <c r="R842" s="193">
        <v>0</v>
      </c>
      <c r="S842" s="193">
        <v>0</v>
      </c>
      <c r="T842" s="193">
        <f t="shared" si="317"/>
        <v>26029</v>
      </c>
      <c r="U842"/>
      <c r="V842">
        <f>+PRESUPUESTO22[[#This Row],[EJECUTADO ]]-SUM(PRESUPUESTO22[[#This Row],[   ENERO ]:[DIC]])</f>
        <v>0</v>
      </c>
    </row>
    <row r="843" spans="1:23" ht="15.95" customHeight="1" x14ac:dyDescent="0.25">
      <c r="A843" s="52"/>
      <c r="B843" s="156">
        <v>160203</v>
      </c>
      <c r="C843" s="130" t="str">
        <f t="shared" si="301"/>
        <v>E-160203</v>
      </c>
      <c r="D843" s="130">
        <v>793</v>
      </c>
      <c r="E843" s="156" t="s">
        <v>72</v>
      </c>
      <c r="F843" s="216" t="s">
        <v>673</v>
      </c>
      <c r="G843" s="193">
        <v>11000</v>
      </c>
      <c r="H843" s="193">
        <v>0</v>
      </c>
      <c r="I843" s="193">
        <v>0</v>
      </c>
      <c r="J843" s="193">
        <v>0</v>
      </c>
      <c r="K843" s="193">
        <v>0</v>
      </c>
      <c r="L843" s="193">
        <v>0</v>
      </c>
      <c r="M843" s="193">
        <f>480+60</f>
        <v>540</v>
      </c>
      <c r="N843" s="193">
        <f>7560+480</f>
        <v>8040</v>
      </c>
      <c r="O843" s="193">
        <v>320</v>
      </c>
      <c r="P843" s="193">
        <v>0</v>
      </c>
      <c r="Q843" s="193">
        <v>0</v>
      </c>
      <c r="R843" s="193">
        <v>0</v>
      </c>
      <c r="S843" s="193">
        <v>0</v>
      </c>
      <c r="T843" s="193">
        <f t="shared" si="317"/>
        <v>8900</v>
      </c>
      <c r="U843"/>
      <c r="V843">
        <f>+PRESUPUESTO22[[#This Row],[EJECUTADO ]]-SUM(PRESUPUESTO22[[#This Row],[   ENERO ]:[DIC]])</f>
        <v>0</v>
      </c>
    </row>
    <row r="844" spans="1:23" ht="15.95" customHeight="1" x14ac:dyDescent="0.25">
      <c r="A844" s="52"/>
      <c r="B844" s="156">
        <v>160204</v>
      </c>
      <c r="C844" s="130" t="str">
        <f t="shared" si="301"/>
        <v>E-160204</v>
      </c>
      <c r="D844" s="130">
        <v>794</v>
      </c>
      <c r="E844" s="156" t="s">
        <v>72</v>
      </c>
      <c r="F844" s="216" t="s">
        <v>674</v>
      </c>
      <c r="G844" s="193">
        <v>12250</v>
      </c>
      <c r="H844" s="193">
        <v>0</v>
      </c>
      <c r="I844" s="193">
        <v>0</v>
      </c>
      <c r="J844" s="193">
        <v>1530</v>
      </c>
      <c r="K844" s="193">
        <v>0</v>
      </c>
      <c r="L844" s="193">
        <v>3500</v>
      </c>
      <c r="M844" s="193">
        <f>271.2-0.2</f>
        <v>271</v>
      </c>
      <c r="N844" s="193">
        <v>0</v>
      </c>
      <c r="O844" s="193">
        <v>0</v>
      </c>
      <c r="P844" s="193">
        <v>0</v>
      </c>
      <c r="Q844" s="193">
        <v>5950</v>
      </c>
      <c r="R844" s="193">
        <v>0</v>
      </c>
      <c r="S844" s="193">
        <v>0</v>
      </c>
      <c r="T844" s="193">
        <f t="shared" si="317"/>
        <v>11251</v>
      </c>
      <c r="U844"/>
      <c r="V844">
        <f>+PRESUPUESTO22[[#This Row],[EJECUTADO ]]-SUM(PRESUPUESTO22[[#This Row],[   ENERO ]:[DIC]])</f>
        <v>0</v>
      </c>
    </row>
    <row r="845" spans="1:23" ht="15.95" customHeight="1" x14ac:dyDescent="0.25">
      <c r="A845" s="52"/>
      <c r="B845" s="156">
        <v>160205</v>
      </c>
      <c r="C845" s="130" t="str">
        <f t="shared" si="301"/>
        <v>E-160205</v>
      </c>
      <c r="D845" s="130">
        <v>795</v>
      </c>
      <c r="E845" s="156" t="s">
        <v>72</v>
      </c>
      <c r="F845" s="216" t="s">
        <v>675</v>
      </c>
      <c r="G845" s="193">
        <v>0</v>
      </c>
      <c r="H845" s="193">
        <v>0</v>
      </c>
      <c r="I845" s="193">
        <f>852+12</f>
        <v>864</v>
      </c>
      <c r="J845" s="193">
        <v>0</v>
      </c>
      <c r="K845" s="193">
        <v>0</v>
      </c>
      <c r="L845" s="193">
        <v>0</v>
      </c>
      <c r="M845" s="193">
        <v>0</v>
      </c>
      <c r="N845" s="193">
        <f>762+84</f>
        <v>846</v>
      </c>
      <c r="O845" s="193">
        <v>0</v>
      </c>
      <c r="P845" s="193">
        <v>0</v>
      </c>
      <c r="Q845" s="193">
        <v>0</v>
      </c>
      <c r="R845" s="193">
        <v>0</v>
      </c>
      <c r="S845" s="193">
        <v>0</v>
      </c>
      <c r="T845" s="193">
        <f t="shared" si="317"/>
        <v>1710</v>
      </c>
      <c r="U845"/>
      <c r="V845">
        <f>+PRESUPUESTO22[[#This Row],[EJECUTADO ]]-SUM(PRESUPUESTO22[[#This Row],[   ENERO ]:[DIC]])</f>
        <v>0</v>
      </c>
    </row>
    <row r="846" spans="1:23" ht="15.95" customHeight="1" x14ac:dyDescent="0.25">
      <c r="A846" s="52"/>
      <c r="B846" s="156">
        <v>160206</v>
      </c>
      <c r="C846" s="130" t="str">
        <f t="shared" si="301"/>
        <v>E-160206</v>
      </c>
      <c r="D846" s="130">
        <v>796</v>
      </c>
      <c r="E846" s="156" t="s">
        <v>72</v>
      </c>
      <c r="F846" s="216" t="s">
        <v>676</v>
      </c>
      <c r="G846" s="193">
        <v>0</v>
      </c>
      <c r="H846" s="193">
        <v>0</v>
      </c>
      <c r="I846" s="193">
        <v>270</v>
      </c>
      <c r="J846" s="193">
        <v>0</v>
      </c>
      <c r="K846" s="193">
        <v>0</v>
      </c>
      <c r="L846" s="193">
        <v>0</v>
      </c>
      <c r="M846" s="193">
        <f>26550+810</f>
        <v>27360</v>
      </c>
      <c r="N846" s="193">
        <v>675</v>
      </c>
      <c r="O846" s="193">
        <v>405</v>
      </c>
      <c r="P846" s="193">
        <v>0</v>
      </c>
      <c r="Q846" s="193">
        <v>0</v>
      </c>
      <c r="R846" s="193">
        <v>135</v>
      </c>
      <c r="S846" s="193">
        <v>0</v>
      </c>
      <c r="T846" s="193">
        <f t="shared" si="317"/>
        <v>28845</v>
      </c>
      <c r="U846"/>
      <c r="V846">
        <f>+PRESUPUESTO22[[#This Row],[EJECUTADO ]]-SUM(PRESUPUESTO22[[#This Row],[   ENERO ]:[DIC]])</f>
        <v>0</v>
      </c>
    </row>
    <row r="847" spans="1:23" ht="15.95" customHeight="1" x14ac:dyDescent="0.25">
      <c r="A847" s="52"/>
      <c r="B847" s="156">
        <v>160207</v>
      </c>
      <c r="C847" s="130" t="str">
        <f t="shared" si="301"/>
        <v>E-160207</v>
      </c>
      <c r="D847" s="130">
        <v>797</v>
      </c>
      <c r="E847" s="156" t="s">
        <v>72</v>
      </c>
      <c r="F847" s="216" t="s">
        <v>677</v>
      </c>
      <c r="G847" s="193">
        <v>400000</v>
      </c>
      <c r="H847" s="193">
        <v>0</v>
      </c>
      <c r="I847" s="193">
        <v>270</v>
      </c>
      <c r="J847" s="193">
        <v>0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93">
        <v>0</v>
      </c>
      <c r="R847" s="193">
        <v>0</v>
      </c>
      <c r="S847" s="193">
        <v>0</v>
      </c>
      <c r="T847" s="193">
        <f t="shared" si="317"/>
        <v>270</v>
      </c>
      <c r="U847"/>
      <c r="V847">
        <f>+PRESUPUESTO22[[#This Row],[EJECUTADO ]]-SUM(PRESUPUESTO22[[#This Row],[   ENERO ]:[DIC]])</f>
        <v>0</v>
      </c>
    </row>
    <row r="848" spans="1:23" ht="15.95" customHeight="1" x14ac:dyDescent="0.25">
      <c r="A848" s="52">
        <v>3</v>
      </c>
      <c r="B848" s="157">
        <v>1603</v>
      </c>
      <c r="C848" s="130" t="str">
        <f t="shared" si="301"/>
        <v>E-1603</v>
      </c>
      <c r="D848" s="130">
        <v>798</v>
      </c>
      <c r="E848" s="157" t="s">
        <v>69</v>
      </c>
      <c r="F848" s="219" t="s">
        <v>678</v>
      </c>
      <c r="G848" s="190">
        <f>+G849</f>
        <v>140000</v>
      </c>
      <c r="H848" s="190">
        <f t="shared" ref="H848:T848" si="318">+H849</f>
        <v>17</v>
      </c>
      <c r="I848" s="190">
        <f t="shared" si="318"/>
        <v>0</v>
      </c>
      <c r="J848" s="190">
        <f t="shared" si="318"/>
        <v>83770</v>
      </c>
      <c r="K848" s="190">
        <f t="shared" si="318"/>
        <v>6029</v>
      </c>
      <c r="L848" s="190">
        <f t="shared" si="318"/>
        <v>63</v>
      </c>
      <c r="M848" s="190">
        <f t="shared" si="318"/>
        <v>4858</v>
      </c>
      <c r="N848" s="190">
        <f t="shared" si="318"/>
        <v>187</v>
      </c>
      <c r="O848" s="190">
        <f t="shared" si="318"/>
        <v>0</v>
      </c>
      <c r="P848" s="190">
        <f t="shared" si="318"/>
        <v>272</v>
      </c>
      <c r="Q848" s="190">
        <f t="shared" si="318"/>
        <v>67000</v>
      </c>
      <c r="R848" s="190">
        <f t="shared" si="318"/>
        <v>17017</v>
      </c>
      <c r="S848" s="190">
        <f t="shared" si="318"/>
        <v>0</v>
      </c>
      <c r="T848" s="190">
        <f t="shared" si="318"/>
        <v>179213</v>
      </c>
      <c r="U848"/>
      <c r="V848">
        <f>+PRESUPUESTO22[[#This Row],[EJECUTADO ]]-SUM(PRESUPUESTO22[[#This Row],[   ENERO ]:[DIC]])</f>
        <v>0</v>
      </c>
    </row>
    <row r="849" spans="1:24" ht="15.95" customHeight="1" x14ac:dyDescent="0.25">
      <c r="A849" s="52"/>
      <c r="B849" s="151">
        <v>160301</v>
      </c>
      <c r="C849" s="130" t="str">
        <f t="shared" si="301"/>
        <v>E-160301</v>
      </c>
      <c r="D849" s="130">
        <v>799</v>
      </c>
      <c r="E849" s="151" t="s">
        <v>72</v>
      </c>
      <c r="F849" s="208" t="s">
        <v>679</v>
      </c>
      <c r="G849" s="192">
        <v>140000</v>
      </c>
      <c r="H849" s="192">
        <f t="shared" ref="H849:T849" si="319">SUM(H850:H861)</f>
        <v>17</v>
      </c>
      <c r="I849" s="192">
        <f t="shared" si="319"/>
        <v>0</v>
      </c>
      <c r="J849" s="192">
        <f t="shared" si="319"/>
        <v>83770</v>
      </c>
      <c r="K849" s="192">
        <f t="shared" si="319"/>
        <v>6029</v>
      </c>
      <c r="L849" s="192">
        <f t="shared" si="319"/>
        <v>63</v>
      </c>
      <c r="M849" s="192">
        <f t="shared" si="319"/>
        <v>4858</v>
      </c>
      <c r="N849" s="192">
        <f t="shared" si="319"/>
        <v>187</v>
      </c>
      <c r="O849" s="192">
        <f t="shared" si="319"/>
        <v>0</v>
      </c>
      <c r="P849" s="192">
        <f t="shared" si="319"/>
        <v>272</v>
      </c>
      <c r="Q849" s="192">
        <f t="shared" si="319"/>
        <v>67000</v>
      </c>
      <c r="R849" s="192">
        <f t="shared" si="319"/>
        <v>17017</v>
      </c>
      <c r="S849" s="192">
        <f t="shared" si="319"/>
        <v>0</v>
      </c>
      <c r="T849" s="192">
        <f t="shared" si="319"/>
        <v>179213</v>
      </c>
      <c r="U849"/>
      <c r="V849">
        <f>+PRESUPUESTO22[[#This Row],[EJECUTADO ]]-SUM(PRESUPUESTO22[[#This Row],[   ENERO ]:[DIC]])</f>
        <v>0</v>
      </c>
    </row>
    <row r="850" spans="1:24" ht="15.95" customHeight="1" x14ac:dyDescent="0.25">
      <c r="A850" s="52"/>
      <c r="B850" s="156">
        <v>160302</v>
      </c>
      <c r="C850" s="130" t="str">
        <f t="shared" si="301"/>
        <v>E-160302</v>
      </c>
      <c r="D850" s="130">
        <v>800</v>
      </c>
      <c r="E850" s="156" t="s">
        <v>69</v>
      </c>
      <c r="F850" s="216" t="s">
        <v>680</v>
      </c>
      <c r="G850" s="193">
        <v>0</v>
      </c>
      <c r="H850" s="193">
        <v>0</v>
      </c>
      <c r="I850" s="193">
        <v>0</v>
      </c>
      <c r="J850" s="193">
        <f>44+77632</f>
        <v>77676</v>
      </c>
      <c r="K850" s="193">
        <f>48.59+0.41</f>
        <v>49</v>
      </c>
      <c r="L850" s="193">
        <f>48.59+0.41</f>
        <v>49</v>
      </c>
      <c r="M850" s="193">
        <f>132.31-0.31</f>
        <v>132</v>
      </c>
      <c r="N850" s="193">
        <f>176.28-0.28</f>
        <v>176</v>
      </c>
      <c r="O850" s="193">
        <v>0</v>
      </c>
      <c r="P850" s="193">
        <v>176</v>
      </c>
      <c r="Q850" s="193">
        <f>57158.79+0.21</f>
        <v>57159</v>
      </c>
      <c r="R850" s="193">
        <f>88.84+0.16</f>
        <v>89</v>
      </c>
      <c r="S850" s="193">
        <v>0</v>
      </c>
      <c r="T850" s="193">
        <f t="shared" ref="T850:T861" si="320">SUM(H850:S850)</f>
        <v>135506</v>
      </c>
      <c r="U850"/>
      <c r="V850">
        <f>+PRESUPUESTO22[[#This Row],[EJECUTADO ]]-SUM(PRESUPUESTO22[[#This Row],[   ENERO ]:[DIC]])</f>
        <v>0</v>
      </c>
    </row>
    <row r="851" spans="1:24" ht="15.95" customHeight="1" x14ac:dyDescent="0.25">
      <c r="A851" s="52"/>
      <c r="B851" s="156">
        <v>160303</v>
      </c>
      <c r="C851" s="130" t="str">
        <f t="shared" si="301"/>
        <v>E-160303</v>
      </c>
      <c r="D851" s="130">
        <v>801</v>
      </c>
      <c r="E851" s="156" t="s">
        <v>69</v>
      </c>
      <c r="F851" s="216" t="s">
        <v>518</v>
      </c>
      <c r="G851" s="193">
        <v>0</v>
      </c>
      <c r="H851" s="193">
        <v>0</v>
      </c>
      <c r="I851" s="193">
        <v>0</v>
      </c>
      <c r="J851" s="193">
        <v>0</v>
      </c>
      <c r="K851" s="193">
        <f>13.56+22.5-0.06</f>
        <v>36</v>
      </c>
      <c r="L851" s="193">
        <f>13.56+0.44</f>
        <v>14</v>
      </c>
      <c r="M851" s="193">
        <f>1106.27-0.27</f>
        <v>1106</v>
      </c>
      <c r="N851" s="193">
        <v>5</v>
      </c>
      <c r="O851" s="193">
        <v>0</v>
      </c>
      <c r="P851" s="193">
        <v>0</v>
      </c>
      <c r="Q851" s="193">
        <f>4985.28-0.28</f>
        <v>4985</v>
      </c>
      <c r="R851" s="193">
        <f>925.47-0.47</f>
        <v>925</v>
      </c>
      <c r="S851" s="193">
        <v>0</v>
      </c>
      <c r="T851" s="193">
        <f t="shared" si="320"/>
        <v>7071</v>
      </c>
      <c r="U851"/>
      <c r="V851">
        <f>+PRESUPUESTO22[[#This Row],[EJECUTADO ]]-SUM(PRESUPUESTO22[[#This Row],[   ENERO ]:[DIC]])</f>
        <v>0</v>
      </c>
      <c r="W851" s="7" t="s">
        <v>1</v>
      </c>
    </row>
    <row r="852" spans="1:24" ht="15.95" customHeight="1" x14ac:dyDescent="0.25">
      <c r="A852" s="52"/>
      <c r="B852" s="156">
        <v>160304</v>
      </c>
      <c r="C852" s="130" t="str">
        <f t="shared" si="301"/>
        <v>E-160304</v>
      </c>
      <c r="D852" s="130">
        <v>802</v>
      </c>
      <c r="E852" s="156" t="s">
        <v>69</v>
      </c>
      <c r="F852" s="216" t="s">
        <v>681</v>
      </c>
      <c r="G852" s="193">
        <v>0</v>
      </c>
      <c r="H852" s="193">
        <v>0</v>
      </c>
      <c r="I852" s="193">
        <v>0</v>
      </c>
      <c r="J852" s="193">
        <v>0</v>
      </c>
      <c r="K852" s="193">
        <v>0</v>
      </c>
      <c r="L852" s="193">
        <v>0</v>
      </c>
      <c r="M852" s="193">
        <f>3602.42-0.42</f>
        <v>3602</v>
      </c>
      <c r="N852" s="193">
        <v>0</v>
      </c>
      <c r="O852" s="193">
        <v>0</v>
      </c>
      <c r="P852" s="193">
        <v>0</v>
      </c>
      <c r="Q852" s="193">
        <v>0</v>
      </c>
      <c r="R852" s="193">
        <f>2898.57+0.43</f>
        <v>2899</v>
      </c>
      <c r="S852" s="193">
        <v>0</v>
      </c>
      <c r="T852" s="193">
        <f t="shared" si="320"/>
        <v>6501</v>
      </c>
      <c r="U852"/>
      <c r="V852">
        <f>+PRESUPUESTO22[[#This Row],[EJECUTADO ]]-SUM(PRESUPUESTO22[[#This Row],[   ENERO ]:[DIC]])</f>
        <v>0</v>
      </c>
    </row>
    <row r="853" spans="1:24" ht="15.95" customHeight="1" x14ac:dyDescent="0.25">
      <c r="A853" s="52"/>
      <c r="B853" s="156">
        <v>160310</v>
      </c>
      <c r="C853" s="130" t="str">
        <f>"E"&amp;"-0"&amp;B853</f>
        <v>E-0160310</v>
      </c>
      <c r="D853" s="130">
        <v>803</v>
      </c>
      <c r="E853" s="156" t="s">
        <v>69</v>
      </c>
      <c r="F853" s="216" t="s">
        <v>1425</v>
      </c>
      <c r="G853" s="193">
        <v>0</v>
      </c>
      <c r="H853" s="193"/>
      <c r="I853" s="193"/>
      <c r="J853" s="193"/>
      <c r="K853" s="193"/>
      <c r="L853" s="193"/>
      <c r="M853" s="193"/>
      <c r="N853" s="193"/>
      <c r="O853" s="193"/>
      <c r="P853" s="193">
        <v>0</v>
      </c>
      <c r="Q853" s="193">
        <f>4511.24-0.24</f>
        <v>4511</v>
      </c>
      <c r="R853" s="193">
        <f>10526.56+0.44</f>
        <v>10527</v>
      </c>
      <c r="S853" s="193">
        <v>0</v>
      </c>
      <c r="T853" s="193">
        <f t="shared" si="320"/>
        <v>15038</v>
      </c>
      <c r="U853"/>
      <c r="V853">
        <f>+PRESUPUESTO22[[#This Row],[EJECUTADO ]]-SUM(PRESUPUESTO22[[#This Row],[   ENERO ]:[DIC]])</f>
        <v>0</v>
      </c>
    </row>
    <row r="854" spans="1:24" ht="15.95" customHeight="1" x14ac:dyDescent="0.25">
      <c r="A854" s="52"/>
      <c r="B854" s="156">
        <v>160305</v>
      </c>
      <c r="C854" s="130" t="str">
        <f t="shared" si="301"/>
        <v>E-160305</v>
      </c>
      <c r="D854" s="130">
        <v>804</v>
      </c>
      <c r="E854" s="156" t="s">
        <v>69</v>
      </c>
      <c r="F854" s="216" t="s">
        <v>682</v>
      </c>
      <c r="G854" s="193">
        <v>0</v>
      </c>
      <c r="H854" s="193">
        <v>0</v>
      </c>
      <c r="I854" s="193">
        <v>0</v>
      </c>
      <c r="J854" s="193">
        <v>0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f>95.87+0.13</f>
        <v>96</v>
      </c>
      <c r="Q854" s="193">
        <v>0</v>
      </c>
      <c r="R854" s="193">
        <v>0</v>
      </c>
      <c r="S854" s="193">
        <v>0</v>
      </c>
      <c r="T854" s="193">
        <f t="shared" si="320"/>
        <v>96</v>
      </c>
      <c r="U854"/>
      <c r="V854">
        <f>+PRESUPUESTO22[[#This Row],[EJECUTADO ]]-SUM(PRESUPUESTO22[[#This Row],[   ENERO ]:[DIC]])</f>
        <v>0</v>
      </c>
    </row>
    <row r="855" spans="1:24" ht="15.95" customHeight="1" x14ac:dyDescent="0.25">
      <c r="A855" s="52"/>
      <c r="B855" s="156">
        <v>160306</v>
      </c>
      <c r="C855" s="130" t="str">
        <f t="shared" ref="C855:C918" si="321">"E"&amp;"-"&amp;B855</f>
        <v>E-160306</v>
      </c>
      <c r="D855" s="130">
        <v>805</v>
      </c>
      <c r="E855" s="156" t="s">
        <v>69</v>
      </c>
      <c r="F855" s="216" t="s">
        <v>1426</v>
      </c>
      <c r="G855" s="193">
        <v>0</v>
      </c>
      <c r="H855" s="193">
        <v>0</v>
      </c>
      <c r="I855" s="193">
        <v>0</v>
      </c>
      <c r="J855" s="193">
        <v>0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93">
        <f>288.8+0.2</f>
        <v>289</v>
      </c>
      <c r="R855" s="193">
        <v>0</v>
      </c>
      <c r="S855" s="193">
        <v>0</v>
      </c>
      <c r="T855" s="193">
        <f t="shared" si="320"/>
        <v>289</v>
      </c>
      <c r="U855"/>
      <c r="V855">
        <f>+PRESUPUESTO22[[#This Row],[EJECUTADO ]]-SUM(PRESUPUESTO22[[#This Row],[   ENERO ]:[DIC]])</f>
        <v>0</v>
      </c>
      <c r="W855"/>
      <c r="X855"/>
    </row>
    <row r="856" spans="1:24" ht="15.95" customHeight="1" x14ac:dyDescent="0.25">
      <c r="A856" s="52"/>
      <c r="B856" s="156">
        <v>160307</v>
      </c>
      <c r="C856" s="130" t="str">
        <f t="shared" si="321"/>
        <v>E-160307</v>
      </c>
      <c r="D856" s="130">
        <v>806</v>
      </c>
      <c r="E856" s="156" t="s">
        <v>69</v>
      </c>
      <c r="F856" s="216" t="s">
        <v>683</v>
      </c>
      <c r="G856" s="193">
        <v>0</v>
      </c>
      <c r="H856" s="193">
        <v>0</v>
      </c>
      <c r="I856" s="193">
        <v>0</v>
      </c>
      <c r="J856" s="193">
        <f>5943.8+0.2</f>
        <v>5944</v>
      </c>
      <c r="K856" s="193">
        <f>5943.8+0.2</f>
        <v>5944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93">
        <v>0</v>
      </c>
      <c r="R856" s="193">
        <v>0</v>
      </c>
      <c r="S856" s="193">
        <v>0</v>
      </c>
      <c r="T856" s="193">
        <f t="shared" si="320"/>
        <v>11888</v>
      </c>
      <c r="U856"/>
      <c r="V856">
        <f>+PRESUPUESTO22[[#This Row],[EJECUTADO ]]-SUM(PRESUPUESTO22[[#This Row],[   ENERO ]:[DIC]])</f>
        <v>0</v>
      </c>
      <c r="W856"/>
      <c r="X856"/>
    </row>
    <row r="857" spans="1:24" ht="15.95" customHeight="1" x14ac:dyDescent="0.25">
      <c r="A857" s="52"/>
      <c r="B857" s="156">
        <v>160308</v>
      </c>
      <c r="C857" s="130" t="str">
        <f t="shared" si="321"/>
        <v>E-160308</v>
      </c>
      <c r="D857" s="130">
        <v>807</v>
      </c>
      <c r="E857" s="156" t="s">
        <v>69</v>
      </c>
      <c r="F857" s="216" t="s">
        <v>684</v>
      </c>
      <c r="G857" s="193">
        <v>0</v>
      </c>
      <c r="H857" s="193">
        <f>16.5+0.5</f>
        <v>17</v>
      </c>
      <c r="I857" s="193">
        <v>0</v>
      </c>
      <c r="J857" s="193">
        <v>150</v>
      </c>
      <c r="K857" s="193">
        <v>0</v>
      </c>
      <c r="L857" s="193">
        <v>0</v>
      </c>
      <c r="M857" s="193">
        <v>0</v>
      </c>
      <c r="N857" s="193">
        <f>5.59+0.41</f>
        <v>6</v>
      </c>
      <c r="O857" s="193">
        <v>0</v>
      </c>
      <c r="P857" s="193">
        <v>0</v>
      </c>
      <c r="Q857" s="193">
        <f>55.57+0.43</f>
        <v>56</v>
      </c>
      <c r="R857" s="193">
        <v>396</v>
      </c>
      <c r="S857" s="193">
        <v>0</v>
      </c>
      <c r="T857" s="193">
        <f t="shared" si="320"/>
        <v>625</v>
      </c>
      <c r="U857"/>
      <c r="V857">
        <f>+PRESUPUESTO22[[#This Row],[EJECUTADO ]]-SUM(PRESUPUESTO22[[#This Row],[   ENERO ]:[DIC]])</f>
        <v>0</v>
      </c>
    </row>
    <row r="858" spans="1:24" ht="15.95" customHeight="1" x14ac:dyDescent="0.25">
      <c r="A858" s="52"/>
      <c r="B858" s="156">
        <v>160309</v>
      </c>
      <c r="C858" s="130" t="str">
        <f t="shared" si="321"/>
        <v>E-160309</v>
      </c>
      <c r="D858" s="130">
        <v>808</v>
      </c>
      <c r="E858" s="156" t="s">
        <v>69</v>
      </c>
      <c r="F858" s="216" t="s">
        <v>685</v>
      </c>
      <c r="G858" s="193">
        <v>0</v>
      </c>
      <c r="H858" s="193">
        <v>0</v>
      </c>
      <c r="I858" s="193">
        <v>0</v>
      </c>
      <c r="J858" s="193">
        <v>0</v>
      </c>
      <c r="K858" s="193">
        <v>0</v>
      </c>
      <c r="L858" s="193">
        <v>0</v>
      </c>
      <c r="M858" s="193">
        <f>17.88+0.12</f>
        <v>18</v>
      </c>
      <c r="N858" s="193">
        <v>0</v>
      </c>
      <c r="O858" s="193">
        <v>0</v>
      </c>
      <c r="P858" s="193">
        <v>0</v>
      </c>
      <c r="Q858" s="193">
        <v>0</v>
      </c>
      <c r="R858" s="193">
        <f>8.94+0.06</f>
        <v>9</v>
      </c>
      <c r="S858" s="193">
        <v>0</v>
      </c>
      <c r="T858" s="193">
        <f t="shared" si="320"/>
        <v>27</v>
      </c>
      <c r="U858"/>
      <c r="V858">
        <f>+PRESUPUESTO22[[#This Row],[EJECUTADO ]]-SUM(PRESUPUESTO22[[#This Row],[   ENERO ]:[DIC]])</f>
        <v>0</v>
      </c>
    </row>
    <row r="859" spans="1:24" ht="15.95" customHeight="1" x14ac:dyDescent="0.25">
      <c r="A859" s="52"/>
      <c r="B859" s="156">
        <v>160311</v>
      </c>
      <c r="C859" s="358" t="str">
        <f t="shared" ref="C859:C861" si="322">"E"&amp;"-0"&amp;B859</f>
        <v>E-0160311</v>
      </c>
      <c r="D859" s="130">
        <v>809</v>
      </c>
      <c r="E859" s="156" t="s">
        <v>69</v>
      </c>
      <c r="F859" s="216" t="s">
        <v>1427</v>
      </c>
      <c r="G859" s="193">
        <v>0</v>
      </c>
      <c r="H859" s="193"/>
      <c r="I859" s="193"/>
      <c r="J859" s="193"/>
      <c r="K859" s="193"/>
      <c r="L859" s="193"/>
      <c r="M859" s="193"/>
      <c r="N859" s="193">
        <v>0</v>
      </c>
      <c r="O859" s="193">
        <v>0</v>
      </c>
      <c r="P859" s="193">
        <v>0</v>
      </c>
      <c r="Q859" s="193">
        <v>0</v>
      </c>
      <c r="R859" s="193">
        <v>1200</v>
      </c>
      <c r="S859" s="193">
        <v>0</v>
      </c>
      <c r="T859" s="193">
        <f t="shared" si="320"/>
        <v>1200</v>
      </c>
      <c r="U859"/>
      <c r="V859">
        <f>+PRESUPUESTO22[[#This Row],[EJECUTADO ]]-SUM(PRESUPUESTO22[[#This Row],[   ENERO ]:[DIC]])</f>
        <v>0</v>
      </c>
    </row>
    <row r="860" spans="1:24" ht="15.95" customHeight="1" x14ac:dyDescent="0.25">
      <c r="A860" s="52"/>
      <c r="B860" s="156">
        <v>160312</v>
      </c>
      <c r="C860" s="358" t="str">
        <f t="shared" si="322"/>
        <v>E-0160312</v>
      </c>
      <c r="D860" s="130">
        <v>810</v>
      </c>
      <c r="E860" s="156" t="s">
        <v>69</v>
      </c>
      <c r="F860" s="216" t="s">
        <v>1428</v>
      </c>
      <c r="G860" s="193">
        <v>0</v>
      </c>
      <c r="H860" s="193"/>
      <c r="I860" s="193"/>
      <c r="J860" s="193"/>
      <c r="K860" s="193"/>
      <c r="L860" s="193"/>
      <c r="M860" s="193"/>
      <c r="N860" s="193">
        <v>0</v>
      </c>
      <c r="O860" s="193">
        <v>0</v>
      </c>
      <c r="P860" s="193">
        <v>0</v>
      </c>
      <c r="Q860" s="193">
        <v>0</v>
      </c>
      <c r="R860" s="193">
        <v>375</v>
      </c>
      <c r="S860" s="193">
        <v>0</v>
      </c>
      <c r="T860" s="193">
        <f t="shared" si="320"/>
        <v>375</v>
      </c>
      <c r="U860"/>
      <c r="V860">
        <f>+PRESUPUESTO22[[#This Row],[EJECUTADO ]]-SUM(PRESUPUESTO22[[#This Row],[   ENERO ]:[DIC]])</f>
        <v>0</v>
      </c>
    </row>
    <row r="861" spans="1:24" ht="15.95" customHeight="1" x14ac:dyDescent="0.25">
      <c r="A861" s="52"/>
      <c r="B861" s="156">
        <v>160313</v>
      </c>
      <c r="C861" s="130" t="str">
        <f t="shared" si="322"/>
        <v>E-0160313</v>
      </c>
      <c r="D861" s="130">
        <v>811</v>
      </c>
      <c r="E861" s="156" t="s">
        <v>69</v>
      </c>
      <c r="F861" s="216" t="s">
        <v>1429</v>
      </c>
      <c r="G861" s="193">
        <v>0</v>
      </c>
      <c r="H861" s="193"/>
      <c r="I861" s="193"/>
      <c r="J861" s="193"/>
      <c r="K861" s="193"/>
      <c r="L861" s="193"/>
      <c r="M861" s="193"/>
      <c r="N861" s="193">
        <v>0</v>
      </c>
      <c r="O861" s="193">
        <v>0</v>
      </c>
      <c r="P861" s="193">
        <v>0</v>
      </c>
      <c r="Q861" s="193">
        <v>0</v>
      </c>
      <c r="R861" s="193">
        <f>596.75+0.25</f>
        <v>597</v>
      </c>
      <c r="S861" s="193">
        <v>0</v>
      </c>
      <c r="T861" s="193">
        <f t="shared" si="320"/>
        <v>597</v>
      </c>
      <c r="U861"/>
      <c r="V861">
        <f>+PRESUPUESTO22[[#This Row],[EJECUTADO ]]-SUM(PRESUPUESTO22[[#This Row],[   ENERO ]:[DIC]])</f>
        <v>0</v>
      </c>
    </row>
    <row r="862" spans="1:24" ht="15.95" customHeight="1" x14ac:dyDescent="0.25">
      <c r="A862" s="52">
        <v>4</v>
      </c>
      <c r="B862" s="157">
        <v>1604</v>
      </c>
      <c r="C862" s="130" t="str">
        <f t="shared" si="321"/>
        <v>E-1604</v>
      </c>
      <c r="D862" s="130">
        <v>812</v>
      </c>
      <c r="E862" s="157" t="s">
        <v>69</v>
      </c>
      <c r="F862" s="219" t="s">
        <v>686</v>
      </c>
      <c r="G862" s="23">
        <f>SUM(G863:G864)</f>
        <v>17200</v>
      </c>
      <c r="H862" s="23">
        <f t="shared" ref="H862:T862" si="323">SUM(H863:H864)</f>
        <v>1020</v>
      </c>
      <c r="I862" s="23">
        <f t="shared" si="323"/>
        <v>1020</v>
      </c>
      <c r="J862" s="23">
        <f t="shared" si="323"/>
        <v>1027</v>
      </c>
      <c r="K862" s="23">
        <f t="shared" si="323"/>
        <v>1020</v>
      </c>
      <c r="L862" s="23">
        <f t="shared" si="323"/>
        <v>1020</v>
      </c>
      <c r="M862" s="23">
        <f t="shared" si="323"/>
        <v>1020</v>
      </c>
      <c r="N862" s="23">
        <f t="shared" si="323"/>
        <v>1020</v>
      </c>
      <c r="O862" s="23">
        <f t="shared" si="323"/>
        <v>1020</v>
      </c>
      <c r="P862" s="23">
        <f t="shared" si="323"/>
        <v>900</v>
      </c>
      <c r="Q862" s="23">
        <f t="shared" si="323"/>
        <v>900</v>
      </c>
      <c r="R862" s="23">
        <f t="shared" si="323"/>
        <v>900</v>
      </c>
      <c r="S862" s="23">
        <f t="shared" si="323"/>
        <v>0</v>
      </c>
      <c r="T862" s="23">
        <f t="shared" si="323"/>
        <v>10867</v>
      </c>
      <c r="U862"/>
      <c r="V862">
        <f>+PRESUPUESTO22[[#This Row],[EJECUTADO ]]-SUM(PRESUPUESTO22[[#This Row],[   ENERO ]:[DIC]])</f>
        <v>0</v>
      </c>
    </row>
    <row r="863" spans="1:24" ht="15.95" customHeight="1" x14ac:dyDescent="0.25">
      <c r="A863" s="52"/>
      <c r="B863" s="156">
        <v>160401</v>
      </c>
      <c r="C863" s="130" t="str">
        <f t="shared" si="321"/>
        <v>E-160401</v>
      </c>
      <c r="D863" s="130">
        <v>813</v>
      </c>
      <c r="E863" s="156" t="s">
        <v>72</v>
      </c>
      <c r="F863" s="216" t="s">
        <v>687</v>
      </c>
      <c r="G863" s="193">
        <v>5000</v>
      </c>
      <c r="H863" s="193">
        <v>0</v>
      </c>
      <c r="I863" s="193">
        <v>0</v>
      </c>
      <c r="J863" s="193">
        <f>7.42-0.42</f>
        <v>7</v>
      </c>
      <c r="K863" s="193">
        <v>0</v>
      </c>
      <c r="L863" s="193">
        <v>0</v>
      </c>
      <c r="M863" s="193">
        <v>0</v>
      </c>
      <c r="N863" s="193">
        <v>0</v>
      </c>
      <c r="O863" s="193">
        <v>0</v>
      </c>
      <c r="P863" s="193">
        <v>0</v>
      </c>
      <c r="Q863" s="193">
        <v>0</v>
      </c>
      <c r="R863" s="193">
        <v>0</v>
      </c>
      <c r="S863" s="193">
        <v>0</v>
      </c>
      <c r="T863" s="193">
        <f>SUM(H863:S863)</f>
        <v>7</v>
      </c>
      <c r="U863"/>
      <c r="V863">
        <f>+PRESUPUESTO22[[#This Row],[EJECUTADO ]]-SUM(PRESUPUESTO22[[#This Row],[   ENERO ]:[DIC]])</f>
        <v>0</v>
      </c>
      <c r="W863"/>
    </row>
    <row r="864" spans="1:24" ht="15.95" customHeight="1" x14ac:dyDescent="0.25">
      <c r="A864" s="52"/>
      <c r="B864" s="137">
        <v>160402</v>
      </c>
      <c r="C864" s="130" t="str">
        <f t="shared" si="321"/>
        <v>E-160402</v>
      </c>
      <c r="D864" s="130">
        <v>814</v>
      </c>
      <c r="E864" s="137" t="s">
        <v>72</v>
      </c>
      <c r="F864" s="57" t="s">
        <v>494</v>
      </c>
      <c r="G864" s="360">
        <v>12200</v>
      </c>
      <c r="H864" s="193">
        <v>1020</v>
      </c>
      <c r="I864" s="193">
        <v>1020</v>
      </c>
      <c r="J864" s="193">
        <v>1020</v>
      </c>
      <c r="K864" s="193">
        <v>1020</v>
      </c>
      <c r="L864" s="193">
        <v>1020</v>
      </c>
      <c r="M864" s="193">
        <v>1020</v>
      </c>
      <c r="N864" s="193">
        <v>1020</v>
      </c>
      <c r="O864" s="193">
        <v>1020</v>
      </c>
      <c r="P864" s="193">
        <v>900</v>
      </c>
      <c r="Q864" s="193">
        <v>900</v>
      </c>
      <c r="R864" s="193">
        <v>900</v>
      </c>
      <c r="S864" s="193">
        <v>0</v>
      </c>
      <c r="T864" s="193">
        <f>SUM(H864:S864)</f>
        <v>10860</v>
      </c>
      <c r="U864"/>
      <c r="V864">
        <f>+PRESUPUESTO22[[#This Row],[EJECUTADO ]]-SUM(PRESUPUESTO22[[#This Row],[   ENERO ]:[DIC]])</f>
        <v>0</v>
      </c>
      <c r="W864"/>
    </row>
    <row r="865" spans="1:24" ht="15.95" customHeight="1" x14ac:dyDescent="0.25">
      <c r="A865" s="49">
        <v>17</v>
      </c>
      <c r="B865" s="131">
        <v>17</v>
      </c>
      <c r="C865" s="130" t="str">
        <f t="shared" si="321"/>
        <v>E-17</v>
      </c>
      <c r="D865" s="130">
        <v>815</v>
      </c>
      <c r="E865" s="131" t="s">
        <v>67</v>
      </c>
      <c r="F865" s="50" t="s">
        <v>42</v>
      </c>
      <c r="G865" s="188">
        <v>1450000</v>
      </c>
      <c r="H865" s="188">
        <f t="shared" ref="H865:T865" si="324">+H866+H870</f>
        <v>118589</v>
      </c>
      <c r="I865" s="188">
        <f t="shared" si="324"/>
        <v>119921</v>
      </c>
      <c r="J865" s="188">
        <f t="shared" si="324"/>
        <v>120384</v>
      </c>
      <c r="K865" s="188">
        <f t="shared" si="324"/>
        <v>119970</v>
      </c>
      <c r="L865" s="188">
        <f t="shared" si="324"/>
        <v>120939</v>
      </c>
      <c r="M865" s="188">
        <f t="shared" si="324"/>
        <v>119070</v>
      </c>
      <c r="N865" s="188">
        <f t="shared" si="324"/>
        <v>120514</v>
      </c>
      <c r="O865" s="188">
        <f t="shared" si="324"/>
        <v>118051</v>
      </c>
      <c r="P865" s="188">
        <f t="shared" si="324"/>
        <v>121870</v>
      </c>
      <c r="Q865" s="188">
        <f t="shared" si="324"/>
        <v>118766</v>
      </c>
      <c r="R865" s="188">
        <f t="shared" si="324"/>
        <v>120528</v>
      </c>
      <c r="S865" s="188">
        <f t="shared" si="324"/>
        <v>0</v>
      </c>
      <c r="T865" s="188">
        <f t="shared" si="324"/>
        <v>1318602</v>
      </c>
      <c r="U865" s="8" t="s">
        <v>1</v>
      </c>
      <c r="V865">
        <f>+PRESUPUESTO22[[#This Row],[EJECUTADO ]]-SUM(PRESUPUESTO22[[#This Row],[   ENERO ]:[DIC]])</f>
        <v>0</v>
      </c>
      <c r="W865"/>
    </row>
    <row r="866" spans="1:24" ht="15.95" customHeight="1" x14ac:dyDescent="0.25">
      <c r="A866" s="52">
        <v>1</v>
      </c>
      <c r="B866" s="157">
        <v>1701</v>
      </c>
      <c r="C866" s="130" t="str">
        <f t="shared" si="321"/>
        <v>E-1701</v>
      </c>
      <c r="D866" s="130">
        <v>816</v>
      </c>
      <c r="E866" s="157" t="s">
        <v>69</v>
      </c>
      <c r="F866" s="219" t="s">
        <v>688</v>
      </c>
      <c r="G866" s="190">
        <f>SUM(G867:G869)</f>
        <v>1393600</v>
      </c>
      <c r="H866" s="190">
        <f>SUM(H867:H869)</f>
        <v>116800</v>
      </c>
      <c r="I866" s="190">
        <f t="shared" ref="I866:T866" si="325">SUM(I867:I869)</f>
        <v>116800</v>
      </c>
      <c r="J866" s="190">
        <f t="shared" si="325"/>
        <v>116000</v>
      </c>
      <c r="K866" s="190">
        <f t="shared" si="325"/>
        <v>116000</v>
      </c>
      <c r="L866" s="190">
        <f t="shared" si="325"/>
        <v>116000</v>
      </c>
      <c r="M866" s="190">
        <f t="shared" si="325"/>
        <v>116000</v>
      </c>
      <c r="N866" s="190">
        <f t="shared" si="325"/>
        <v>116000</v>
      </c>
      <c r="O866" s="190">
        <f t="shared" si="325"/>
        <v>116000</v>
      </c>
      <c r="P866" s="190">
        <f t="shared" si="325"/>
        <v>116000</v>
      </c>
      <c r="Q866" s="190">
        <f t="shared" si="325"/>
        <v>116000</v>
      </c>
      <c r="R866" s="190">
        <f t="shared" si="325"/>
        <v>116000</v>
      </c>
      <c r="S866" s="190">
        <f t="shared" si="325"/>
        <v>0</v>
      </c>
      <c r="T866" s="190">
        <f t="shared" si="325"/>
        <v>1277600</v>
      </c>
      <c r="U866"/>
      <c r="V866">
        <f>+PRESUPUESTO22[[#This Row],[EJECUTADO ]]-SUM(PRESUPUESTO22[[#This Row],[   ENERO ]:[DIC]])</f>
        <v>0</v>
      </c>
      <c r="W866"/>
    </row>
    <row r="867" spans="1:24" ht="18.75" customHeight="1" x14ac:dyDescent="0.25">
      <c r="A867" s="52"/>
      <c r="B867" s="156">
        <v>170101</v>
      </c>
      <c r="C867" s="130" t="str">
        <f t="shared" si="321"/>
        <v>E-170101</v>
      </c>
      <c r="D867" s="130">
        <v>817</v>
      </c>
      <c r="E867" s="156" t="s">
        <v>72</v>
      </c>
      <c r="F867" s="216" t="s">
        <v>689</v>
      </c>
      <c r="G867" s="193">
        <f>116000*12</f>
        <v>1392000</v>
      </c>
      <c r="H867" s="193">
        <v>116000</v>
      </c>
      <c r="I867" s="193">
        <v>116000</v>
      </c>
      <c r="J867" s="193">
        <v>116000</v>
      </c>
      <c r="K867" s="193">
        <v>116000</v>
      </c>
      <c r="L867" s="193">
        <v>116000</v>
      </c>
      <c r="M867" s="193">
        <v>116000</v>
      </c>
      <c r="N867" s="193">
        <v>116000</v>
      </c>
      <c r="O867" s="193">
        <v>116000</v>
      </c>
      <c r="P867" s="193">
        <v>116000</v>
      </c>
      <c r="Q867" s="193">
        <v>116000</v>
      </c>
      <c r="R867" s="193">
        <v>116000</v>
      </c>
      <c r="S867" s="193">
        <v>0</v>
      </c>
      <c r="T867" s="193">
        <f>SUM(H867:S867)</f>
        <v>1276000</v>
      </c>
      <c r="U867"/>
      <c r="V867">
        <f>+PRESUPUESTO22[[#This Row],[EJECUTADO ]]-SUM(PRESUPUESTO22[[#This Row],[   ENERO ]:[DIC]])</f>
        <v>0</v>
      </c>
      <c r="W867"/>
      <c r="X867"/>
    </row>
    <row r="868" spans="1:24" ht="16.5" customHeight="1" x14ac:dyDescent="0.25">
      <c r="A868" s="52"/>
      <c r="B868" s="156">
        <v>170102</v>
      </c>
      <c r="C868" s="130" t="str">
        <f t="shared" si="321"/>
        <v>E-170102</v>
      </c>
      <c r="D868" s="130">
        <v>818</v>
      </c>
      <c r="E868" s="156" t="s">
        <v>72</v>
      </c>
      <c r="F868" s="216" t="s">
        <v>690</v>
      </c>
      <c r="G868" s="193">
        <v>600</v>
      </c>
      <c r="H868" s="193">
        <v>300</v>
      </c>
      <c r="I868" s="193">
        <v>300</v>
      </c>
      <c r="J868" s="193">
        <v>0</v>
      </c>
      <c r="K868" s="193">
        <v>0</v>
      </c>
      <c r="L868" s="193">
        <v>0</v>
      </c>
      <c r="M868" s="193">
        <v>0</v>
      </c>
      <c r="N868" s="193">
        <v>0</v>
      </c>
      <c r="O868" s="193">
        <v>0</v>
      </c>
      <c r="P868" s="193">
        <v>0</v>
      </c>
      <c r="Q868" s="193">
        <v>0</v>
      </c>
      <c r="R868" s="193">
        <v>0</v>
      </c>
      <c r="S868" s="193">
        <v>0</v>
      </c>
      <c r="T868" s="193">
        <f>SUM(H868:S868)</f>
        <v>600</v>
      </c>
      <c r="U868"/>
      <c r="V868">
        <f>+PRESUPUESTO22[[#This Row],[EJECUTADO ]]-SUM(PRESUPUESTO22[[#This Row],[   ENERO ]:[DIC]])</f>
        <v>0</v>
      </c>
      <c r="W868"/>
      <c r="X868"/>
    </row>
    <row r="869" spans="1:24" ht="15.95" customHeight="1" x14ac:dyDescent="0.25">
      <c r="A869" s="52"/>
      <c r="B869" s="156">
        <v>170103</v>
      </c>
      <c r="C869" s="130" t="str">
        <f t="shared" si="321"/>
        <v>E-170103</v>
      </c>
      <c r="D869" s="130">
        <v>819</v>
      </c>
      <c r="E869" s="156" t="s">
        <v>72</v>
      </c>
      <c r="F869" s="216" t="s">
        <v>691</v>
      </c>
      <c r="G869" s="193">
        <v>1000</v>
      </c>
      <c r="H869" s="193">
        <v>500</v>
      </c>
      <c r="I869" s="193">
        <v>500</v>
      </c>
      <c r="J869" s="193">
        <v>0</v>
      </c>
      <c r="K869" s="193">
        <v>0</v>
      </c>
      <c r="L869" s="193">
        <v>0</v>
      </c>
      <c r="M869" s="193">
        <v>0</v>
      </c>
      <c r="N869" s="193">
        <v>0</v>
      </c>
      <c r="O869" s="193">
        <v>0</v>
      </c>
      <c r="P869" s="193">
        <v>0</v>
      </c>
      <c r="Q869" s="193">
        <v>0</v>
      </c>
      <c r="R869" s="193">
        <v>0</v>
      </c>
      <c r="S869" s="193">
        <v>0</v>
      </c>
      <c r="T869" s="193">
        <f>SUM(H869:S869)</f>
        <v>1000</v>
      </c>
      <c r="U869"/>
      <c r="V869">
        <f>+PRESUPUESTO22[[#This Row],[EJECUTADO ]]-SUM(PRESUPUESTO22[[#This Row],[   ENERO ]:[DIC]])</f>
        <v>0</v>
      </c>
      <c r="W869"/>
      <c r="X869"/>
    </row>
    <row r="870" spans="1:24" ht="15.95" customHeight="1" x14ac:dyDescent="0.25">
      <c r="A870" s="52"/>
      <c r="B870" s="157">
        <v>1702</v>
      </c>
      <c r="C870" s="130" t="str">
        <f t="shared" si="321"/>
        <v>E-1702</v>
      </c>
      <c r="D870" s="130">
        <v>820</v>
      </c>
      <c r="E870" s="157" t="s">
        <v>69</v>
      </c>
      <c r="F870" s="219" t="s">
        <v>692</v>
      </c>
      <c r="G870" s="190">
        <f>+G871+G880+G885+G890</f>
        <v>47804</v>
      </c>
      <c r="H870" s="190">
        <f t="shared" ref="H870:T870" si="326">+H871+H880+H885+H890</f>
        <v>1789</v>
      </c>
      <c r="I870" s="190">
        <f t="shared" si="326"/>
        <v>3121</v>
      </c>
      <c r="J870" s="190">
        <f t="shared" si="326"/>
        <v>4384</v>
      </c>
      <c r="K870" s="190">
        <f t="shared" si="326"/>
        <v>3970</v>
      </c>
      <c r="L870" s="190">
        <f t="shared" si="326"/>
        <v>4939</v>
      </c>
      <c r="M870" s="190">
        <f t="shared" si="326"/>
        <v>3070</v>
      </c>
      <c r="N870" s="190">
        <f t="shared" si="326"/>
        <v>4514</v>
      </c>
      <c r="O870" s="190">
        <f t="shared" si="326"/>
        <v>2051</v>
      </c>
      <c r="P870" s="190">
        <f t="shared" si="326"/>
        <v>5870</v>
      </c>
      <c r="Q870" s="190">
        <f t="shared" si="326"/>
        <v>2766</v>
      </c>
      <c r="R870" s="190">
        <f t="shared" si="326"/>
        <v>4528</v>
      </c>
      <c r="S870" s="190">
        <f t="shared" si="326"/>
        <v>0</v>
      </c>
      <c r="T870" s="190">
        <f t="shared" si="326"/>
        <v>41002</v>
      </c>
      <c r="U870"/>
      <c r="V870">
        <f>+PRESUPUESTO22[[#This Row],[EJECUTADO ]]-SUM(PRESUPUESTO22[[#This Row],[   ENERO ]:[DIC]])</f>
        <v>0</v>
      </c>
      <c r="W870"/>
      <c r="X870"/>
    </row>
    <row r="871" spans="1:24" ht="15.95" customHeight="1" x14ac:dyDescent="0.25">
      <c r="A871" s="52">
        <v>2</v>
      </c>
      <c r="B871" s="151">
        <v>170201</v>
      </c>
      <c r="C871" s="130" t="str">
        <f t="shared" si="321"/>
        <v>E-170201</v>
      </c>
      <c r="D871" s="130">
        <v>821</v>
      </c>
      <c r="E871" s="151" t="s">
        <v>69</v>
      </c>
      <c r="F871" s="208" t="s">
        <v>693</v>
      </c>
      <c r="G871" s="192">
        <f>SUM(G872:G879)</f>
        <v>5014</v>
      </c>
      <c r="H871" s="192">
        <f>SUM(H872:H879)</f>
        <v>224</v>
      </c>
      <c r="I871" s="192">
        <f>SUM(I872:I879)</f>
        <v>172</v>
      </c>
      <c r="J871" s="192">
        <f>SUM(J872:J879)</f>
        <v>172</v>
      </c>
      <c r="K871" s="192">
        <f t="shared" ref="K871:T871" si="327">SUM(K872:K879)</f>
        <v>208</v>
      </c>
      <c r="L871" s="192">
        <f t="shared" si="327"/>
        <v>258</v>
      </c>
      <c r="M871" s="192">
        <f t="shared" si="327"/>
        <v>197</v>
      </c>
      <c r="N871" s="192">
        <f t="shared" si="327"/>
        <v>172</v>
      </c>
      <c r="O871" s="192">
        <f t="shared" si="327"/>
        <v>203</v>
      </c>
      <c r="P871" s="192">
        <f t="shared" si="327"/>
        <v>172</v>
      </c>
      <c r="Q871" s="192">
        <f t="shared" si="327"/>
        <v>232</v>
      </c>
      <c r="R871" s="192">
        <f t="shared" si="327"/>
        <v>316</v>
      </c>
      <c r="S871" s="192">
        <f t="shared" si="327"/>
        <v>0</v>
      </c>
      <c r="T871" s="192">
        <f t="shared" si="327"/>
        <v>2326</v>
      </c>
      <c r="U871"/>
      <c r="V871">
        <f>+PRESUPUESTO22[[#This Row],[EJECUTADO ]]-SUM(PRESUPUESTO22[[#This Row],[   ENERO ]:[DIC]])</f>
        <v>0</v>
      </c>
      <c r="W871"/>
    </row>
    <row r="872" spans="1:24" ht="15" x14ac:dyDescent="0.25">
      <c r="A872" s="55"/>
      <c r="B872" s="156">
        <v>17020101</v>
      </c>
      <c r="C872" s="130" t="str">
        <f t="shared" si="321"/>
        <v>E-17020101</v>
      </c>
      <c r="D872" s="130">
        <v>822</v>
      </c>
      <c r="E872" s="156" t="s">
        <v>72</v>
      </c>
      <c r="F872" s="216" t="s">
        <v>694</v>
      </c>
      <c r="G872" s="193">
        <f>172*12</f>
        <v>2064</v>
      </c>
      <c r="H872" s="193">
        <v>172</v>
      </c>
      <c r="I872" s="193">
        <v>172</v>
      </c>
      <c r="J872" s="193">
        <v>172</v>
      </c>
      <c r="K872" s="193">
        <v>172</v>
      </c>
      <c r="L872" s="193">
        <v>172</v>
      </c>
      <c r="M872" s="193">
        <v>172</v>
      </c>
      <c r="N872" s="193">
        <v>172</v>
      </c>
      <c r="O872" s="193">
        <v>172</v>
      </c>
      <c r="P872" s="193">
        <v>172</v>
      </c>
      <c r="Q872" s="193">
        <v>172</v>
      </c>
      <c r="R872" s="193">
        <v>172</v>
      </c>
      <c r="S872" s="193">
        <v>0</v>
      </c>
      <c r="T872" s="193">
        <f t="shared" ref="T872:T879" si="328">SUM(H872:S872)</f>
        <v>1892</v>
      </c>
      <c r="U872"/>
      <c r="V872">
        <f>+PRESUPUESTO22[[#This Row],[EJECUTADO ]]-SUM(PRESUPUESTO22[[#This Row],[   ENERO ]:[DIC]])</f>
        <v>0</v>
      </c>
      <c r="W872"/>
    </row>
    <row r="873" spans="1:24" ht="26.25" customHeight="1" x14ac:dyDescent="0.25">
      <c r="A873" s="55"/>
      <c r="B873" s="156">
        <v>17020102</v>
      </c>
      <c r="C873" s="130" t="str">
        <f t="shared" si="321"/>
        <v>E-17020102</v>
      </c>
      <c r="D873" s="130">
        <v>823</v>
      </c>
      <c r="E873" s="156" t="s">
        <v>72</v>
      </c>
      <c r="F873" s="216" t="s">
        <v>695</v>
      </c>
      <c r="G873" s="193">
        <v>500</v>
      </c>
      <c r="H873" s="193">
        <v>0</v>
      </c>
      <c r="I873" s="193">
        <v>0</v>
      </c>
      <c r="J873" s="193">
        <v>0</v>
      </c>
      <c r="K873" s="193">
        <v>0</v>
      </c>
      <c r="L873" s="193">
        <v>0</v>
      </c>
      <c r="M873" s="193">
        <v>0</v>
      </c>
      <c r="N873" s="193">
        <v>0</v>
      </c>
      <c r="O873" s="193">
        <v>0</v>
      </c>
      <c r="P873" s="193">
        <v>0</v>
      </c>
      <c r="Q873" s="193">
        <v>0</v>
      </c>
      <c r="R873" s="193">
        <v>0</v>
      </c>
      <c r="S873" s="193">
        <v>0</v>
      </c>
      <c r="T873" s="193">
        <f t="shared" si="328"/>
        <v>0</v>
      </c>
      <c r="U873"/>
      <c r="V873">
        <f>+PRESUPUESTO22[[#This Row],[EJECUTADO ]]-SUM(PRESUPUESTO22[[#This Row],[   ENERO ]:[DIC]])</f>
        <v>0</v>
      </c>
    </row>
    <row r="874" spans="1:24" ht="16.5" customHeight="1" x14ac:dyDescent="0.25">
      <c r="A874" s="55"/>
      <c r="B874" s="156">
        <v>17020103</v>
      </c>
      <c r="C874" s="130" t="str">
        <f t="shared" si="321"/>
        <v>E-17020103</v>
      </c>
      <c r="D874" s="130">
        <v>824</v>
      </c>
      <c r="E874" s="156" t="s">
        <v>72</v>
      </c>
      <c r="F874" s="216" t="s">
        <v>696</v>
      </c>
      <c r="G874" s="193">
        <v>200</v>
      </c>
      <c r="H874" s="193">
        <v>0</v>
      </c>
      <c r="I874" s="193">
        <v>0</v>
      </c>
      <c r="J874" s="193">
        <v>0</v>
      </c>
      <c r="K874" s="193">
        <v>0</v>
      </c>
      <c r="L874" s="193">
        <v>0</v>
      </c>
      <c r="M874" s="193">
        <v>0</v>
      </c>
      <c r="N874" s="193">
        <v>0</v>
      </c>
      <c r="O874" s="193">
        <v>0</v>
      </c>
      <c r="P874" s="193">
        <v>0</v>
      </c>
      <c r="Q874" s="193">
        <v>0</v>
      </c>
      <c r="R874" s="193">
        <v>0</v>
      </c>
      <c r="S874" s="193">
        <v>0</v>
      </c>
      <c r="T874" s="193">
        <f t="shared" si="328"/>
        <v>0</v>
      </c>
      <c r="U874"/>
      <c r="V874">
        <f>+PRESUPUESTO22[[#This Row],[EJECUTADO ]]-SUM(PRESUPUESTO22[[#This Row],[   ENERO ]:[DIC]])</f>
        <v>0</v>
      </c>
    </row>
    <row r="875" spans="1:24" ht="15" x14ac:dyDescent="0.25">
      <c r="A875" s="55"/>
      <c r="B875" s="156">
        <v>17020104</v>
      </c>
      <c r="C875" s="130" t="str">
        <f t="shared" si="321"/>
        <v>E-17020104</v>
      </c>
      <c r="D875" s="130">
        <v>825</v>
      </c>
      <c r="E875" s="156" t="s">
        <v>72</v>
      </c>
      <c r="F875" s="216" t="s">
        <v>697</v>
      </c>
      <c r="G875" s="193">
        <v>400</v>
      </c>
      <c r="H875" s="193">
        <v>0</v>
      </c>
      <c r="I875" s="193">
        <v>0</v>
      </c>
      <c r="J875" s="193">
        <v>0</v>
      </c>
      <c r="K875" s="193">
        <v>0</v>
      </c>
      <c r="L875" s="193">
        <v>60</v>
      </c>
      <c r="M875" s="193">
        <v>0</v>
      </c>
      <c r="N875" s="193">
        <v>0</v>
      </c>
      <c r="O875" s="193">
        <v>0</v>
      </c>
      <c r="P875" s="193">
        <v>0</v>
      </c>
      <c r="Q875" s="193">
        <v>0</v>
      </c>
      <c r="R875" s="193">
        <v>0</v>
      </c>
      <c r="S875" s="193">
        <v>0</v>
      </c>
      <c r="T875" s="193">
        <f t="shared" si="328"/>
        <v>60</v>
      </c>
      <c r="U875"/>
      <c r="V875">
        <f>+PRESUPUESTO22[[#This Row],[EJECUTADO ]]-SUM(PRESUPUESTO22[[#This Row],[   ENERO ]:[DIC]])</f>
        <v>0</v>
      </c>
      <c r="W875" s="7" t="s">
        <v>1</v>
      </c>
    </row>
    <row r="876" spans="1:24" ht="15" x14ac:dyDescent="0.25">
      <c r="A876" s="55"/>
      <c r="B876" s="156">
        <v>17020105</v>
      </c>
      <c r="C876" s="130" t="str">
        <f t="shared" si="321"/>
        <v>E-17020105</v>
      </c>
      <c r="D876" s="130">
        <v>826</v>
      </c>
      <c r="E876" s="156" t="s">
        <v>72</v>
      </c>
      <c r="F876" s="216" t="s">
        <v>698</v>
      </c>
      <c r="G876" s="193">
        <v>200</v>
      </c>
      <c r="H876" s="193">
        <v>6</v>
      </c>
      <c r="I876" s="193">
        <v>0</v>
      </c>
      <c r="J876" s="193">
        <v>0</v>
      </c>
      <c r="K876" s="193">
        <v>6</v>
      </c>
      <c r="L876" s="193">
        <v>6</v>
      </c>
      <c r="M876" s="193">
        <v>0</v>
      </c>
      <c r="N876" s="193">
        <v>0</v>
      </c>
      <c r="O876" s="193">
        <v>11</v>
      </c>
      <c r="P876" s="193">
        <v>0</v>
      </c>
      <c r="Q876" s="193">
        <v>6</v>
      </c>
      <c r="R876" s="193">
        <f>55.13-0.13</f>
        <v>55</v>
      </c>
      <c r="S876" s="193">
        <v>0</v>
      </c>
      <c r="T876" s="193">
        <f t="shared" si="328"/>
        <v>90</v>
      </c>
      <c r="U876"/>
      <c r="V876">
        <f>+PRESUPUESTO22[[#This Row],[EJECUTADO ]]-SUM(PRESUPUESTO22[[#This Row],[   ENERO ]:[DIC]])</f>
        <v>0</v>
      </c>
    </row>
    <row r="877" spans="1:24" ht="15" x14ac:dyDescent="0.25">
      <c r="A877" s="55"/>
      <c r="B877" s="156">
        <v>17020106</v>
      </c>
      <c r="C877" s="130" t="str">
        <f t="shared" si="321"/>
        <v>E-17020106</v>
      </c>
      <c r="D877" s="130">
        <v>827</v>
      </c>
      <c r="E877" s="156" t="s">
        <v>72</v>
      </c>
      <c r="F877" s="216" t="s">
        <v>699</v>
      </c>
      <c r="G877" s="193">
        <v>300</v>
      </c>
      <c r="H877" s="193">
        <v>20</v>
      </c>
      <c r="I877" s="193">
        <v>0</v>
      </c>
      <c r="J877" s="193">
        <v>0</v>
      </c>
      <c r="K877" s="193">
        <v>20</v>
      </c>
      <c r="L877" s="193">
        <v>20</v>
      </c>
      <c r="M877" s="193">
        <v>25</v>
      </c>
      <c r="N877" s="193">
        <v>0</v>
      </c>
      <c r="O877" s="193">
        <v>20</v>
      </c>
      <c r="P877" s="193">
        <v>0</v>
      </c>
      <c r="Q877" s="193">
        <v>25</v>
      </c>
      <c r="R877" s="193">
        <v>25</v>
      </c>
      <c r="S877" s="193">
        <v>0</v>
      </c>
      <c r="T877" s="193">
        <f t="shared" si="328"/>
        <v>155</v>
      </c>
      <c r="U877"/>
      <c r="V877">
        <f>+PRESUPUESTO22[[#This Row],[EJECUTADO ]]-SUM(PRESUPUESTO22[[#This Row],[   ENERO ]:[DIC]])</f>
        <v>0</v>
      </c>
    </row>
    <row r="878" spans="1:24" ht="15" x14ac:dyDescent="0.25">
      <c r="A878" s="55"/>
      <c r="B878" s="156">
        <v>17020107</v>
      </c>
      <c r="C878" s="130" t="str">
        <f t="shared" si="321"/>
        <v>E-17020107</v>
      </c>
      <c r="D878" s="130">
        <v>828</v>
      </c>
      <c r="E878" s="156" t="s">
        <v>72</v>
      </c>
      <c r="F878" s="216" t="s">
        <v>700</v>
      </c>
      <c r="G878" s="193">
        <v>1000</v>
      </c>
      <c r="H878" s="193">
        <f>9.5+0.5</f>
        <v>10</v>
      </c>
      <c r="I878" s="193">
        <v>0</v>
      </c>
      <c r="J878" s="193">
        <v>0</v>
      </c>
      <c r="K878" s="193">
        <v>0</v>
      </c>
      <c r="L878" s="193">
        <v>0</v>
      </c>
      <c r="M878" s="193">
        <v>0</v>
      </c>
      <c r="N878" s="193">
        <v>0</v>
      </c>
      <c r="O878" s="193">
        <v>0</v>
      </c>
      <c r="P878" s="193">
        <v>0</v>
      </c>
      <c r="Q878" s="193">
        <f>28.8+0.2</f>
        <v>29</v>
      </c>
      <c r="R878" s="193">
        <f>27.4-0.4</f>
        <v>27</v>
      </c>
      <c r="S878" s="193">
        <v>0</v>
      </c>
      <c r="T878" s="193">
        <f t="shared" si="328"/>
        <v>66</v>
      </c>
      <c r="U878"/>
      <c r="V878">
        <f>+PRESUPUESTO22[[#This Row],[EJECUTADO ]]-SUM(PRESUPUESTO22[[#This Row],[   ENERO ]:[DIC]])</f>
        <v>0</v>
      </c>
    </row>
    <row r="879" spans="1:24" ht="15" x14ac:dyDescent="0.25">
      <c r="A879" s="55"/>
      <c r="B879" s="156">
        <v>17020108</v>
      </c>
      <c r="C879" s="130" t="str">
        <f t="shared" si="321"/>
        <v>E-17020108</v>
      </c>
      <c r="D879" s="130">
        <v>829</v>
      </c>
      <c r="E879" s="156" t="s">
        <v>72</v>
      </c>
      <c r="F879" s="216" t="s">
        <v>701</v>
      </c>
      <c r="G879" s="193">
        <v>350</v>
      </c>
      <c r="H879" s="193">
        <f>16.49-0.49</f>
        <v>15.999999999999998</v>
      </c>
      <c r="I879" s="193">
        <v>0</v>
      </c>
      <c r="J879" s="193">
        <v>0</v>
      </c>
      <c r="K879" s="193">
        <f>9.63+0.37</f>
        <v>10</v>
      </c>
      <c r="L879" s="193">
        <v>0</v>
      </c>
      <c r="M879" s="193">
        <v>0</v>
      </c>
      <c r="N879" s="193">
        <v>0</v>
      </c>
      <c r="O879" s="193">
        <v>0</v>
      </c>
      <c r="P879" s="193">
        <v>0</v>
      </c>
      <c r="Q879" s="193">
        <v>0</v>
      </c>
      <c r="R879" s="193">
        <f>36.64+0.36</f>
        <v>37</v>
      </c>
      <c r="S879" s="193">
        <v>0</v>
      </c>
      <c r="T879" s="193">
        <f t="shared" si="328"/>
        <v>63</v>
      </c>
      <c r="U879"/>
      <c r="V879">
        <f>+PRESUPUESTO22[[#This Row],[EJECUTADO ]]-SUM(PRESUPUESTO22[[#This Row],[   ENERO ]:[DIC]])</f>
        <v>0</v>
      </c>
    </row>
    <row r="880" spans="1:24" ht="15.95" customHeight="1" x14ac:dyDescent="0.25">
      <c r="A880" s="52">
        <v>4</v>
      </c>
      <c r="B880" s="151">
        <v>170202</v>
      </c>
      <c r="C880" s="130" t="str">
        <f t="shared" si="321"/>
        <v>E-170202</v>
      </c>
      <c r="D880" s="130">
        <v>830</v>
      </c>
      <c r="E880" s="151" t="s">
        <v>69</v>
      </c>
      <c r="F880" s="208" t="s">
        <v>702</v>
      </c>
      <c r="G880" s="192">
        <f t="shared" ref="G880:T880" si="329">SUM(G881:G884)</f>
        <v>10078</v>
      </c>
      <c r="H880" s="192">
        <f t="shared" si="329"/>
        <v>817</v>
      </c>
      <c r="I880" s="192">
        <f t="shared" si="329"/>
        <v>817</v>
      </c>
      <c r="J880" s="192">
        <f t="shared" si="329"/>
        <v>817</v>
      </c>
      <c r="K880" s="192">
        <f t="shared" si="329"/>
        <v>852</v>
      </c>
      <c r="L880" s="192">
        <f t="shared" si="329"/>
        <v>867</v>
      </c>
      <c r="M880" s="192">
        <f t="shared" si="329"/>
        <v>867</v>
      </c>
      <c r="N880" s="192">
        <f t="shared" si="329"/>
        <v>867</v>
      </c>
      <c r="O880" s="192">
        <f t="shared" si="329"/>
        <v>867</v>
      </c>
      <c r="P880" s="192">
        <f t="shared" si="329"/>
        <v>867</v>
      </c>
      <c r="Q880" s="192">
        <f t="shared" si="329"/>
        <v>867</v>
      </c>
      <c r="R880" s="192">
        <f t="shared" si="329"/>
        <v>867</v>
      </c>
      <c r="S880" s="192">
        <f t="shared" si="329"/>
        <v>0</v>
      </c>
      <c r="T880" s="192">
        <f t="shared" si="329"/>
        <v>9372</v>
      </c>
      <c r="U880"/>
      <c r="V880">
        <f>+PRESUPUESTO22[[#This Row],[EJECUTADO ]]-SUM(PRESUPUESTO22[[#This Row],[   ENERO ]:[DIC]])</f>
        <v>0</v>
      </c>
    </row>
    <row r="881" spans="1:23" ht="29.25" customHeight="1" x14ac:dyDescent="0.25">
      <c r="A881" s="55"/>
      <c r="B881" s="156">
        <v>17020201</v>
      </c>
      <c r="C881" s="130" t="str">
        <f t="shared" si="321"/>
        <v>E-17020201</v>
      </c>
      <c r="D881" s="130">
        <v>831</v>
      </c>
      <c r="E881" s="156" t="s">
        <v>72</v>
      </c>
      <c r="F881" s="216" t="s">
        <v>703</v>
      </c>
      <c r="G881" s="193">
        <v>9628</v>
      </c>
      <c r="H881" s="193">
        <v>802</v>
      </c>
      <c r="I881" s="193">
        <v>802</v>
      </c>
      <c r="J881" s="193">
        <v>802</v>
      </c>
      <c r="K881" s="193">
        <v>802</v>
      </c>
      <c r="L881" s="193">
        <v>802</v>
      </c>
      <c r="M881" s="193">
        <v>802</v>
      </c>
      <c r="N881" s="193">
        <v>802</v>
      </c>
      <c r="O881" s="193">
        <v>802</v>
      </c>
      <c r="P881" s="193">
        <v>802</v>
      </c>
      <c r="Q881" s="193">
        <v>802</v>
      </c>
      <c r="R881" s="193">
        <v>802</v>
      </c>
      <c r="S881" s="193">
        <v>0</v>
      </c>
      <c r="T881" s="193">
        <f>SUM(H881:S881)</f>
        <v>8822</v>
      </c>
      <c r="U881"/>
      <c r="V881">
        <f>+PRESUPUESTO22[[#This Row],[EJECUTADO ]]-SUM(PRESUPUESTO22[[#This Row],[   ENERO ]:[DIC]])</f>
        <v>0</v>
      </c>
    </row>
    <row r="882" spans="1:23" ht="15.75" customHeight="1" x14ac:dyDescent="0.25">
      <c r="A882" s="55"/>
      <c r="B882" s="156">
        <v>17020202</v>
      </c>
      <c r="C882" s="130" t="str">
        <f t="shared" si="321"/>
        <v>E-17020202</v>
      </c>
      <c r="D882" s="130">
        <v>832</v>
      </c>
      <c r="E882" s="156" t="s">
        <v>72</v>
      </c>
      <c r="F882" s="216" t="s">
        <v>704</v>
      </c>
      <c r="G882" s="193">
        <v>180</v>
      </c>
      <c r="H882" s="193">
        <v>15</v>
      </c>
      <c r="I882" s="193">
        <v>15</v>
      </c>
      <c r="J882" s="193">
        <v>15</v>
      </c>
      <c r="K882" s="193">
        <f>50.14-0.14</f>
        <v>50</v>
      </c>
      <c r="L882" s="193">
        <v>65</v>
      </c>
      <c r="M882" s="193">
        <v>65</v>
      </c>
      <c r="N882" s="193">
        <v>65</v>
      </c>
      <c r="O882" s="193">
        <v>65</v>
      </c>
      <c r="P882" s="193">
        <v>65</v>
      </c>
      <c r="Q882" s="193">
        <v>65</v>
      </c>
      <c r="R882" s="193">
        <v>65</v>
      </c>
      <c r="S882" s="193">
        <v>0</v>
      </c>
      <c r="T882" s="193">
        <f>SUM(H882:S882)</f>
        <v>550</v>
      </c>
      <c r="U882"/>
      <c r="V882">
        <f>+PRESUPUESTO22[[#This Row],[EJECUTADO ]]-SUM(PRESUPUESTO22[[#This Row],[   ENERO ]:[DIC]])</f>
        <v>0</v>
      </c>
    </row>
    <row r="883" spans="1:23" ht="15" customHeight="1" x14ac:dyDescent="0.25">
      <c r="A883" s="55"/>
      <c r="B883" s="156">
        <v>17020203</v>
      </c>
      <c r="C883" s="130" t="str">
        <f t="shared" si="321"/>
        <v>E-17020203</v>
      </c>
      <c r="D883" s="130">
        <v>833</v>
      </c>
      <c r="E883" s="156" t="s">
        <v>72</v>
      </c>
      <c r="F883" s="216" t="s">
        <v>705</v>
      </c>
      <c r="G883" s="193">
        <v>150</v>
      </c>
      <c r="H883" s="193">
        <v>0</v>
      </c>
      <c r="I883" s="193">
        <v>0</v>
      </c>
      <c r="J883" s="193">
        <v>0</v>
      </c>
      <c r="K883" s="193">
        <v>0</v>
      </c>
      <c r="L883" s="193">
        <v>0</v>
      </c>
      <c r="M883" s="193">
        <v>0</v>
      </c>
      <c r="N883" s="193">
        <v>0</v>
      </c>
      <c r="O883" s="193">
        <v>0</v>
      </c>
      <c r="P883" s="193">
        <v>0</v>
      </c>
      <c r="Q883" s="193">
        <v>0</v>
      </c>
      <c r="R883" s="193">
        <v>0</v>
      </c>
      <c r="S883" s="193">
        <v>0</v>
      </c>
      <c r="T883" s="193">
        <f>SUM(H883:S883)</f>
        <v>0</v>
      </c>
      <c r="U883"/>
      <c r="V883">
        <f>+PRESUPUESTO22[[#This Row],[EJECUTADO ]]-SUM(PRESUPUESTO22[[#This Row],[   ENERO ]:[DIC]])</f>
        <v>0</v>
      </c>
    </row>
    <row r="884" spans="1:23" ht="15.95" customHeight="1" x14ac:dyDescent="0.25">
      <c r="A884" s="55"/>
      <c r="B884" s="156">
        <v>17020204</v>
      </c>
      <c r="C884" s="130" t="str">
        <f t="shared" si="321"/>
        <v>E-17020204</v>
      </c>
      <c r="D884" s="130">
        <v>834</v>
      </c>
      <c r="E884" s="156" t="s">
        <v>72</v>
      </c>
      <c r="F884" s="216" t="s">
        <v>706</v>
      </c>
      <c r="G884" s="193">
        <v>120</v>
      </c>
      <c r="H884" s="193">
        <v>0</v>
      </c>
      <c r="I884" s="193">
        <v>0</v>
      </c>
      <c r="J884" s="193">
        <v>0</v>
      </c>
      <c r="K884" s="193">
        <v>0</v>
      </c>
      <c r="L884" s="193">
        <v>0</v>
      </c>
      <c r="M884" s="193">
        <v>0</v>
      </c>
      <c r="N884" s="193">
        <v>0</v>
      </c>
      <c r="O884" s="193">
        <v>0</v>
      </c>
      <c r="P884" s="193">
        <v>0</v>
      </c>
      <c r="Q884" s="193">
        <v>0</v>
      </c>
      <c r="R884" s="193">
        <v>0</v>
      </c>
      <c r="S884" s="193">
        <v>0</v>
      </c>
      <c r="T884" s="193">
        <f>SUM(H884:S884)</f>
        <v>0</v>
      </c>
      <c r="U884"/>
      <c r="V884">
        <f>+PRESUPUESTO22[[#This Row],[EJECUTADO ]]-SUM(PRESUPUESTO22[[#This Row],[   ENERO ]:[DIC]])</f>
        <v>0</v>
      </c>
    </row>
    <row r="885" spans="1:23" ht="15.95" customHeight="1" x14ac:dyDescent="0.25">
      <c r="A885" s="52">
        <v>5</v>
      </c>
      <c r="B885" s="151">
        <v>170203</v>
      </c>
      <c r="C885" s="130" t="str">
        <f t="shared" si="321"/>
        <v>E-170203</v>
      </c>
      <c r="D885" s="130">
        <v>835</v>
      </c>
      <c r="E885" s="151" t="s">
        <v>69</v>
      </c>
      <c r="F885" s="208" t="s">
        <v>707</v>
      </c>
      <c r="G885" s="192">
        <f t="shared" ref="G885:T885" si="330">SUM(G886:G889)</f>
        <v>6400</v>
      </c>
      <c r="H885" s="192">
        <f t="shared" si="330"/>
        <v>298</v>
      </c>
      <c r="I885" s="192">
        <f t="shared" si="330"/>
        <v>100</v>
      </c>
      <c r="J885" s="192">
        <f t="shared" si="330"/>
        <v>200</v>
      </c>
      <c r="K885" s="192">
        <f t="shared" si="330"/>
        <v>200</v>
      </c>
      <c r="L885" s="192">
        <f t="shared" si="330"/>
        <v>200</v>
      </c>
      <c r="M885" s="192">
        <f t="shared" si="330"/>
        <v>200</v>
      </c>
      <c r="N885" s="192">
        <f t="shared" si="330"/>
        <v>200</v>
      </c>
      <c r="O885" s="192">
        <f t="shared" si="330"/>
        <v>200</v>
      </c>
      <c r="P885" s="192">
        <f t="shared" si="330"/>
        <v>200</v>
      </c>
      <c r="Q885" s="192">
        <f t="shared" si="330"/>
        <v>200</v>
      </c>
      <c r="R885" s="192">
        <f t="shared" si="330"/>
        <v>200</v>
      </c>
      <c r="S885" s="192">
        <f t="shared" si="330"/>
        <v>0</v>
      </c>
      <c r="T885" s="192">
        <f t="shared" si="330"/>
        <v>2198</v>
      </c>
      <c r="U885"/>
      <c r="V885">
        <f>+PRESUPUESTO22[[#This Row],[EJECUTADO ]]-SUM(PRESUPUESTO22[[#This Row],[   ENERO ]:[DIC]])</f>
        <v>0</v>
      </c>
    </row>
    <row r="886" spans="1:23" ht="15.95" customHeight="1" x14ac:dyDescent="0.25">
      <c r="A886" s="55"/>
      <c r="B886" s="156">
        <v>17020301</v>
      </c>
      <c r="C886" s="130" t="str">
        <f t="shared" si="321"/>
        <v>E-17020301</v>
      </c>
      <c r="D886" s="130">
        <v>836</v>
      </c>
      <c r="E886" s="156" t="s">
        <v>72</v>
      </c>
      <c r="F886" s="216" t="s">
        <v>708</v>
      </c>
      <c r="G886" s="193">
        <v>2000</v>
      </c>
      <c r="H886" s="193">
        <v>0</v>
      </c>
      <c r="I886" s="193">
        <v>0</v>
      </c>
      <c r="J886" s="193">
        <v>0</v>
      </c>
      <c r="K886" s="193">
        <v>0</v>
      </c>
      <c r="L886" s="193">
        <v>0</v>
      </c>
      <c r="M886" s="193">
        <v>0</v>
      </c>
      <c r="N886" s="193">
        <v>0</v>
      </c>
      <c r="O886" s="193">
        <v>0</v>
      </c>
      <c r="P886" s="193">
        <v>0</v>
      </c>
      <c r="Q886" s="193">
        <v>0</v>
      </c>
      <c r="R886" s="193">
        <v>0</v>
      </c>
      <c r="S886" s="193">
        <v>0</v>
      </c>
      <c r="T886" s="193">
        <f>SUM(H886:S886)</f>
        <v>0</v>
      </c>
      <c r="U886"/>
      <c r="V886">
        <f>+PRESUPUESTO22[[#This Row],[EJECUTADO ]]-SUM(PRESUPUESTO22[[#This Row],[   ENERO ]:[DIC]])</f>
        <v>0</v>
      </c>
    </row>
    <row r="887" spans="1:23" ht="15.95" customHeight="1" x14ac:dyDescent="0.25">
      <c r="A887" s="55"/>
      <c r="B887" s="156">
        <v>17020302</v>
      </c>
      <c r="C887" s="130" t="str">
        <f t="shared" si="321"/>
        <v>E-17020302</v>
      </c>
      <c r="D887" s="130">
        <v>837</v>
      </c>
      <c r="E887" s="156" t="s">
        <v>72</v>
      </c>
      <c r="F887" s="216" t="s">
        <v>709</v>
      </c>
      <c r="G887" s="193">
        <v>1500</v>
      </c>
      <c r="H887" s="193">
        <v>0</v>
      </c>
      <c r="I887" s="193">
        <v>0</v>
      </c>
      <c r="J887" s="193">
        <v>0</v>
      </c>
      <c r="K887" s="193">
        <v>0</v>
      </c>
      <c r="L887" s="193">
        <v>0</v>
      </c>
      <c r="M887" s="193">
        <v>0</v>
      </c>
      <c r="N887" s="193">
        <v>0</v>
      </c>
      <c r="O887" s="193">
        <v>0</v>
      </c>
      <c r="P887" s="193">
        <v>0</v>
      </c>
      <c r="Q887" s="193">
        <v>0</v>
      </c>
      <c r="R887" s="193">
        <v>0</v>
      </c>
      <c r="S887" s="193">
        <v>0</v>
      </c>
      <c r="T887" s="193">
        <f>SUM(H887:S887)</f>
        <v>0</v>
      </c>
      <c r="U887"/>
      <c r="V887">
        <f>+PRESUPUESTO22[[#This Row],[EJECUTADO ]]-SUM(PRESUPUESTO22[[#This Row],[   ENERO ]:[DIC]])</f>
        <v>0</v>
      </c>
    </row>
    <row r="888" spans="1:23" ht="15.95" customHeight="1" x14ac:dyDescent="0.25">
      <c r="A888" s="55"/>
      <c r="B888" s="156">
        <v>17020303</v>
      </c>
      <c r="C888" s="130" t="str">
        <f t="shared" si="321"/>
        <v>E-17020303</v>
      </c>
      <c r="D888" s="130">
        <v>838</v>
      </c>
      <c r="E888" s="156" t="s">
        <v>72</v>
      </c>
      <c r="F888" s="216" t="s">
        <v>710</v>
      </c>
      <c r="G888" s="193">
        <v>500</v>
      </c>
      <c r="H888" s="193">
        <v>198</v>
      </c>
      <c r="I888" s="193">
        <v>0</v>
      </c>
      <c r="J888" s="193">
        <v>0</v>
      </c>
      <c r="K888" s="193">
        <v>0</v>
      </c>
      <c r="L888" s="193">
        <v>0</v>
      </c>
      <c r="M888" s="193">
        <v>0</v>
      </c>
      <c r="N888" s="193">
        <v>0</v>
      </c>
      <c r="O888" s="193">
        <v>0</v>
      </c>
      <c r="P888" s="193">
        <v>0</v>
      </c>
      <c r="Q888" s="193">
        <v>0</v>
      </c>
      <c r="R888" s="193">
        <v>0</v>
      </c>
      <c r="S888" s="193">
        <v>0</v>
      </c>
      <c r="T888" s="193">
        <f>SUM(H888:S888)</f>
        <v>198</v>
      </c>
      <c r="U888"/>
      <c r="V888">
        <f>+PRESUPUESTO22[[#This Row],[EJECUTADO ]]-SUM(PRESUPUESTO22[[#This Row],[   ENERO ]:[DIC]])</f>
        <v>0</v>
      </c>
    </row>
    <row r="889" spans="1:23" ht="15.95" customHeight="1" x14ac:dyDescent="0.25">
      <c r="A889" s="55"/>
      <c r="B889" s="156">
        <v>17020304</v>
      </c>
      <c r="C889" s="130" t="str">
        <f t="shared" si="321"/>
        <v>E-17020304</v>
      </c>
      <c r="D889" s="130">
        <v>839</v>
      </c>
      <c r="E889" s="156" t="s">
        <v>72</v>
      </c>
      <c r="F889" s="216" t="s">
        <v>711</v>
      </c>
      <c r="G889" s="193">
        <v>2400</v>
      </c>
      <c r="H889" s="193">
        <v>100</v>
      </c>
      <c r="I889" s="193">
        <v>100</v>
      </c>
      <c r="J889" s="193">
        <v>200</v>
      </c>
      <c r="K889" s="193">
        <v>200</v>
      </c>
      <c r="L889" s="193">
        <v>200</v>
      </c>
      <c r="M889" s="193">
        <v>200</v>
      </c>
      <c r="N889" s="193">
        <v>200</v>
      </c>
      <c r="O889" s="193">
        <v>200</v>
      </c>
      <c r="P889" s="193">
        <v>200</v>
      </c>
      <c r="Q889" s="193">
        <v>200</v>
      </c>
      <c r="R889" s="193">
        <v>200</v>
      </c>
      <c r="S889" s="193">
        <v>0</v>
      </c>
      <c r="T889" s="193">
        <f>SUM(H889:S889)</f>
        <v>2000</v>
      </c>
      <c r="U889"/>
      <c r="V889">
        <f>+PRESUPUESTO22[[#This Row],[EJECUTADO ]]-SUM(PRESUPUESTO22[[#This Row],[   ENERO ]:[DIC]])</f>
        <v>0</v>
      </c>
    </row>
    <row r="890" spans="1:23" ht="15.95" customHeight="1" x14ac:dyDescent="0.25">
      <c r="A890" s="52">
        <v>6</v>
      </c>
      <c r="B890" s="151">
        <v>170204</v>
      </c>
      <c r="C890" s="130" t="str">
        <f t="shared" si="321"/>
        <v>E-170204</v>
      </c>
      <c r="D890" s="130">
        <v>840</v>
      </c>
      <c r="E890" s="151" t="s">
        <v>69</v>
      </c>
      <c r="F890" s="208" t="s">
        <v>712</v>
      </c>
      <c r="G890" s="192">
        <f t="shared" ref="G890:T890" si="331">SUM(G891:G895)</f>
        <v>26312</v>
      </c>
      <c r="H890" s="192">
        <f t="shared" si="331"/>
        <v>450</v>
      </c>
      <c r="I890" s="192">
        <f t="shared" si="331"/>
        <v>2032</v>
      </c>
      <c r="J890" s="192">
        <f t="shared" si="331"/>
        <v>3195</v>
      </c>
      <c r="K890" s="192">
        <f t="shared" si="331"/>
        <v>2710</v>
      </c>
      <c r="L890" s="192">
        <f t="shared" si="331"/>
        <v>3614</v>
      </c>
      <c r="M890" s="192">
        <f t="shared" si="331"/>
        <v>1806</v>
      </c>
      <c r="N890" s="192">
        <f t="shared" si="331"/>
        <v>3275</v>
      </c>
      <c r="O890" s="192">
        <f t="shared" si="331"/>
        <v>781</v>
      </c>
      <c r="P890" s="192">
        <f t="shared" si="331"/>
        <v>4631</v>
      </c>
      <c r="Q890" s="192">
        <f t="shared" si="331"/>
        <v>1467</v>
      </c>
      <c r="R890" s="192">
        <f t="shared" si="331"/>
        <v>3145</v>
      </c>
      <c r="S890" s="192">
        <f t="shared" si="331"/>
        <v>0</v>
      </c>
      <c r="T890" s="192">
        <f t="shared" si="331"/>
        <v>27106</v>
      </c>
      <c r="U890"/>
      <c r="V890">
        <f>+PRESUPUESTO22[[#This Row],[EJECUTADO ]]-SUM(PRESUPUESTO22[[#This Row],[   ENERO ]:[DIC]])</f>
        <v>0</v>
      </c>
    </row>
    <row r="891" spans="1:23" ht="15" x14ac:dyDescent="0.25">
      <c r="A891" s="55"/>
      <c r="B891" s="156">
        <v>17020401</v>
      </c>
      <c r="C891" s="130" t="str">
        <f t="shared" si="321"/>
        <v>E-17020401</v>
      </c>
      <c r="D891" s="130">
        <v>841</v>
      </c>
      <c r="E891" s="156" t="s">
        <v>72</v>
      </c>
      <c r="F891" s="216" t="s">
        <v>713</v>
      </c>
      <c r="G891" s="193">
        <f>450*12</f>
        <v>5400</v>
      </c>
      <c r="H891" s="193">
        <v>450</v>
      </c>
      <c r="I891" s="193">
        <v>450</v>
      </c>
      <c r="J891" s="193">
        <v>450</v>
      </c>
      <c r="K891" s="193">
        <v>450</v>
      </c>
      <c r="L891" s="193">
        <v>450</v>
      </c>
      <c r="M891" s="193">
        <v>450</v>
      </c>
      <c r="N891" s="193">
        <v>450</v>
      </c>
      <c r="O891" s="193">
        <v>450</v>
      </c>
      <c r="P891" s="193">
        <v>450</v>
      </c>
      <c r="Q891" s="193">
        <v>450</v>
      </c>
      <c r="R891" s="193">
        <v>450</v>
      </c>
      <c r="S891" s="193">
        <v>0</v>
      </c>
      <c r="T891" s="193">
        <f>SUM(H891:S891)</f>
        <v>4950</v>
      </c>
      <c r="U891"/>
      <c r="V891">
        <f>+PRESUPUESTO22[[#This Row],[EJECUTADO ]]-SUM(PRESUPUESTO22[[#This Row],[   ENERO ]:[DIC]])</f>
        <v>0</v>
      </c>
    </row>
    <row r="892" spans="1:23" ht="15" x14ac:dyDescent="0.25">
      <c r="A892" s="55"/>
      <c r="B892" s="156">
        <v>17020402</v>
      </c>
      <c r="C892" s="130" t="str">
        <f t="shared" si="321"/>
        <v>E-17020402</v>
      </c>
      <c r="D892" s="130">
        <v>842</v>
      </c>
      <c r="E892" s="156" t="s">
        <v>72</v>
      </c>
      <c r="F892" s="216" t="s">
        <v>714</v>
      </c>
      <c r="G892" s="193">
        <v>20212</v>
      </c>
      <c r="H892" s="193">
        <v>0</v>
      </c>
      <c r="I892" s="193">
        <v>1582</v>
      </c>
      <c r="J892" s="193">
        <v>2147</v>
      </c>
      <c r="K892" s="193">
        <v>2260</v>
      </c>
      <c r="L892" s="193">
        <v>1808</v>
      </c>
      <c r="M892" s="193">
        <v>1356</v>
      </c>
      <c r="N892" s="193">
        <v>1695</v>
      </c>
      <c r="O892" s="193">
        <v>0</v>
      </c>
      <c r="P892" s="193">
        <v>3051</v>
      </c>
      <c r="Q892" s="193">
        <v>1017</v>
      </c>
      <c r="R892" s="193">
        <v>2034</v>
      </c>
      <c r="S892" s="193">
        <v>0</v>
      </c>
      <c r="T892" s="193">
        <f>SUM(H892:S892)</f>
        <v>16950</v>
      </c>
      <c r="U892"/>
      <c r="V892">
        <f>+PRESUPUESTO22[[#This Row],[EJECUTADO ]]-SUM(PRESUPUESTO22[[#This Row],[   ENERO ]:[DIC]])</f>
        <v>0</v>
      </c>
    </row>
    <row r="893" spans="1:23" ht="15" x14ac:dyDescent="0.25">
      <c r="A893" s="55"/>
      <c r="B893" s="156">
        <v>17020403</v>
      </c>
      <c r="C893" s="130" t="str">
        <f t="shared" si="321"/>
        <v>E-17020403</v>
      </c>
      <c r="D893" s="130">
        <v>843</v>
      </c>
      <c r="E893" s="156" t="s">
        <v>72</v>
      </c>
      <c r="F893" s="216" t="s">
        <v>715</v>
      </c>
      <c r="G893" s="193">
        <v>0</v>
      </c>
      <c r="H893" s="193">
        <v>0</v>
      </c>
      <c r="I893" s="193">
        <v>0</v>
      </c>
      <c r="J893" s="193">
        <v>0</v>
      </c>
      <c r="K893" s="193">
        <v>0</v>
      </c>
      <c r="L893" s="193">
        <v>1356</v>
      </c>
      <c r="M893" s="193">
        <v>0</v>
      </c>
      <c r="N893" s="193">
        <v>0</v>
      </c>
      <c r="O893" s="193">
        <v>0</v>
      </c>
      <c r="P893" s="193">
        <v>1130</v>
      </c>
      <c r="Q893" s="193">
        <v>0</v>
      </c>
      <c r="R893" s="193">
        <v>0</v>
      </c>
      <c r="S893" s="193">
        <v>0</v>
      </c>
      <c r="T893" s="193">
        <f>SUM(H893:S893)</f>
        <v>2486</v>
      </c>
      <c r="U893"/>
      <c r="V893">
        <f>+PRESUPUESTO22[[#This Row],[EJECUTADO ]]-SUM(PRESUPUESTO22[[#This Row],[   ENERO ]:[DIC]])</f>
        <v>0</v>
      </c>
    </row>
    <row r="894" spans="1:23" ht="15" x14ac:dyDescent="0.25">
      <c r="A894" s="55"/>
      <c r="B894" s="156">
        <v>17020404</v>
      </c>
      <c r="C894" s="130" t="str">
        <f t="shared" si="321"/>
        <v>E-17020404</v>
      </c>
      <c r="D894" s="130">
        <v>844</v>
      </c>
      <c r="E894" s="156" t="s">
        <v>72</v>
      </c>
      <c r="F894" s="216" t="s">
        <v>716</v>
      </c>
      <c r="G894" s="193">
        <v>0</v>
      </c>
      <c r="H894" s="193">
        <v>0</v>
      </c>
      <c r="I894" s="193">
        <v>0</v>
      </c>
      <c r="J894" s="193">
        <v>0</v>
      </c>
      <c r="K894" s="193">
        <v>0</v>
      </c>
      <c r="L894" s="193">
        <v>0</v>
      </c>
      <c r="M894" s="193">
        <v>0</v>
      </c>
      <c r="N894" s="193">
        <v>1130</v>
      </c>
      <c r="O894" s="193">
        <v>0</v>
      </c>
      <c r="P894" s="193">
        <v>0</v>
      </c>
      <c r="Q894" s="193">
        <v>0</v>
      </c>
      <c r="R894" s="193">
        <v>0</v>
      </c>
      <c r="S894" s="193">
        <v>0</v>
      </c>
      <c r="T894" s="193">
        <f>SUM(H894:S894)</f>
        <v>1130</v>
      </c>
      <c r="U894"/>
      <c r="V894">
        <f>+PRESUPUESTO22[[#This Row],[EJECUTADO ]]-SUM(PRESUPUESTO22[[#This Row],[   ENERO ]:[DIC]])</f>
        <v>0</v>
      </c>
    </row>
    <row r="895" spans="1:23" ht="15" x14ac:dyDescent="0.25">
      <c r="A895" s="55"/>
      <c r="B895" s="156">
        <v>17020405</v>
      </c>
      <c r="C895" s="130" t="str">
        <f t="shared" si="321"/>
        <v>E-17020405</v>
      </c>
      <c r="D895" s="130">
        <v>845</v>
      </c>
      <c r="E895" s="156" t="s">
        <v>72</v>
      </c>
      <c r="F895" s="216" t="s">
        <v>717</v>
      </c>
      <c r="G895" s="193">
        <v>700</v>
      </c>
      <c r="H895" s="193">
        <v>0</v>
      </c>
      <c r="I895" s="193">
        <v>0</v>
      </c>
      <c r="J895" s="193">
        <f>597.59+0.41</f>
        <v>598</v>
      </c>
      <c r="K895" s="193">
        <v>0</v>
      </c>
      <c r="L895" s="193">
        <v>0</v>
      </c>
      <c r="M895" s="193">
        <v>0</v>
      </c>
      <c r="N895" s="193">
        <v>0</v>
      </c>
      <c r="O895" s="193">
        <f>330.53+0.47</f>
        <v>331</v>
      </c>
      <c r="P895" s="193">
        <v>0</v>
      </c>
      <c r="Q895" s="193">
        <v>0</v>
      </c>
      <c r="R895" s="193">
        <f>661.05-0.05</f>
        <v>661</v>
      </c>
      <c r="S895" s="193">
        <v>0</v>
      </c>
      <c r="T895" s="193">
        <f>SUM(H895:S895)</f>
        <v>1590</v>
      </c>
      <c r="U895"/>
      <c r="V895">
        <f>+PRESUPUESTO22[[#This Row],[EJECUTADO ]]-SUM(PRESUPUESTO22[[#This Row],[   ENERO ]:[DIC]])</f>
        <v>0</v>
      </c>
      <c r="W895"/>
    </row>
    <row r="896" spans="1:23" ht="15.95" customHeight="1" x14ac:dyDescent="0.25">
      <c r="A896" s="49">
        <v>18</v>
      </c>
      <c r="B896" s="131">
        <v>18</v>
      </c>
      <c r="C896" s="130" t="str">
        <f t="shared" si="321"/>
        <v>E-18</v>
      </c>
      <c r="D896" s="130">
        <v>846</v>
      </c>
      <c r="E896" s="131" t="s">
        <v>67</v>
      </c>
      <c r="F896" s="50" t="s">
        <v>43</v>
      </c>
      <c r="G896" s="188">
        <f t="shared" ref="G896:T896" si="332">+G897+G899+G904+G906</f>
        <v>225000</v>
      </c>
      <c r="H896" s="188">
        <f t="shared" si="332"/>
        <v>16496</v>
      </c>
      <c r="I896" s="188">
        <f t="shared" si="332"/>
        <v>8430</v>
      </c>
      <c r="J896" s="188">
        <f t="shared" si="332"/>
        <v>9613</v>
      </c>
      <c r="K896" s="188">
        <f t="shared" si="332"/>
        <v>9622</v>
      </c>
      <c r="L896" s="188">
        <f t="shared" si="332"/>
        <v>10088</v>
      </c>
      <c r="M896" s="188">
        <f t="shared" si="332"/>
        <v>17040</v>
      </c>
      <c r="N896" s="188">
        <f t="shared" si="332"/>
        <v>18617</v>
      </c>
      <c r="O896" s="188">
        <f t="shared" si="332"/>
        <v>23901</v>
      </c>
      <c r="P896" s="188">
        <f t="shared" si="332"/>
        <v>18521</v>
      </c>
      <c r="Q896" s="188">
        <f t="shared" si="332"/>
        <v>34824</v>
      </c>
      <c r="R896" s="188">
        <f t="shared" si="332"/>
        <v>41452</v>
      </c>
      <c r="S896" s="188">
        <f t="shared" si="332"/>
        <v>0</v>
      </c>
      <c r="T896" s="188">
        <f t="shared" si="332"/>
        <v>208604</v>
      </c>
      <c r="U896"/>
      <c r="V896">
        <f>+PRESUPUESTO22[[#This Row],[EJECUTADO ]]-SUM(PRESUPUESTO22[[#This Row],[   ENERO ]:[DIC]])</f>
        <v>0</v>
      </c>
      <c r="W896"/>
    </row>
    <row r="897" spans="1:23" ht="15.95" customHeight="1" x14ac:dyDescent="0.25">
      <c r="A897" s="52">
        <v>1</v>
      </c>
      <c r="B897" s="157">
        <v>1801</v>
      </c>
      <c r="C897" s="130" t="str">
        <f t="shared" si="321"/>
        <v>E-1801</v>
      </c>
      <c r="D897" s="130">
        <v>847</v>
      </c>
      <c r="E897" s="157" t="s">
        <v>69</v>
      </c>
      <c r="F897" s="219" t="s">
        <v>718</v>
      </c>
      <c r="G897" s="190">
        <f>SUM(G898:G898)</f>
        <v>180000</v>
      </c>
      <c r="H897" s="190">
        <f>SUM(H898:H898)</f>
        <v>16167</v>
      </c>
      <c r="I897" s="190">
        <f t="shared" ref="I897:T897" si="333">SUM(I898:I898)</f>
        <v>8023</v>
      </c>
      <c r="J897" s="190">
        <f t="shared" si="333"/>
        <v>8644</v>
      </c>
      <c r="K897" s="190">
        <f t="shared" si="333"/>
        <v>8023</v>
      </c>
      <c r="L897" s="190">
        <f t="shared" si="333"/>
        <v>9659</v>
      </c>
      <c r="M897" s="190">
        <f t="shared" si="333"/>
        <v>16532</v>
      </c>
      <c r="N897" s="190">
        <f t="shared" si="333"/>
        <v>9597</v>
      </c>
      <c r="O897" s="190">
        <f t="shared" si="333"/>
        <v>1130</v>
      </c>
      <c r="P897" s="190">
        <f t="shared" si="333"/>
        <v>18057</v>
      </c>
      <c r="Q897" s="190">
        <f t="shared" si="333"/>
        <v>34431</v>
      </c>
      <c r="R897" s="190">
        <f t="shared" si="333"/>
        <v>37901</v>
      </c>
      <c r="S897" s="190">
        <f t="shared" si="333"/>
        <v>0</v>
      </c>
      <c r="T897" s="190">
        <f t="shared" si="333"/>
        <v>168164</v>
      </c>
      <c r="U897"/>
      <c r="V897">
        <f>+PRESUPUESTO22[[#This Row],[EJECUTADO ]]-SUM(PRESUPUESTO22[[#This Row],[   ENERO ]:[DIC]])</f>
        <v>0</v>
      </c>
      <c r="W897"/>
    </row>
    <row r="898" spans="1:23" ht="15.95" customHeight="1" x14ac:dyDescent="0.25">
      <c r="A898" s="52" t="s">
        <v>1</v>
      </c>
      <c r="B898" s="156">
        <v>180101</v>
      </c>
      <c r="C898" s="130" t="str">
        <f t="shared" si="321"/>
        <v>E-180101</v>
      </c>
      <c r="D898" s="130">
        <v>848</v>
      </c>
      <c r="E898" s="156" t="s">
        <v>72</v>
      </c>
      <c r="F898" s="216" t="s">
        <v>1430</v>
      </c>
      <c r="G898" s="193">
        <v>180000</v>
      </c>
      <c r="H898" s="193">
        <f>16166.54+0.46</f>
        <v>16167</v>
      </c>
      <c r="I898" s="193">
        <f>8022.7+0.3</f>
        <v>8023</v>
      </c>
      <c r="J898" s="193">
        <v>8644</v>
      </c>
      <c r="K898" s="193">
        <f>8022.7+0.3</f>
        <v>8023</v>
      </c>
      <c r="L898" s="193">
        <f>9658.94+0.06</f>
        <v>9659</v>
      </c>
      <c r="M898" s="193">
        <f>16531.6+0.4</f>
        <v>16532</v>
      </c>
      <c r="N898" s="193">
        <f>9596.79+0.21</f>
        <v>9597</v>
      </c>
      <c r="O898" s="193">
        <v>1130</v>
      </c>
      <c r="P898" s="193">
        <f>18057.14-0.14</f>
        <v>18057</v>
      </c>
      <c r="Q898" s="193">
        <f>34431.1-0.1</f>
        <v>34431</v>
      </c>
      <c r="R898" s="193">
        <f>34431+3470</f>
        <v>37901</v>
      </c>
      <c r="S898" s="193">
        <v>0</v>
      </c>
      <c r="T898" s="193">
        <f>SUM(H898:S898)</f>
        <v>168164</v>
      </c>
      <c r="U898"/>
      <c r="V898">
        <f>+PRESUPUESTO22[[#This Row],[EJECUTADO ]]-SUM(PRESUPUESTO22[[#This Row],[   ENERO ]:[DIC]])</f>
        <v>0</v>
      </c>
      <c r="W898"/>
    </row>
    <row r="899" spans="1:23" ht="15.95" customHeight="1" x14ac:dyDescent="0.25">
      <c r="A899" s="52">
        <v>2</v>
      </c>
      <c r="B899" s="157">
        <v>1802</v>
      </c>
      <c r="C899" s="130" t="str">
        <f t="shared" si="321"/>
        <v>E-1802</v>
      </c>
      <c r="D899" s="130">
        <v>849</v>
      </c>
      <c r="E899" s="157" t="s">
        <v>69</v>
      </c>
      <c r="F899" s="219" t="s">
        <v>719</v>
      </c>
      <c r="G899" s="190">
        <f>SUM(G900:G903)</f>
        <v>22000</v>
      </c>
      <c r="H899" s="190">
        <f>SUM(H900:H903)</f>
        <v>0</v>
      </c>
      <c r="I899" s="190">
        <f t="shared" ref="I899:T899" si="334">SUM(I900:I903)</f>
        <v>0</v>
      </c>
      <c r="J899" s="190">
        <f t="shared" si="334"/>
        <v>0</v>
      </c>
      <c r="K899" s="190">
        <f t="shared" si="334"/>
        <v>0</v>
      </c>
      <c r="L899" s="190">
        <f t="shared" si="334"/>
        <v>0</v>
      </c>
      <c r="M899" s="190">
        <f t="shared" si="334"/>
        <v>0</v>
      </c>
      <c r="N899" s="190">
        <f t="shared" si="334"/>
        <v>0</v>
      </c>
      <c r="O899" s="190">
        <f t="shared" si="334"/>
        <v>22412</v>
      </c>
      <c r="P899" s="190">
        <f t="shared" si="334"/>
        <v>0</v>
      </c>
      <c r="Q899" s="190">
        <f t="shared" si="334"/>
        <v>0</v>
      </c>
      <c r="R899" s="190">
        <f t="shared" si="334"/>
        <v>0</v>
      </c>
      <c r="S899" s="190">
        <f t="shared" si="334"/>
        <v>0</v>
      </c>
      <c r="T899" s="190">
        <f t="shared" si="334"/>
        <v>22412</v>
      </c>
      <c r="U899"/>
      <c r="V899">
        <f>+PRESUPUESTO22[[#This Row],[EJECUTADO ]]-SUM(PRESUPUESTO22[[#This Row],[   ENERO ]:[DIC]])</f>
        <v>0</v>
      </c>
      <c r="W899"/>
    </row>
    <row r="900" spans="1:23" ht="15.95" customHeight="1" x14ac:dyDescent="0.25">
      <c r="A900" s="52"/>
      <c r="B900" s="156">
        <v>180201</v>
      </c>
      <c r="C900" s="130" t="str">
        <f t="shared" si="321"/>
        <v>E-180201</v>
      </c>
      <c r="D900" s="130">
        <v>850</v>
      </c>
      <c r="E900" s="156" t="s">
        <v>72</v>
      </c>
      <c r="F900" s="216" t="s">
        <v>720</v>
      </c>
      <c r="G900" s="193">
        <v>18700</v>
      </c>
      <c r="H900" s="193">
        <v>0</v>
      </c>
      <c r="I900" s="193">
        <v>0</v>
      </c>
      <c r="J900" s="193">
        <v>0</v>
      </c>
      <c r="K900" s="193">
        <v>0</v>
      </c>
      <c r="L900" s="193">
        <v>0</v>
      </c>
      <c r="M900" s="193">
        <v>0</v>
      </c>
      <c r="N900" s="193">
        <v>0</v>
      </c>
      <c r="O900" s="193">
        <v>17815</v>
      </c>
      <c r="P900" s="193">
        <v>0</v>
      </c>
      <c r="Q900" s="193">
        <v>0</v>
      </c>
      <c r="R900" s="193">
        <v>0</v>
      </c>
      <c r="S900" s="193">
        <v>0</v>
      </c>
      <c r="T900" s="193">
        <f>SUM(H900:S900)</f>
        <v>17815</v>
      </c>
      <c r="U900"/>
      <c r="V900">
        <f>+PRESUPUESTO22[[#This Row],[EJECUTADO ]]-SUM(PRESUPUESTO22[[#This Row],[   ENERO ]:[DIC]])</f>
        <v>0</v>
      </c>
      <c r="W900"/>
    </row>
    <row r="901" spans="1:23" ht="15.95" customHeight="1" x14ac:dyDescent="0.25">
      <c r="A901" s="52"/>
      <c r="B901" s="156">
        <v>180202</v>
      </c>
      <c r="C901" s="130" t="str">
        <f t="shared" si="321"/>
        <v>E-180202</v>
      </c>
      <c r="D901" s="130">
        <v>851</v>
      </c>
      <c r="E901" s="156" t="s">
        <v>72</v>
      </c>
      <c r="F901" s="216" t="s">
        <v>721</v>
      </c>
      <c r="G901" s="193">
        <v>1250</v>
      </c>
      <c r="H901" s="193">
        <v>0</v>
      </c>
      <c r="I901" s="193">
        <v>0</v>
      </c>
      <c r="J901" s="193">
        <v>0</v>
      </c>
      <c r="K901" s="193">
        <v>0</v>
      </c>
      <c r="L901" s="193">
        <v>0</v>
      </c>
      <c r="M901" s="193">
        <v>0</v>
      </c>
      <c r="N901" s="193">
        <v>0</v>
      </c>
      <c r="O901" s="193">
        <v>1250</v>
      </c>
      <c r="P901" s="193">
        <v>0</v>
      </c>
      <c r="Q901" s="193">
        <v>0</v>
      </c>
      <c r="R901" s="193">
        <v>0</v>
      </c>
      <c r="S901" s="193">
        <v>0</v>
      </c>
      <c r="T901" s="193">
        <f>SUM(H901:S901)</f>
        <v>1250</v>
      </c>
      <c r="U901"/>
      <c r="V901">
        <f>+PRESUPUESTO22[[#This Row],[EJECUTADO ]]-SUM(PRESUPUESTO22[[#This Row],[   ENERO ]:[DIC]])</f>
        <v>0</v>
      </c>
      <c r="W901"/>
    </row>
    <row r="902" spans="1:23" ht="15.95" customHeight="1" x14ac:dyDescent="0.25">
      <c r="A902" s="52"/>
      <c r="B902" s="156">
        <v>180203</v>
      </c>
      <c r="C902" s="130" t="str">
        <f t="shared" si="321"/>
        <v>E-180203</v>
      </c>
      <c r="D902" s="130">
        <v>852</v>
      </c>
      <c r="E902" s="156" t="s">
        <v>72</v>
      </c>
      <c r="F902" s="216" t="s">
        <v>722</v>
      </c>
      <c r="G902" s="193">
        <v>1650</v>
      </c>
      <c r="H902" s="193">
        <v>0</v>
      </c>
      <c r="I902" s="193">
        <v>0</v>
      </c>
      <c r="J902" s="193">
        <v>0</v>
      </c>
      <c r="K902" s="193">
        <v>0</v>
      </c>
      <c r="L902" s="193">
        <v>0</v>
      </c>
      <c r="M902" s="193">
        <v>0</v>
      </c>
      <c r="N902" s="193">
        <v>0</v>
      </c>
      <c r="O902" s="193">
        <f>2647.03-0.03</f>
        <v>2647</v>
      </c>
      <c r="P902" s="193">
        <v>0</v>
      </c>
      <c r="Q902" s="193">
        <v>0</v>
      </c>
      <c r="R902" s="193">
        <v>0</v>
      </c>
      <c r="S902" s="193">
        <v>0</v>
      </c>
      <c r="T902" s="193">
        <f>SUM(H902:S902)</f>
        <v>2647</v>
      </c>
      <c r="U902"/>
      <c r="V902">
        <f>+PRESUPUESTO22[[#This Row],[EJECUTADO ]]-SUM(PRESUPUESTO22[[#This Row],[   ENERO ]:[DIC]])</f>
        <v>0</v>
      </c>
      <c r="W902"/>
    </row>
    <row r="903" spans="1:23" ht="15.95" customHeight="1" x14ac:dyDescent="0.25">
      <c r="A903" s="52"/>
      <c r="B903" s="156">
        <v>180204</v>
      </c>
      <c r="C903" s="130" t="str">
        <f t="shared" si="321"/>
        <v>E-180204</v>
      </c>
      <c r="D903" s="130">
        <v>853</v>
      </c>
      <c r="E903" s="156" t="s">
        <v>72</v>
      </c>
      <c r="F903" s="216" t="s">
        <v>723</v>
      </c>
      <c r="G903" s="193">
        <v>400</v>
      </c>
      <c r="H903" s="193">
        <v>0</v>
      </c>
      <c r="I903" s="193">
        <v>0</v>
      </c>
      <c r="J903" s="193">
        <v>0</v>
      </c>
      <c r="K903" s="193">
        <v>0</v>
      </c>
      <c r="L903" s="193">
        <v>0</v>
      </c>
      <c r="M903" s="193">
        <v>0</v>
      </c>
      <c r="N903" s="193">
        <v>0</v>
      </c>
      <c r="O903" s="193">
        <v>700</v>
      </c>
      <c r="P903" s="193">
        <v>0</v>
      </c>
      <c r="Q903" s="193">
        <v>0</v>
      </c>
      <c r="R903" s="193">
        <v>0</v>
      </c>
      <c r="S903" s="193">
        <v>0</v>
      </c>
      <c r="T903" s="193">
        <f>SUM(H903:S903)</f>
        <v>700</v>
      </c>
      <c r="U903"/>
      <c r="V903">
        <f>+PRESUPUESTO22[[#This Row],[EJECUTADO ]]-SUM(PRESUPUESTO22[[#This Row],[   ENERO ]:[DIC]])</f>
        <v>0</v>
      </c>
    </row>
    <row r="904" spans="1:23" ht="15.95" customHeight="1" x14ac:dyDescent="0.25">
      <c r="A904" s="52">
        <v>3</v>
      </c>
      <c r="B904" s="157">
        <v>1803</v>
      </c>
      <c r="C904" s="130" t="str">
        <f t="shared" si="321"/>
        <v>E-1803</v>
      </c>
      <c r="D904" s="130">
        <v>854</v>
      </c>
      <c r="E904" s="157" t="s">
        <v>69</v>
      </c>
      <c r="F904" s="219" t="s">
        <v>724</v>
      </c>
      <c r="G904" s="190">
        <f>SUM(G905:G905)</f>
        <v>3000</v>
      </c>
      <c r="H904" s="190">
        <f>SUM(H905:H905)</f>
        <v>0</v>
      </c>
      <c r="I904" s="190">
        <f>SUM(I905:I905)</f>
        <v>0</v>
      </c>
      <c r="J904" s="190">
        <f>SUM(J905:J905)</f>
        <v>467</v>
      </c>
      <c r="K904" s="190">
        <f t="shared" ref="K904:T904" si="335">SUM(K905:K905)</f>
        <v>0</v>
      </c>
      <c r="L904" s="190">
        <f t="shared" si="335"/>
        <v>0</v>
      </c>
      <c r="M904" s="190">
        <f t="shared" si="335"/>
        <v>0</v>
      </c>
      <c r="N904" s="190">
        <f t="shared" si="335"/>
        <v>0</v>
      </c>
      <c r="O904" s="190">
        <f t="shared" si="335"/>
        <v>0</v>
      </c>
      <c r="P904" s="190">
        <f t="shared" si="335"/>
        <v>0</v>
      </c>
      <c r="Q904" s="190">
        <f t="shared" si="335"/>
        <v>0</v>
      </c>
      <c r="R904" s="190">
        <f t="shared" si="335"/>
        <v>0</v>
      </c>
      <c r="S904" s="190">
        <f t="shared" si="335"/>
        <v>0</v>
      </c>
      <c r="T904" s="190">
        <f t="shared" si="335"/>
        <v>467</v>
      </c>
      <c r="U904"/>
      <c r="V904">
        <f>+PRESUPUESTO22[[#This Row],[EJECUTADO ]]-SUM(PRESUPUESTO22[[#This Row],[   ENERO ]:[DIC]])</f>
        <v>0</v>
      </c>
    </row>
    <row r="905" spans="1:23" ht="15" x14ac:dyDescent="0.25">
      <c r="A905" s="52"/>
      <c r="B905" s="156">
        <v>180301</v>
      </c>
      <c r="C905" s="130" t="str">
        <f t="shared" si="321"/>
        <v>E-180301</v>
      </c>
      <c r="D905" s="130">
        <v>855</v>
      </c>
      <c r="E905" s="156" t="s">
        <v>72</v>
      </c>
      <c r="F905" s="216" t="s">
        <v>725</v>
      </c>
      <c r="G905" s="193">
        <v>3000</v>
      </c>
      <c r="H905" s="193">
        <v>0</v>
      </c>
      <c r="I905" s="193">
        <v>0</v>
      </c>
      <c r="J905" s="193">
        <f>467.35-0.35</f>
        <v>467</v>
      </c>
      <c r="K905" s="193">
        <v>0</v>
      </c>
      <c r="L905" s="193">
        <v>0</v>
      </c>
      <c r="M905" s="193">
        <v>0</v>
      </c>
      <c r="N905" s="193">
        <v>0</v>
      </c>
      <c r="O905" s="193">
        <v>0</v>
      </c>
      <c r="P905" s="193">
        <v>0</v>
      </c>
      <c r="Q905" s="193">
        <v>0</v>
      </c>
      <c r="R905" s="193">
        <v>0</v>
      </c>
      <c r="S905" s="193">
        <v>0</v>
      </c>
      <c r="T905" s="193">
        <f>SUM(H905:S905)</f>
        <v>467</v>
      </c>
      <c r="U905"/>
      <c r="V905">
        <f>+PRESUPUESTO22[[#This Row],[EJECUTADO ]]-SUM(PRESUPUESTO22[[#This Row],[   ENERO ]:[DIC]])</f>
        <v>0</v>
      </c>
    </row>
    <row r="906" spans="1:23" ht="15.95" customHeight="1" x14ac:dyDescent="0.25">
      <c r="A906" s="52">
        <v>4</v>
      </c>
      <c r="B906" s="157">
        <v>1804</v>
      </c>
      <c r="C906" s="130" t="str">
        <f t="shared" si="321"/>
        <v>E-1804</v>
      </c>
      <c r="D906" s="130">
        <v>856</v>
      </c>
      <c r="E906" s="157" t="s">
        <v>69</v>
      </c>
      <c r="F906" s="219" t="s">
        <v>726</v>
      </c>
      <c r="G906" s="190">
        <f t="shared" ref="G906:T906" si="336">SUM(G907:G915)</f>
        <v>20000</v>
      </c>
      <c r="H906" s="190">
        <f t="shared" si="336"/>
        <v>329</v>
      </c>
      <c r="I906" s="190">
        <f t="shared" si="336"/>
        <v>407</v>
      </c>
      <c r="J906" s="190">
        <f t="shared" si="336"/>
        <v>502</v>
      </c>
      <c r="K906" s="190">
        <f t="shared" si="336"/>
        <v>1598.9999999999998</v>
      </c>
      <c r="L906" s="190">
        <f t="shared" si="336"/>
        <v>429</v>
      </c>
      <c r="M906" s="190">
        <f t="shared" si="336"/>
        <v>508</v>
      </c>
      <c r="N906" s="190">
        <f t="shared" si="336"/>
        <v>9020</v>
      </c>
      <c r="O906" s="190">
        <f t="shared" si="336"/>
        <v>359</v>
      </c>
      <c r="P906" s="190">
        <f t="shared" si="336"/>
        <v>464</v>
      </c>
      <c r="Q906" s="190">
        <f t="shared" si="336"/>
        <v>393</v>
      </c>
      <c r="R906" s="190">
        <f t="shared" si="336"/>
        <v>3551.0000000000005</v>
      </c>
      <c r="S906" s="190">
        <f t="shared" si="336"/>
        <v>0</v>
      </c>
      <c r="T906" s="190">
        <f t="shared" si="336"/>
        <v>17561</v>
      </c>
      <c r="U906"/>
      <c r="V906">
        <f>+PRESUPUESTO22[[#This Row],[EJECUTADO ]]-SUM(PRESUPUESTO22[[#This Row],[   ENERO ]:[DIC]])</f>
        <v>0</v>
      </c>
    </row>
    <row r="907" spans="1:23" ht="15" x14ac:dyDescent="0.25">
      <c r="A907" s="52"/>
      <c r="B907" s="156">
        <v>180401</v>
      </c>
      <c r="C907" s="130" t="str">
        <f t="shared" si="321"/>
        <v>E-180401</v>
      </c>
      <c r="D907" s="130">
        <v>857</v>
      </c>
      <c r="E907" s="156" t="s">
        <v>72</v>
      </c>
      <c r="F907" s="216" t="s">
        <v>727</v>
      </c>
      <c r="G907" s="193">
        <v>12551</v>
      </c>
      <c r="H907" s="193">
        <f>28.5+0.5</f>
        <v>29</v>
      </c>
      <c r="I907" s="193">
        <v>0</v>
      </c>
      <c r="J907" s="193">
        <f>176.57+0.43</f>
        <v>177</v>
      </c>
      <c r="K907" s="193">
        <f>34.54+0.46</f>
        <v>35</v>
      </c>
      <c r="L907" s="193">
        <v>0</v>
      </c>
      <c r="M907" s="193">
        <v>0</v>
      </c>
      <c r="N907" s="193">
        <f>6+39.53+0.47</f>
        <v>46</v>
      </c>
      <c r="O907" s="193">
        <v>0</v>
      </c>
      <c r="P907" s="193">
        <v>105</v>
      </c>
      <c r="Q907" s="193">
        <f>12.58+0.42</f>
        <v>13</v>
      </c>
      <c r="R907" s="193">
        <f>3175.53+5.96+0.51</f>
        <v>3182.0000000000005</v>
      </c>
      <c r="S907" s="193">
        <v>0</v>
      </c>
      <c r="T907" s="193">
        <f t="shared" ref="T907:T915" si="337">SUM(H907:S907)</f>
        <v>3587.0000000000005</v>
      </c>
      <c r="U907"/>
      <c r="V907">
        <f>+PRESUPUESTO22[[#This Row],[EJECUTADO ]]-SUM(PRESUPUESTO22[[#This Row],[   ENERO ]:[DIC]])</f>
        <v>0</v>
      </c>
    </row>
    <row r="908" spans="1:23" ht="15" x14ac:dyDescent="0.25">
      <c r="A908" s="52"/>
      <c r="B908" s="156">
        <v>180402</v>
      </c>
      <c r="C908" s="130" t="str">
        <f t="shared" si="321"/>
        <v>E-180402</v>
      </c>
      <c r="D908" s="130">
        <v>858</v>
      </c>
      <c r="E908" s="156" t="s">
        <v>72</v>
      </c>
      <c r="F908" s="216" t="s">
        <v>728</v>
      </c>
      <c r="G908" s="193">
        <v>800</v>
      </c>
      <c r="H908" s="193">
        <v>100</v>
      </c>
      <c r="I908" s="193">
        <v>100</v>
      </c>
      <c r="J908" s="193">
        <v>100</v>
      </c>
      <c r="K908" s="193">
        <v>100</v>
      </c>
      <c r="L908" s="193">
        <v>100</v>
      </c>
      <c r="M908" s="193">
        <v>100</v>
      </c>
      <c r="N908" s="193">
        <v>100</v>
      </c>
      <c r="O908" s="193">
        <v>100</v>
      </c>
      <c r="P908" s="193">
        <v>100</v>
      </c>
      <c r="Q908" s="193">
        <v>100</v>
      </c>
      <c r="R908" s="193">
        <v>100</v>
      </c>
      <c r="S908" s="193">
        <v>0</v>
      </c>
      <c r="T908" s="193">
        <f t="shared" si="337"/>
        <v>1100</v>
      </c>
      <c r="U908"/>
      <c r="V908">
        <f>+PRESUPUESTO22[[#This Row],[EJECUTADO ]]-SUM(PRESUPUESTO22[[#This Row],[   ENERO ]:[DIC]])</f>
        <v>0</v>
      </c>
    </row>
    <row r="909" spans="1:23" ht="14.25" customHeight="1" x14ac:dyDescent="0.25">
      <c r="A909" s="52"/>
      <c r="B909" s="156">
        <v>180403</v>
      </c>
      <c r="C909" s="130" t="str">
        <f t="shared" si="321"/>
        <v>E-180403</v>
      </c>
      <c r="D909" s="130">
        <v>859</v>
      </c>
      <c r="E909" s="156" t="s">
        <v>72</v>
      </c>
      <c r="F909" s="216" t="s">
        <v>729</v>
      </c>
      <c r="G909" s="193">
        <v>2400</v>
      </c>
      <c r="H909" s="193">
        <v>0</v>
      </c>
      <c r="I909" s="193">
        <v>0</v>
      </c>
      <c r="J909" s="193">
        <v>0</v>
      </c>
      <c r="K909" s="193">
        <f>384.2+646.64+12.58+127.3+0.28</f>
        <v>1170.9999999999998</v>
      </c>
      <c r="L909" s="193">
        <v>70</v>
      </c>
      <c r="M909" s="193">
        <f>149.05-0.05</f>
        <v>149</v>
      </c>
      <c r="N909" s="193">
        <f>14.9+0.1</f>
        <v>15</v>
      </c>
      <c r="O909" s="193">
        <v>0</v>
      </c>
      <c r="P909" s="193">
        <v>0</v>
      </c>
      <c r="Q909" s="193">
        <f>20.86+0.14</f>
        <v>21</v>
      </c>
      <c r="R909" s="193">
        <f>9.97+0.03</f>
        <v>10</v>
      </c>
      <c r="S909" s="193">
        <v>0</v>
      </c>
      <c r="T909" s="193">
        <f t="shared" si="337"/>
        <v>1435.9999999999998</v>
      </c>
      <c r="U909"/>
      <c r="V909">
        <f>+PRESUPUESTO22[[#This Row],[EJECUTADO ]]-SUM(PRESUPUESTO22[[#This Row],[   ENERO ]:[DIC]])</f>
        <v>0</v>
      </c>
    </row>
    <row r="910" spans="1:23" ht="15" x14ac:dyDescent="0.25">
      <c r="A910" s="52"/>
      <c r="B910" s="156">
        <v>180404</v>
      </c>
      <c r="C910" s="130" t="str">
        <f t="shared" si="321"/>
        <v>E-180404</v>
      </c>
      <c r="D910" s="130">
        <v>860</v>
      </c>
      <c r="E910" s="156" t="s">
        <v>72</v>
      </c>
      <c r="F910" s="216" t="s">
        <v>730</v>
      </c>
      <c r="G910" s="193">
        <v>1000</v>
      </c>
      <c r="H910" s="193">
        <v>0</v>
      </c>
      <c r="I910" s="193">
        <v>0</v>
      </c>
      <c r="J910" s="193">
        <v>0</v>
      </c>
      <c r="K910" s="193">
        <v>0</v>
      </c>
      <c r="L910" s="193">
        <v>0</v>
      </c>
      <c r="M910" s="193">
        <v>0</v>
      </c>
      <c r="N910" s="193">
        <v>0</v>
      </c>
      <c r="O910" s="193">
        <v>0</v>
      </c>
      <c r="P910" s="193">
        <v>0</v>
      </c>
      <c r="Q910" s="193">
        <v>0</v>
      </c>
      <c r="R910" s="193">
        <v>0</v>
      </c>
      <c r="S910" s="193">
        <v>0</v>
      </c>
      <c r="T910" s="193">
        <f t="shared" si="337"/>
        <v>0</v>
      </c>
      <c r="U910"/>
      <c r="V910">
        <f>+PRESUPUESTO22[[#This Row],[EJECUTADO ]]-SUM(PRESUPUESTO22[[#This Row],[   ENERO ]:[DIC]])</f>
        <v>0</v>
      </c>
    </row>
    <row r="911" spans="1:23" ht="15" x14ac:dyDescent="0.25">
      <c r="A911" s="52"/>
      <c r="B911" s="156">
        <v>180405</v>
      </c>
      <c r="C911" s="130" t="str">
        <f t="shared" si="321"/>
        <v>E-180405</v>
      </c>
      <c r="D911" s="130">
        <v>861</v>
      </c>
      <c r="E911" s="156" t="s">
        <v>72</v>
      </c>
      <c r="F911" s="216" t="s">
        <v>731</v>
      </c>
      <c r="G911" s="193">
        <v>3049</v>
      </c>
      <c r="H911" s="193">
        <v>200</v>
      </c>
      <c r="I911" s="193">
        <v>200</v>
      </c>
      <c r="J911" s="193">
        <v>225</v>
      </c>
      <c r="K911" s="193">
        <v>293</v>
      </c>
      <c r="L911" s="193">
        <v>259</v>
      </c>
      <c r="M911" s="193">
        <v>259</v>
      </c>
      <c r="N911" s="193">
        <v>259</v>
      </c>
      <c r="O911" s="193">
        <v>259</v>
      </c>
      <c r="P911" s="193">
        <v>259</v>
      </c>
      <c r="Q911" s="193">
        <v>259</v>
      </c>
      <c r="R911" s="193">
        <v>259</v>
      </c>
      <c r="S911" s="193">
        <v>0</v>
      </c>
      <c r="T911" s="193">
        <f t="shared" si="337"/>
        <v>2731</v>
      </c>
      <c r="U911"/>
      <c r="V911">
        <f>+PRESUPUESTO22[[#This Row],[EJECUTADO ]]-SUM(PRESUPUESTO22[[#This Row],[   ENERO ]:[DIC]])</f>
        <v>0</v>
      </c>
    </row>
    <row r="912" spans="1:23" ht="15" x14ac:dyDescent="0.25">
      <c r="A912" s="52"/>
      <c r="B912" s="156">
        <v>180406</v>
      </c>
      <c r="C912" s="130" t="str">
        <f t="shared" si="321"/>
        <v>E-180406</v>
      </c>
      <c r="D912" s="130">
        <v>862</v>
      </c>
      <c r="E912" s="156" t="s">
        <v>72</v>
      </c>
      <c r="F912" s="216" t="s">
        <v>732</v>
      </c>
      <c r="G912" s="193">
        <v>200</v>
      </c>
      <c r="H912" s="193">
        <v>0</v>
      </c>
      <c r="I912" s="193">
        <v>0</v>
      </c>
      <c r="J912" s="193">
        <v>0</v>
      </c>
      <c r="K912" s="193">
        <v>0</v>
      </c>
      <c r="L912" s="193">
        <v>0</v>
      </c>
      <c r="M912" s="193">
        <v>0</v>
      </c>
      <c r="N912" s="193">
        <v>0</v>
      </c>
      <c r="O912" s="193">
        <v>0</v>
      </c>
      <c r="P912" s="193">
        <v>0</v>
      </c>
      <c r="Q912" s="193">
        <v>0</v>
      </c>
      <c r="R912" s="193">
        <v>0</v>
      </c>
      <c r="S912" s="193">
        <v>0</v>
      </c>
      <c r="T912" s="193">
        <f t="shared" si="337"/>
        <v>0</v>
      </c>
      <c r="U912"/>
      <c r="V912">
        <f>+PRESUPUESTO22[[#This Row],[EJECUTADO ]]-SUM(PRESUPUESTO22[[#This Row],[   ENERO ]:[DIC]])</f>
        <v>0</v>
      </c>
    </row>
    <row r="913" spans="1:23" ht="15" x14ac:dyDescent="0.25">
      <c r="A913" s="52"/>
      <c r="B913" s="156">
        <v>180407</v>
      </c>
      <c r="C913" s="130" t="str">
        <f t="shared" si="321"/>
        <v>E-180407</v>
      </c>
      <c r="D913" s="130">
        <v>863</v>
      </c>
      <c r="E913" s="156" t="s">
        <v>72</v>
      </c>
      <c r="F913" s="216" t="s">
        <v>733</v>
      </c>
      <c r="G913" s="193">
        <v>0</v>
      </c>
      <c r="H913" s="193">
        <v>0</v>
      </c>
      <c r="I913" s="193">
        <v>0</v>
      </c>
      <c r="J913" s="193">
        <v>0</v>
      </c>
      <c r="K913" s="193">
        <v>0</v>
      </c>
      <c r="L913" s="193">
        <v>0</v>
      </c>
      <c r="M913" s="193">
        <v>0</v>
      </c>
      <c r="N913" s="193">
        <f>7401.5+791+0.5</f>
        <v>8193</v>
      </c>
      <c r="O913" s="193">
        <v>0</v>
      </c>
      <c r="P913" s="193">
        <v>0</v>
      </c>
      <c r="Q913" s="193">
        <v>0</v>
      </c>
      <c r="R913" s="193">
        <v>0</v>
      </c>
      <c r="S913" s="193">
        <v>0</v>
      </c>
      <c r="T913" s="193">
        <f t="shared" si="337"/>
        <v>8193</v>
      </c>
      <c r="U913"/>
      <c r="V913">
        <f>+PRESUPUESTO22[[#This Row],[EJECUTADO ]]-SUM(PRESUPUESTO22[[#This Row],[   ENERO ]:[DIC]])</f>
        <v>0</v>
      </c>
    </row>
    <row r="914" spans="1:23" ht="15" x14ac:dyDescent="0.25">
      <c r="A914" s="52"/>
      <c r="B914" s="156">
        <v>180408</v>
      </c>
      <c r="C914" s="130" t="str">
        <f t="shared" si="321"/>
        <v>E-180408</v>
      </c>
      <c r="D914" s="130">
        <v>864</v>
      </c>
      <c r="E914" s="156" t="s">
        <v>72</v>
      </c>
      <c r="F914" s="216" t="s">
        <v>734</v>
      </c>
      <c r="G914" s="193">
        <v>0</v>
      </c>
      <c r="H914" s="193">
        <v>0</v>
      </c>
      <c r="I914" s="193">
        <v>0</v>
      </c>
      <c r="J914" s="193">
        <v>0</v>
      </c>
      <c r="K914" s="193">
        <v>0</v>
      </c>
      <c r="L914" s="193">
        <v>0</v>
      </c>
      <c r="M914" s="193">
        <v>0</v>
      </c>
      <c r="N914" s="193">
        <f>406.8+0.2</f>
        <v>407</v>
      </c>
      <c r="O914" s="193">
        <v>0</v>
      </c>
      <c r="P914" s="193">
        <v>0</v>
      </c>
      <c r="Q914" s="193">
        <v>0</v>
      </c>
      <c r="R914" s="193">
        <v>0</v>
      </c>
      <c r="S914" s="193">
        <v>0</v>
      </c>
      <c r="T914" s="193">
        <f t="shared" si="337"/>
        <v>407</v>
      </c>
      <c r="U914"/>
      <c r="V914">
        <f>+PRESUPUESTO22[[#This Row],[EJECUTADO ]]-SUM(PRESUPUESTO22[[#This Row],[   ENERO ]:[DIC]])</f>
        <v>0</v>
      </c>
    </row>
    <row r="915" spans="1:23" ht="15" x14ac:dyDescent="0.25">
      <c r="A915" s="52"/>
      <c r="B915" s="156">
        <v>180409</v>
      </c>
      <c r="C915" s="130" t="str">
        <f t="shared" si="321"/>
        <v>E-180409</v>
      </c>
      <c r="D915" s="130">
        <v>865</v>
      </c>
      <c r="E915" s="156" t="s">
        <v>72</v>
      </c>
      <c r="F915" s="216" t="s">
        <v>735</v>
      </c>
      <c r="G915" s="193">
        <v>0</v>
      </c>
      <c r="H915" s="193">
        <v>0</v>
      </c>
      <c r="I915" s="193">
        <f>106.85+0.15</f>
        <v>107</v>
      </c>
      <c r="J915" s="193">
        <v>0</v>
      </c>
      <c r="K915" s="193">
        <v>0</v>
      </c>
      <c r="L915" s="193">
        <v>0</v>
      </c>
      <c r="M915" s="193">
        <v>0</v>
      </c>
      <c r="N915" s="193">
        <v>0</v>
      </c>
      <c r="O915" s="193">
        <v>0</v>
      </c>
      <c r="P915" s="193">
        <v>0</v>
      </c>
      <c r="Q915" s="193">
        <v>0</v>
      </c>
      <c r="R915" s="193">
        <v>0</v>
      </c>
      <c r="S915" s="193">
        <v>0</v>
      </c>
      <c r="T915" s="193">
        <f t="shared" si="337"/>
        <v>107</v>
      </c>
      <c r="U915"/>
      <c r="V915">
        <f>+PRESUPUESTO22[[#This Row],[EJECUTADO ]]-SUM(PRESUPUESTO22[[#This Row],[   ENERO ]:[DIC]])</f>
        <v>0</v>
      </c>
    </row>
    <row r="916" spans="1:23" ht="15.95" customHeight="1" x14ac:dyDescent="0.25">
      <c r="A916" s="49">
        <v>19</v>
      </c>
      <c r="B916" s="131">
        <v>19</v>
      </c>
      <c r="C916" s="130" t="str">
        <f t="shared" si="321"/>
        <v>E-19</v>
      </c>
      <c r="D916" s="130">
        <v>866</v>
      </c>
      <c r="E916" s="131" t="s">
        <v>67</v>
      </c>
      <c r="F916" s="50" t="s">
        <v>736</v>
      </c>
      <c r="G916" s="188">
        <f>+G917</f>
        <v>240000</v>
      </c>
      <c r="H916" s="188">
        <f t="shared" ref="H916:T916" si="338">+H917</f>
        <v>10824</v>
      </c>
      <c r="I916" s="188">
        <f t="shared" si="338"/>
        <v>14910</v>
      </c>
      <c r="J916" s="188">
        <f t="shared" si="338"/>
        <v>17069</v>
      </c>
      <c r="K916" s="188">
        <f t="shared" si="338"/>
        <v>14076</v>
      </c>
      <c r="L916" s="188">
        <f t="shared" si="338"/>
        <v>16331</v>
      </c>
      <c r="M916" s="188">
        <f t="shared" si="338"/>
        <v>17785</v>
      </c>
      <c r="N916" s="188">
        <f t="shared" si="338"/>
        <v>24598</v>
      </c>
      <c r="O916" s="188">
        <f t="shared" si="338"/>
        <v>16535</v>
      </c>
      <c r="P916" s="188">
        <f t="shared" si="338"/>
        <v>23764</v>
      </c>
      <c r="Q916" s="188">
        <f t="shared" si="338"/>
        <v>29142</v>
      </c>
      <c r="R916" s="188">
        <f t="shared" si="338"/>
        <v>22345</v>
      </c>
      <c r="S916" s="188">
        <f t="shared" si="338"/>
        <v>0</v>
      </c>
      <c r="T916" s="188">
        <f t="shared" si="338"/>
        <v>207379</v>
      </c>
      <c r="U916"/>
      <c r="V916">
        <f>+PRESUPUESTO22[[#This Row],[EJECUTADO ]]-SUM(PRESUPUESTO22[[#This Row],[   ENERO ]:[DIC]])</f>
        <v>0</v>
      </c>
      <c r="W916"/>
    </row>
    <row r="917" spans="1:23" ht="15.95" customHeight="1" x14ac:dyDescent="0.25">
      <c r="A917" s="52">
        <v>19.100000000000001</v>
      </c>
      <c r="B917" s="157">
        <v>1901</v>
      </c>
      <c r="C917" s="130" t="str">
        <f t="shared" si="321"/>
        <v>E-1901</v>
      </c>
      <c r="D917" s="130">
        <v>867</v>
      </c>
      <c r="E917" s="157" t="s">
        <v>69</v>
      </c>
      <c r="F917" s="219" t="s">
        <v>737</v>
      </c>
      <c r="G917" s="190">
        <f t="shared" ref="G917:T917" si="339">+G918+G939+G942+G950+G970+G976+G960</f>
        <v>240000</v>
      </c>
      <c r="H917" s="190">
        <f t="shared" si="339"/>
        <v>10824</v>
      </c>
      <c r="I917" s="190">
        <f t="shared" si="339"/>
        <v>14910</v>
      </c>
      <c r="J917" s="190">
        <f t="shared" si="339"/>
        <v>17069</v>
      </c>
      <c r="K917" s="190">
        <f t="shared" si="339"/>
        <v>14076</v>
      </c>
      <c r="L917" s="190">
        <f t="shared" si="339"/>
        <v>16331</v>
      </c>
      <c r="M917" s="190">
        <f t="shared" si="339"/>
        <v>17785</v>
      </c>
      <c r="N917" s="190">
        <f t="shared" si="339"/>
        <v>24598</v>
      </c>
      <c r="O917" s="190">
        <f t="shared" si="339"/>
        <v>16535</v>
      </c>
      <c r="P917" s="190">
        <f t="shared" si="339"/>
        <v>23764</v>
      </c>
      <c r="Q917" s="190">
        <f t="shared" si="339"/>
        <v>29142</v>
      </c>
      <c r="R917" s="190">
        <f t="shared" si="339"/>
        <v>22345</v>
      </c>
      <c r="S917" s="190">
        <f t="shared" si="339"/>
        <v>0</v>
      </c>
      <c r="T917" s="190">
        <f t="shared" si="339"/>
        <v>207379</v>
      </c>
      <c r="U917"/>
      <c r="V917">
        <f>+PRESUPUESTO22[[#This Row],[EJECUTADO ]]-SUM(PRESUPUESTO22[[#This Row],[   ENERO ]:[DIC]])</f>
        <v>0</v>
      </c>
      <c r="W917"/>
    </row>
    <row r="918" spans="1:23" ht="15.95" customHeight="1" x14ac:dyDescent="0.25">
      <c r="A918" s="52">
        <v>1</v>
      </c>
      <c r="B918" s="167">
        <v>190101</v>
      </c>
      <c r="C918" s="130" t="str">
        <f t="shared" si="321"/>
        <v>E-190101</v>
      </c>
      <c r="D918" s="130">
        <v>868</v>
      </c>
      <c r="E918" s="167" t="s">
        <v>72</v>
      </c>
      <c r="F918" s="232" t="s">
        <v>738</v>
      </c>
      <c r="G918" s="192">
        <v>33000</v>
      </c>
      <c r="H918" s="192">
        <f>SUM(H919:H938)</f>
        <v>896</v>
      </c>
      <c r="I918" s="192">
        <f>SUM(I919:I938)</f>
        <v>2971</v>
      </c>
      <c r="J918" s="192">
        <f>SUM(J919:J938)</f>
        <v>5042</v>
      </c>
      <c r="K918" s="192">
        <f t="shared" ref="K918:T918" si="340">SUM(K919:K938)</f>
        <v>2346</v>
      </c>
      <c r="L918" s="192">
        <f t="shared" si="340"/>
        <v>3634</v>
      </c>
      <c r="M918" s="192">
        <f t="shared" si="340"/>
        <v>2332</v>
      </c>
      <c r="N918" s="192">
        <f t="shared" si="340"/>
        <v>3065</v>
      </c>
      <c r="O918" s="192">
        <f t="shared" si="340"/>
        <v>7058</v>
      </c>
      <c r="P918" s="192">
        <f t="shared" si="340"/>
        <v>2838</v>
      </c>
      <c r="Q918" s="192">
        <f t="shared" si="340"/>
        <v>2398</v>
      </c>
      <c r="R918" s="192">
        <f t="shared" si="340"/>
        <v>2257</v>
      </c>
      <c r="S918" s="192">
        <f t="shared" si="340"/>
        <v>0</v>
      </c>
      <c r="T918" s="192">
        <f t="shared" si="340"/>
        <v>34837</v>
      </c>
      <c r="U918"/>
      <c r="V918">
        <f>+PRESUPUESTO22[[#This Row],[EJECUTADO ]]-SUM(PRESUPUESTO22[[#This Row],[   ENERO ]:[DIC]])</f>
        <v>0</v>
      </c>
    </row>
    <row r="919" spans="1:23" ht="17.25" customHeight="1" x14ac:dyDescent="0.25">
      <c r="A919" s="52">
        <v>1</v>
      </c>
      <c r="B919" s="156">
        <v>19010101</v>
      </c>
      <c r="C919" s="130" t="str">
        <f t="shared" ref="C919:C985" si="341">"E"&amp;"-"&amp;B919</f>
        <v>E-19010101</v>
      </c>
      <c r="D919" s="130">
        <v>869</v>
      </c>
      <c r="E919" s="156" t="s">
        <v>69</v>
      </c>
      <c r="F919" s="216" t="s">
        <v>739</v>
      </c>
      <c r="G919" s="193">
        <v>0</v>
      </c>
      <c r="H919" s="193">
        <v>0</v>
      </c>
      <c r="I919" s="193">
        <v>0</v>
      </c>
      <c r="J919" s="193">
        <v>0</v>
      </c>
      <c r="K919" s="193">
        <v>0</v>
      </c>
      <c r="L919" s="193">
        <v>0</v>
      </c>
      <c r="M919" s="193">
        <v>0</v>
      </c>
      <c r="N919" s="193">
        <v>0</v>
      </c>
      <c r="O919" s="193">
        <f>3051.97+0.03</f>
        <v>3052</v>
      </c>
      <c r="P919" s="193">
        <v>0</v>
      </c>
      <c r="Q919" s="193">
        <v>0</v>
      </c>
      <c r="R919" s="193">
        <v>0</v>
      </c>
      <c r="S919" s="193">
        <v>0</v>
      </c>
      <c r="T919" s="193">
        <f t="shared" ref="T919:T938" si="342">SUM(H919:S919)</f>
        <v>3052</v>
      </c>
      <c r="U919"/>
      <c r="V919">
        <f>+PRESUPUESTO22[[#This Row],[EJECUTADO ]]-SUM(PRESUPUESTO22[[#This Row],[   ENERO ]:[DIC]])</f>
        <v>0</v>
      </c>
      <c r="W919" s="7" t="s">
        <v>1</v>
      </c>
    </row>
    <row r="920" spans="1:23" ht="15" customHeight="1" x14ac:dyDescent="0.25">
      <c r="A920" s="52">
        <f>+A919+1</f>
        <v>2</v>
      </c>
      <c r="B920" s="156">
        <v>19010102</v>
      </c>
      <c r="C920" s="130" t="str">
        <f t="shared" si="341"/>
        <v>E-19010102</v>
      </c>
      <c r="D920" s="130">
        <v>870</v>
      </c>
      <c r="E920" s="156" t="s">
        <v>69</v>
      </c>
      <c r="F920" s="216" t="s">
        <v>740</v>
      </c>
      <c r="G920" s="193">
        <v>0</v>
      </c>
      <c r="H920" s="193">
        <v>0</v>
      </c>
      <c r="I920" s="193">
        <v>395</v>
      </c>
      <c r="J920" s="193">
        <f>1128.18-0.18</f>
        <v>1128</v>
      </c>
      <c r="K920" s="193">
        <v>0</v>
      </c>
      <c r="L920" s="193">
        <f>67.8+0.2</f>
        <v>68</v>
      </c>
      <c r="M920" s="193">
        <v>0</v>
      </c>
      <c r="N920" s="193">
        <v>0</v>
      </c>
      <c r="O920" s="193">
        <f>1898.24-0.24</f>
        <v>1898</v>
      </c>
      <c r="P920" s="193">
        <v>0</v>
      </c>
      <c r="Q920" s="193">
        <v>0</v>
      </c>
      <c r="R920" s="193">
        <v>0</v>
      </c>
      <c r="S920" s="193">
        <v>0</v>
      </c>
      <c r="T920" s="193">
        <f t="shared" si="342"/>
        <v>3489</v>
      </c>
      <c r="U920"/>
      <c r="V920">
        <f>+PRESUPUESTO22[[#This Row],[EJECUTADO ]]-SUM(PRESUPUESTO22[[#This Row],[   ENERO ]:[DIC]])</f>
        <v>0</v>
      </c>
    </row>
    <row r="921" spans="1:23" ht="15" x14ac:dyDescent="0.25">
      <c r="A921" s="52">
        <f t="shared" ref="A921:A937" si="343">+A920+1</f>
        <v>3</v>
      </c>
      <c r="B921" s="156">
        <v>19010103</v>
      </c>
      <c r="C921" s="130" t="str">
        <f t="shared" si="341"/>
        <v>E-19010103</v>
      </c>
      <c r="D921" s="130">
        <v>871</v>
      </c>
      <c r="E921" s="156" t="s">
        <v>69</v>
      </c>
      <c r="F921" s="216" t="s">
        <v>741</v>
      </c>
      <c r="G921" s="193">
        <v>0</v>
      </c>
      <c r="H921" s="193">
        <v>0</v>
      </c>
      <c r="I921" s="193">
        <v>0</v>
      </c>
      <c r="J921" s="193">
        <f>438.39-0.39</f>
        <v>438</v>
      </c>
      <c r="K921" s="193">
        <v>840</v>
      </c>
      <c r="L921" s="193">
        <v>0</v>
      </c>
      <c r="M921" s="193">
        <f>169.5+0.5</f>
        <v>170</v>
      </c>
      <c r="N921" s="193">
        <v>0</v>
      </c>
      <c r="O921" s="193">
        <f>160+1083.17-0.17</f>
        <v>1243</v>
      </c>
      <c r="P921" s="193">
        <v>0</v>
      </c>
      <c r="Q921" s="193">
        <v>0</v>
      </c>
      <c r="R921" s="193">
        <v>0</v>
      </c>
      <c r="S921" s="193">
        <v>0</v>
      </c>
      <c r="T921" s="193">
        <f t="shared" si="342"/>
        <v>2691</v>
      </c>
      <c r="U921"/>
      <c r="V921">
        <f>+PRESUPUESTO22[[#This Row],[EJECUTADO ]]-SUM(PRESUPUESTO22[[#This Row],[   ENERO ]:[DIC]])</f>
        <v>0</v>
      </c>
    </row>
    <row r="922" spans="1:23" ht="15" x14ac:dyDescent="0.25">
      <c r="A922" s="52">
        <f t="shared" si="343"/>
        <v>4</v>
      </c>
      <c r="B922" s="156">
        <v>19010104</v>
      </c>
      <c r="C922" s="130" t="str">
        <f t="shared" si="341"/>
        <v>E-19010104</v>
      </c>
      <c r="D922" s="130">
        <v>872</v>
      </c>
      <c r="E922" s="156" t="s">
        <v>69</v>
      </c>
      <c r="F922" s="216" t="s">
        <v>742</v>
      </c>
      <c r="G922" s="193">
        <v>0</v>
      </c>
      <c r="H922" s="193">
        <v>0</v>
      </c>
      <c r="I922" s="193">
        <v>0</v>
      </c>
      <c r="J922" s="193">
        <v>0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93">
        <f>1197.6+0.4</f>
        <v>1198</v>
      </c>
      <c r="R922" s="193">
        <v>0</v>
      </c>
      <c r="S922" s="193">
        <v>0</v>
      </c>
      <c r="T922" s="193">
        <f t="shared" si="342"/>
        <v>1198</v>
      </c>
      <c r="U922"/>
      <c r="V922">
        <f>+PRESUPUESTO22[[#This Row],[EJECUTADO ]]-SUM(PRESUPUESTO22[[#This Row],[   ENERO ]:[DIC]])</f>
        <v>0</v>
      </c>
    </row>
    <row r="923" spans="1:23" ht="15" x14ac:dyDescent="0.25">
      <c r="A923" s="52">
        <f t="shared" si="343"/>
        <v>5</v>
      </c>
      <c r="B923" s="156">
        <v>19010105</v>
      </c>
      <c r="C923" s="130" t="str">
        <f t="shared" si="341"/>
        <v>E-19010105</v>
      </c>
      <c r="D923" s="130">
        <v>873</v>
      </c>
      <c r="E923" s="156" t="s">
        <v>69</v>
      </c>
      <c r="F923" s="216" t="s">
        <v>743</v>
      </c>
      <c r="G923" s="193">
        <v>0</v>
      </c>
      <c r="H923" s="193">
        <v>0</v>
      </c>
      <c r="I923" s="193">
        <v>0</v>
      </c>
      <c r="J923" s="193">
        <v>375</v>
      </c>
      <c r="K923" s="193">
        <f>465.24-0.24</f>
        <v>465</v>
      </c>
      <c r="L923" s="193">
        <v>0</v>
      </c>
      <c r="M923" s="193">
        <v>0</v>
      </c>
      <c r="N923" s="193">
        <v>0</v>
      </c>
      <c r="O923" s="193">
        <v>0</v>
      </c>
      <c r="P923" s="193">
        <v>0</v>
      </c>
      <c r="Q923" s="193">
        <v>0</v>
      </c>
      <c r="R923" s="193">
        <v>0</v>
      </c>
      <c r="S923" s="193">
        <v>0</v>
      </c>
      <c r="T923" s="193">
        <f t="shared" si="342"/>
        <v>840</v>
      </c>
      <c r="U923"/>
      <c r="V923">
        <f>+PRESUPUESTO22[[#This Row],[EJECUTADO ]]-SUM(PRESUPUESTO22[[#This Row],[   ENERO ]:[DIC]])</f>
        <v>0</v>
      </c>
    </row>
    <row r="924" spans="1:23" ht="15" x14ac:dyDescent="0.25">
      <c r="A924" s="52">
        <f t="shared" si="343"/>
        <v>6</v>
      </c>
      <c r="B924" s="156">
        <v>19010106</v>
      </c>
      <c r="C924" s="130" t="str">
        <f t="shared" si="341"/>
        <v>E-19010106</v>
      </c>
      <c r="D924" s="130">
        <v>874</v>
      </c>
      <c r="E924" s="156" t="s">
        <v>69</v>
      </c>
      <c r="F924" s="216" t="s">
        <v>744</v>
      </c>
      <c r="G924" s="193">
        <v>0</v>
      </c>
      <c r="H924" s="193">
        <f>96.49-0.49</f>
        <v>96</v>
      </c>
      <c r="I924" s="193">
        <v>0</v>
      </c>
      <c r="J924" s="193">
        <f>1496.94+0.06</f>
        <v>1497</v>
      </c>
      <c r="K924" s="193">
        <f>123.03-0.03</f>
        <v>123</v>
      </c>
      <c r="L924" s="193">
        <v>0</v>
      </c>
      <c r="M924" s="193">
        <v>0</v>
      </c>
      <c r="N924" s="193">
        <v>1016</v>
      </c>
      <c r="O924" s="193">
        <v>65</v>
      </c>
      <c r="P924" s="193">
        <v>0</v>
      </c>
      <c r="Q924" s="193">
        <v>0</v>
      </c>
      <c r="R924" s="193">
        <v>0</v>
      </c>
      <c r="S924" s="193">
        <v>0</v>
      </c>
      <c r="T924" s="193">
        <f t="shared" si="342"/>
        <v>2797</v>
      </c>
      <c r="U924"/>
      <c r="V924">
        <f>+PRESUPUESTO22[[#This Row],[EJECUTADO ]]-SUM(PRESUPUESTO22[[#This Row],[   ENERO ]:[DIC]])</f>
        <v>0</v>
      </c>
    </row>
    <row r="925" spans="1:23" ht="15" x14ac:dyDescent="0.25">
      <c r="A925" s="52">
        <f t="shared" si="343"/>
        <v>7</v>
      </c>
      <c r="B925" s="156">
        <v>19010107</v>
      </c>
      <c r="C925" s="130" t="str">
        <f t="shared" si="341"/>
        <v>E-19010107</v>
      </c>
      <c r="D925" s="130">
        <v>875</v>
      </c>
      <c r="E925" s="156" t="s">
        <v>69</v>
      </c>
      <c r="F925" s="216" t="s">
        <v>745</v>
      </c>
      <c r="G925" s="193">
        <v>0</v>
      </c>
      <c r="H925" s="193">
        <v>0</v>
      </c>
      <c r="I925" s="193">
        <v>0</v>
      </c>
      <c r="J925" s="193">
        <v>0</v>
      </c>
      <c r="K925" s="193">
        <v>0</v>
      </c>
      <c r="L925" s="193">
        <v>0</v>
      </c>
      <c r="M925" s="193">
        <v>0</v>
      </c>
      <c r="N925" s="193">
        <v>0</v>
      </c>
      <c r="O925" s="193">
        <v>0</v>
      </c>
      <c r="P925" s="193">
        <v>0</v>
      </c>
      <c r="Q925" s="193">
        <v>0</v>
      </c>
      <c r="R925" s="193">
        <v>0</v>
      </c>
      <c r="S925" s="193">
        <v>0</v>
      </c>
      <c r="T925" s="193">
        <f t="shared" si="342"/>
        <v>0</v>
      </c>
      <c r="U925"/>
      <c r="V925">
        <f>+PRESUPUESTO22[[#This Row],[EJECUTADO ]]-SUM(PRESUPUESTO22[[#This Row],[   ENERO ]:[DIC]])</f>
        <v>0</v>
      </c>
    </row>
    <row r="926" spans="1:23" ht="15" x14ac:dyDescent="0.25">
      <c r="A926" s="52">
        <f t="shared" si="343"/>
        <v>8</v>
      </c>
      <c r="B926" s="156">
        <v>19010108</v>
      </c>
      <c r="C926" s="130" t="str">
        <f t="shared" si="341"/>
        <v>E-19010108</v>
      </c>
      <c r="D926" s="130">
        <v>876</v>
      </c>
      <c r="E926" s="156" t="s">
        <v>69</v>
      </c>
      <c r="F926" s="216" t="s">
        <v>746</v>
      </c>
      <c r="G926" s="193">
        <v>0</v>
      </c>
      <c r="H926" s="193">
        <v>0</v>
      </c>
      <c r="I926" s="193">
        <v>0</v>
      </c>
      <c r="J926" s="193">
        <v>0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93">
        <v>0</v>
      </c>
      <c r="R926" s="193">
        <v>0</v>
      </c>
      <c r="S926" s="193">
        <v>0</v>
      </c>
      <c r="T926" s="193">
        <f t="shared" si="342"/>
        <v>0</v>
      </c>
      <c r="U926"/>
      <c r="V926">
        <f>+PRESUPUESTO22[[#This Row],[EJECUTADO ]]-SUM(PRESUPUESTO22[[#This Row],[   ENERO ]:[DIC]])</f>
        <v>0</v>
      </c>
    </row>
    <row r="927" spans="1:23" ht="15" customHeight="1" x14ac:dyDescent="0.25">
      <c r="A927" s="52">
        <f t="shared" si="343"/>
        <v>9</v>
      </c>
      <c r="B927" s="156">
        <v>19010109</v>
      </c>
      <c r="C927" s="130" t="str">
        <f t="shared" si="341"/>
        <v>E-19010109</v>
      </c>
      <c r="D927" s="130">
        <v>877</v>
      </c>
      <c r="E927" s="156" t="s">
        <v>69</v>
      </c>
      <c r="F927" s="216" t="s">
        <v>747</v>
      </c>
      <c r="G927" s="193">
        <v>0</v>
      </c>
      <c r="H927" s="193">
        <v>0</v>
      </c>
      <c r="I927" s="193">
        <v>0</v>
      </c>
      <c r="J927" s="193">
        <v>0</v>
      </c>
      <c r="K927" s="193">
        <v>0</v>
      </c>
      <c r="L927" s="193">
        <v>0</v>
      </c>
      <c r="M927" s="193">
        <v>0</v>
      </c>
      <c r="N927" s="193">
        <v>0</v>
      </c>
      <c r="O927" s="193">
        <v>0</v>
      </c>
      <c r="P927" s="193">
        <v>0</v>
      </c>
      <c r="Q927" s="193">
        <v>0</v>
      </c>
      <c r="R927" s="193">
        <v>0</v>
      </c>
      <c r="S927" s="193">
        <v>0</v>
      </c>
      <c r="T927" s="193">
        <f t="shared" si="342"/>
        <v>0</v>
      </c>
      <c r="U927"/>
      <c r="V927">
        <f>+PRESUPUESTO22[[#This Row],[EJECUTADO ]]-SUM(PRESUPUESTO22[[#This Row],[   ENERO ]:[DIC]])</f>
        <v>0</v>
      </c>
    </row>
    <row r="928" spans="1:23" ht="15.75" customHeight="1" x14ac:dyDescent="0.25">
      <c r="A928" s="52">
        <f t="shared" si="343"/>
        <v>10</v>
      </c>
      <c r="B928" s="156">
        <v>19010110</v>
      </c>
      <c r="C928" s="130" t="str">
        <f t="shared" si="341"/>
        <v>E-19010110</v>
      </c>
      <c r="D928" s="130">
        <v>878</v>
      </c>
      <c r="E928" s="156" t="s">
        <v>69</v>
      </c>
      <c r="F928" s="216" t="s">
        <v>748</v>
      </c>
      <c r="G928" s="193">
        <v>0</v>
      </c>
      <c r="H928" s="193">
        <v>0</v>
      </c>
      <c r="I928" s="193">
        <v>4</v>
      </c>
      <c r="J928" s="193">
        <v>0</v>
      </c>
      <c r="K928" s="193">
        <v>0</v>
      </c>
      <c r="L928" s="193">
        <f>297.53+0.47</f>
        <v>298</v>
      </c>
      <c r="M928" s="193">
        <v>0</v>
      </c>
      <c r="N928" s="193">
        <v>0</v>
      </c>
      <c r="O928" s="193">
        <v>0</v>
      </c>
      <c r="P928" s="193">
        <v>0</v>
      </c>
      <c r="Q928" s="193">
        <v>0</v>
      </c>
      <c r="R928" s="193">
        <v>0</v>
      </c>
      <c r="S928" s="193">
        <v>0</v>
      </c>
      <c r="T928" s="193">
        <f t="shared" si="342"/>
        <v>302</v>
      </c>
      <c r="U928"/>
      <c r="V928">
        <f>+PRESUPUESTO22[[#This Row],[EJECUTADO ]]-SUM(PRESUPUESTO22[[#This Row],[   ENERO ]:[DIC]])</f>
        <v>0</v>
      </c>
    </row>
    <row r="929" spans="1:24" ht="15" customHeight="1" x14ac:dyDescent="0.25">
      <c r="A929" s="52">
        <f t="shared" si="343"/>
        <v>11</v>
      </c>
      <c r="B929" s="156">
        <v>19010111</v>
      </c>
      <c r="C929" s="130" t="str">
        <f t="shared" si="341"/>
        <v>E-19010111</v>
      </c>
      <c r="D929" s="130">
        <v>879</v>
      </c>
      <c r="E929" s="156" t="s">
        <v>69</v>
      </c>
      <c r="F929" s="216" t="s">
        <v>749</v>
      </c>
      <c r="G929" s="193">
        <v>0</v>
      </c>
      <c r="H929" s="193">
        <v>0</v>
      </c>
      <c r="I929" s="193">
        <v>0</v>
      </c>
      <c r="J929" s="193">
        <v>0</v>
      </c>
      <c r="K929" s="193">
        <v>0</v>
      </c>
      <c r="L929" s="193">
        <v>0</v>
      </c>
      <c r="M929" s="193">
        <f>111.95+0.05</f>
        <v>112</v>
      </c>
      <c r="N929" s="193">
        <v>0</v>
      </c>
      <c r="O929" s="193">
        <v>0</v>
      </c>
      <c r="P929" s="193">
        <v>0</v>
      </c>
      <c r="Q929" s="193">
        <v>0</v>
      </c>
      <c r="R929" s="193">
        <v>0</v>
      </c>
      <c r="S929" s="193">
        <v>0</v>
      </c>
      <c r="T929" s="193">
        <f t="shared" si="342"/>
        <v>112</v>
      </c>
      <c r="U929"/>
      <c r="V929">
        <f>+PRESUPUESTO22[[#This Row],[EJECUTADO ]]-SUM(PRESUPUESTO22[[#This Row],[   ENERO ]:[DIC]])</f>
        <v>0</v>
      </c>
    </row>
    <row r="930" spans="1:24" ht="15" x14ac:dyDescent="0.25">
      <c r="A930" s="52">
        <f t="shared" si="343"/>
        <v>12</v>
      </c>
      <c r="B930" s="156">
        <v>19010112</v>
      </c>
      <c r="C930" s="130" t="str">
        <f t="shared" si="341"/>
        <v>E-19010112</v>
      </c>
      <c r="D930" s="130">
        <v>880</v>
      </c>
      <c r="E930" s="156" t="s">
        <v>69</v>
      </c>
      <c r="F930" s="216" t="s">
        <v>750</v>
      </c>
      <c r="G930" s="193">
        <v>0</v>
      </c>
      <c r="H930" s="193">
        <v>0</v>
      </c>
      <c r="I930" s="193">
        <f>340.82+0.18</f>
        <v>341</v>
      </c>
      <c r="J930" s="193">
        <v>0</v>
      </c>
      <c r="K930" s="193">
        <v>0</v>
      </c>
      <c r="L930" s="193">
        <f>279.72+0.28</f>
        <v>280</v>
      </c>
      <c r="M930" s="193">
        <v>0</v>
      </c>
      <c r="N930" s="193">
        <v>0</v>
      </c>
      <c r="O930" s="193">
        <v>0</v>
      </c>
      <c r="P930" s="193">
        <f>758.23-0.23</f>
        <v>758</v>
      </c>
      <c r="Q930" s="193">
        <v>0</v>
      </c>
      <c r="R930" s="193">
        <v>0</v>
      </c>
      <c r="S930" s="193">
        <v>0</v>
      </c>
      <c r="T930" s="193">
        <f t="shared" si="342"/>
        <v>1379</v>
      </c>
      <c r="U930"/>
      <c r="V930">
        <f>+PRESUPUESTO22[[#This Row],[EJECUTADO ]]-SUM(PRESUPUESTO22[[#This Row],[   ENERO ]:[DIC]])</f>
        <v>0</v>
      </c>
    </row>
    <row r="931" spans="1:24" ht="15.95" customHeight="1" x14ac:dyDescent="0.25">
      <c r="A931" s="52">
        <f t="shared" si="343"/>
        <v>13</v>
      </c>
      <c r="B931" s="156">
        <v>19010113</v>
      </c>
      <c r="C931" s="130" t="str">
        <f t="shared" si="341"/>
        <v>E-19010113</v>
      </c>
      <c r="D931" s="130">
        <v>881</v>
      </c>
      <c r="E931" s="156" t="s">
        <v>69</v>
      </c>
      <c r="F931" s="216" t="s">
        <v>751</v>
      </c>
      <c r="G931" s="193">
        <v>0</v>
      </c>
      <c r="H931" s="193">
        <v>0</v>
      </c>
      <c r="I931" s="193">
        <v>5</v>
      </c>
      <c r="J931" s="193">
        <v>4</v>
      </c>
      <c r="K931" s="193">
        <v>0</v>
      </c>
      <c r="L931" s="193">
        <f>258.58+0.42</f>
        <v>259</v>
      </c>
      <c r="M931" s="193">
        <f>216.4-0.4</f>
        <v>216</v>
      </c>
      <c r="N931" s="193">
        <v>0</v>
      </c>
      <c r="O931" s="193">
        <v>0</v>
      </c>
      <c r="P931" s="193">
        <v>0</v>
      </c>
      <c r="Q931" s="193">
        <v>0</v>
      </c>
      <c r="R931" s="193">
        <v>0</v>
      </c>
      <c r="S931" s="193">
        <v>0</v>
      </c>
      <c r="T931" s="193">
        <f t="shared" si="342"/>
        <v>484</v>
      </c>
      <c r="U931"/>
      <c r="V931">
        <f>+PRESUPUESTO22[[#This Row],[EJECUTADO ]]-SUM(PRESUPUESTO22[[#This Row],[   ENERO ]:[DIC]])</f>
        <v>0</v>
      </c>
    </row>
    <row r="932" spans="1:24" ht="15.95" customHeight="1" x14ac:dyDescent="0.25">
      <c r="A932" s="52">
        <f t="shared" si="343"/>
        <v>14</v>
      </c>
      <c r="B932" s="156">
        <v>19010114</v>
      </c>
      <c r="C932" s="130" t="str">
        <f t="shared" si="341"/>
        <v>E-19010114</v>
      </c>
      <c r="D932" s="130">
        <v>882</v>
      </c>
      <c r="E932" s="156" t="s">
        <v>69</v>
      </c>
      <c r="F932" s="216" t="s">
        <v>752</v>
      </c>
      <c r="G932" s="193">
        <v>0</v>
      </c>
      <c r="H932" s="193">
        <v>0</v>
      </c>
      <c r="I932" s="193">
        <f>468+95.37-0.37</f>
        <v>563</v>
      </c>
      <c r="J932" s="193">
        <v>0</v>
      </c>
      <c r="K932" s="193">
        <f>117.86+0.14</f>
        <v>118</v>
      </c>
      <c r="L932" s="193">
        <v>0</v>
      </c>
      <c r="M932" s="193">
        <v>0</v>
      </c>
      <c r="N932" s="193">
        <f>692.52+0.48</f>
        <v>693</v>
      </c>
      <c r="O932" s="193">
        <v>0</v>
      </c>
      <c r="P932" s="193">
        <v>0</v>
      </c>
      <c r="Q932" s="193">
        <v>0</v>
      </c>
      <c r="R932" s="193">
        <f>242.24-0.24</f>
        <v>242</v>
      </c>
      <c r="S932" s="193">
        <v>0</v>
      </c>
      <c r="T932" s="193">
        <f t="shared" si="342"/>
        <v>1616</v>
      </c>
      <c r="U932"/>
      <c r="V932">
        <f>+PRESUPUESTO22[[#This Row],[EJECUTADO ]]-SUM(PRESUPUESTO22[[#This Row],[   ENERO ]:[DIC]])</f>
        <v>0</v>
      </c>
    </row>
    <row r="933" spans="1:24" ht="15.95" customHeight="1" x14ac:dyDescent="0.25">
      <c r="A933" s="52">
        <f t="shared" si="343"/>
        <v>15</v>
      </c>
      <c r="B933" s="156">
        <v>19010115</v>
      </c>
      <c r="C933" s="130" t="str">
        <f t="shared" si="341"/>
        <v>E-19010115</v>
      </c>
      <c r="D933" s="130">
        <v>883</v>
      </c>
      <c r="E933" s="156" t="s">
        <v>69</v>
      </c>
      <c r="F933" s="216" t="s">
        <v>753</v>
      </c>
      <c r="G933" s="193">
        <v>0</v>
      </c>
      <c r="H933" s="193">
        <v>0</v>
      </c>
      <c r="I933" s="193">
        <f>412.71+0.29</f>
        <v>413</v>
      </c>
      <c r="J933" s="193">
        <v>0</v>
      </c>
      <c r="K933" s="193">
        <v>0</v>
      </c>
      <c r="L933" s="193">
        <f>39.55+0.45</f>
        <v>40</v>
      </c>
      <c r="M933" s="193">
        <v>0</v>
      </c>
      <c r="N933" s="193">
        <v>0</v>
      </c>
      <c r="O933" s="193">
        <v>0</v>
      </c>
      <c r="P933" s="193">
        <f>328.68+0.32</f>
        <v>329</v>
      </c>
      <c r="Q933" s="193">
        <v>0</v>
      </c>
      <c r="R933" s="193">
        <f>815.44-0.44</f>
        <v>815</v>
      </c>
      <c r="S933" s="193">
        <v>0</v>
      </c>
      <c r="T933" s="193">
        <f t="shared" si="342"/>
        <v>1597</v>
      </c>
      <c r="U933"/>
      <c r="V933">
        <f>+PRESUPUESTO22[[#This Row],[EJECUTADO ]]-SUM(PRESUPUESTO22[[#This Row],[   ENERO ]:[DIC]])</f>
        <v>0</v>
      </c>
    </row>
    <row r="934" spans="1:24" ht="15.95" customHeight="1" x14ac:dyDescent="0.25">
      <c r="A934" s="52">
        <f t="shared" si="343"/>
        <v>16</v>
      </c>
      <c r="B934" s="156">
        <v>19010116</v>
      </c>
      <c r="C934" s="130" t="str">
        <f t="shared" si="341"/>
        <v>E-19010116</v>
      </c>
      <c r="D934" s="130">
        <v>884</v>
      </c>
      <c r="E934" s="156" t="s">
        <v>69</v>
      </c>
      <c r="F934" s="216" t="s">
        <v>754</v>
      </c>
      <c r="G934" s="193">
        <v>0</v>
      </c>
      <c r="H934" s="193">
        <v>0</v>
      </c>
      <c r="I934" s="193">
        <v>0</v>
      </c>
      <c r="J934" s="193">
        <v>0</v>
      </c>
      <c r="K934" s="193">
        <v>0</v>
      </c>
      <c r="L934" s="193">
        <f>136.56+0.44</f>
        <v>137</v>
      </c>
      <c r="M934" s="193">
        <v>0</v>
      </c>
      <c r="N934" s="193">
        <v>0</v>
      </c>
      <c r="O934" s="193">
        <v>0</v>
      </c>
      <c r="P934" s="193">
        <v>0</v>
      </c>
      <c r="Q934" s="193">
        <v>0</v>
      </c>
      <c r="R934" s="193">
        <v>0</v>
      </c>
      <c r="S934" s="193">
        <v>0</v>
      </c>
      <c r="T934" s="193">
        <f t="shared" si="342"/>
        <v>137</v>
      </c>
      <c r="U934"/>
      <c r="V934">
        <f>+PRESUPUESTO22[[#This Row],[EJECUTADO ]]-SUM(PRESUPUESTO22[[#This Row],[   ENERO ]:[DIC]])</f>
        <v>0</v>
      </c>
    </row>
    <row r="935" spans="1:24" ht="15.95" customHeight="1" x14ac:dyDescent="0.25">
      <c r="A935" s="52">
        <f t="shared" si="343"/>
        <v>17</v>
      </c>
      <c r="B935" s="156">
        <v>19010117</v>
      </c>
      <c r="C935" s="130" t="str">
        <f t="shared" si="341"/>
        <v>E-19010117</v>
      </c>
      <c r="D935" s="130">
        <v>885</v>
      </c>
      <c r="E935" s="156" t="s">
        <v>69</v>
      </c>
      <c r="F935" s="216" t="s">
        <v>755</v>
      </c>
      <c r="G935" s="193">
        <v>0</v>
      </c>
      <c r="H935" s="193">
        <v>0</v>
      </c>
      <c r="I935" s="193">
        <v>0</v>
      </c>
      <c r="J935" s="193">
        <v>0</v>
      </c>
      <c r="K935" s="193">
        <v>0</v>
      </c>
      <c r="L935" s="193">
        <f>178.42-0.42</f>
        <v>178</v>
      </c>
      <c r="M935" s="193">
        <v>234</v>
      </c>
      <c r="N935" s="193">
        <v>156</v>
      </c>
      <c r="O935" s="193">
        <v>0</v>
      </c>
      <c r="P935" s="193">
        <v>328</v>
      </c>
      <c r="Q935" s="193">
        <v>0</v>
      </c>
      <c r="R935" s="193">
        <v>0</v>
      </c>
      <c r="S935" s="193">
        <v>0</v>
      </c>
      <c r="T935" s="193">
        <f t="shared" si="342"/>
        <v>896</v>
      </c>
      <c r="U935"/>
      <c r="V935">
        <f>+PRESUPUESTO22[[#This Row],[EJECUTADO ]]-SUM(PRESUPUESTO22[[#This Row],[   ENERO ]:[DIC]])</f>
        <v>0</v>
      </c>
    </row>
    <row r="936" spans="1:24" ht="15.95" customHeight="1" x14ac:dyDescent="0.25">
      <c r="A936" s="52">
        <f t="shared" si="343"/>
        <v>18</v>
      </c>
      <c r="B936" s="156">
        <v>19010118</v>
      </c>
      <c r="C936" s="130" t="str">
        <f t="shared" si="341"/>
        <v>E-19010118</v>
      </c>
      <c r="D936" s="130">
        <v>886</v>
      </c>
      <c r="E936" s="156" t="s">
        <v>69</v>
      </c>
      <c r="F936" s="216" t="s">
        <v>756</v>
      </c>
      <c r="G936" s="193">
        <v>0</v>
      </c>
      <c r="H936" s="193">
        <v>0</v>
      </c>
      <c r="I936" s="193">
        <v>0</v>
      </c>
      <c r="J936" s="193">
        <v>0</v>
      </c>
      <c r="K936" s="193">
        <v>0</v>
      </c>
      <c r="L936" s="193">
        <f>341.99+0.01</f>
        <v>342</v>
      </c>
      <c r="M936" s="193">
        <v>0</v>
      </c>
      <c r="N936" s="193">
        <v>0</v>
      </c>
      <c r="O936" s="193">
        <v>0</v>
      </c>
      <c r="P936" s="193">
        <f>222.9+0.1</f>
        <v>223</v>
      </c>
      <c r="Q936" s="193">
        <v>0</v>
      </c>
      <c r="R936" s="193">
        <v>0</v>
      </c>
      <c r="S936" s="193">
        <v>0</v>
      </c>
      <c r="T936" s="193">
        <f t="shared" si="342"/>
        <v>565</v>
      </c>
      <c r="U936"/>
      <c r="V936">
        <f>+PRESUPUESTO22[[#This Row],[EJECUTADO ]]-SUM(PRESUPUESTO22[[#This Row],[   ENERO ]:[DIC]])</f>
        <v>0</v>
      </c>
    </row>
    <row r="937" spans="1:24" ht="15.95" customHeight="1" x14ac:dyDescent="0.25">
      <c r="A937" s="52">
        <f t="shared" si="343"/>
        <v>19</v>
      </c>
      <c r="B937" s="156">
        <v>19010119</v>
      </c>
      <c r="C937" s="130" t="str">
        <f t="shared" si="341"/>
        <v>E-19010119</v>
      </c>
      <c r="D937" s="130">
        <v>887</v>
      </c>
      <c r="E937" s="156" t="s">
        <v>69</v>
      </c>
      <c r="F937" s="216" t="s">
        <v>757</v>
      </c>
      <c r="G937" s="193">
        <v>0</v>
      </c>
      <c r="H937" s="193">
        <v>0</v>
      </c>
      <c r="I937" s="193">
        <v>0</v>
      </c>
      <c r="J937" s="193">
        <v>0</v>
      </c>
      <c r="K937" s="193">
        <v>0</v>
      </c>
      <c r="L937" s="193">
        <f>31.71+0.29</f>
        <v>32</v>
      </c>
      <c r="M937" s="193">
        <v>0</v>
      </c>
      <c r="N937" s="193">
        <v>0</v>
      </c>
      <c r="O937" s="193">
        <v>0</v>
      </c>
      <c r="P937" s="193">
        <v>0</v>
      </c>
      <c r="Q937" s="193">
        <v>0</v>
      </c>
      <c r="R937" s="193">
        <v>0</v>
      </c>
      <c r="S937" s="193">
        <v>0</v>
      </c>
      <c r="T937" s="193">
        <f t="shared" si="342"/>
        <v>32</v>
      </c>
      <c r="U937"/>
      <c r="V937">
        <f>+PRESUPUESTO22[[#This Row],[EJECUTADO ]]-SUM(PRESUPUESTO22[[#This Row],[   ENERO ]:[DIC]])</f>
        <v>0</v>
      </c>
      <c r="W937"/>
      <c r="X937"/>
    </row>
    <row r="938" spans="1:24" ht="15.95" customHeight="1" x14ac:dyDescent="0.25">
      <c r="A938" s="52" t="s">
        <v>1</v>
      </c>
      <c r="B938" s="156">
        <v>19010120</v>
      </c>
      <c r="C938" s="130" t="str">
        <f t="shared" si="341"/>
        <v>E-19010120</v>
      </c>
      <c r="D938" s="130">
        <v>888</v>
      </c>
      <c r="E938" s="156" t="s">
        <v>69</v>
      </c>
      <c r="F938" s="216" t="s">
        <v>758</v>
      </c>
      <c r="G938" s="193">
        <v>0</v>
      </c>
      <c r="H938" s="193">
        <f>400+400</f>
        <v>800</v>
      </c>
      <c r="I938" s="193">
        <f>400+400+50+400</f>
        <v>1250</v>
      </c>
      <c r="J938" s="193">
        <f>400*4</f>
        <v>1600</v>
      </c>
      <c r="K938" s="193">
        <v>800</v>
      </c>
      <c r="L938" s="193">
        <f>400*5</f>
        <v>2000</v>
      </c>
      <c r="M938" s="193">
        <f>1200+400</f>
        <v>1600</v>
      </c>
      <c r="N938" s="193">
        <f>400+400+400</f>
        <v>1200</v>
      </c>
      <c r="O938" s="193">
        <v>800</v>
      </c>
      <c r="P938" s="193">
        <f>400+400+400</f>
        <v>1200</v>
      </c>
      <c r="Q938" s="193">
        <v>1200</v>
      </c>
      <c r="R938" s="193">
        <v>1200</v>
      </c>
      <c r="S938" s="193">
        <v>0</v>
      </c>
      <c r="T938" s="193">
        <f t="shared" si="342"/>
        <v>13650</v>
      </c>
      <c r="U938"/>
      <c r="V938">
        <f>+PRESUPUESTO22[[#This Row],[EJECUTADO ]]-SUM(PRESUPUESTO22[[#This Row],[   ENERO ]:[DIC]])</f>
        <v>0</v>
      </c>
      <c r="W938"/>
      <c r="X938"/>
    </row>
    <row r="939" spans="1:24" ht="25.5" customHeight="1" x14ac:dyDescent="0.25">
      <c r="A939" s="52">
        <v>2</v>
      </c>
      <c r="B939" s="167">
        <v>190102</v>
      </c>
      <c r="C939" s="130" t="str">
        <f t="shared" si="341"/>
        <v>E-190102</v>
      </c>
      <c r="D939" s="130">
        <v>889</v>
      </c>
      <c r="E939" s="167" t="s">
        <v>69</v>
      </c>
      <c r="F939" s="232" t="s">
        <v>759</v>
      </c>
      <c r="G939" s="192">
        <f>SUM(G940:G941)</f>
        <v>45250</v>
      </c>
      <c r="H939" s="192">
        <f>SUM(H940:H941)</f>
        <v>2629</v>
      </c>
      <c r="I939" s="192">
        <f t="shared" ref="I939:T939" si="344">SUM(I940:I941)</f>
        <v>4104</v>
      </c>
      <c r="J939" s="192">
        <f t="shared" si="344"/>
        <v>2755</v>
      </c>
      <c r="K939" s="192">
        <f t="shared" si="344"/>
        <v>3553</v>
      </c>
      <c r="L939" s="192">
        <f t="shared" si="344"/>
        <v>3281</v>
      </c>
      <c r="M939" s="192">
        <f t="shared" si="344"/>
        <v>2564</v>
      </c>
      <c r="N939" s="192">
        <f t="shared" si="344"/>
        <v>4580</v>
      </c>
      <c r="O939" s="192">
        <f t="shared" si="344"/>
        <v>2628</v>
      </c>
      <c r="P939" s="192">
        <f t="shared" si="344"/>
        <v>2676</v>
      </c>
      <c r="Q939" s="192">
        <f t="shared" si="344"/>
        <v>2983</v>
      </c>
      <c r="R939" s="192">
        <f t="shared" si="344"/>
        <v>3398</v>
      </c>
      <c r="S939" s="192">
        <f t="shared" si="344"/>
        <v>0</v>
      </c>
      <c r="T939" s="192">
        <f t="shared" si="344"/>
        <v>35151</v>
      </c>
      <c r="U939"/>
      <c r="V939">
        <f>+PRESUPUESTO22[[#This Row],[EJECUTADO ]]-SUM(PRESUPUESTO22[[#This Row],[   ENERO ]:[DIC]])</f>
        <v>0</v>
      </c>
      <c r="W939"/>
      <c r="X939"/>
    </row>
    <row r="940" spans="1:24" ht="17.25" customHeight="1" x14ac:dyDescent="0.25">
      <c r="A940" s="52"/>
      <c r="B940" s="156">
        <v>19010201</v>
      </c>
      <c r="C940" s="130" t="str">
        <f t="shared" si="341"/>
        <v>E-19010201</v>
      </c>
      <c r="D940" s="130">
        <v>890</v>
      </c>
      <c r="E940" s="156" t="s">
        <v>72</v>
      </c>
      <c r="F940" s="216" t="s">
        <v>760</v>
      </c>
      <c r="G940" s="193">
        <v>37250</v>
      </c>
      <c r="H940" s="193">
        <f>2628.5+0.5</f>
        <v>2629</v>
      </c>
      <c r="I940" s="193">
        <f>2603.5+0.5</f>
        <v>2604</v>
      </c>
      <c r="J940" s="193">
        <f>2754.75+0.25</f>
        <v>2755</v>
      </c>
      <c r="K940" s="193">
        <f>107.35+2467.5+0.15</f>
        <v>2575</v>
      </c>
      <c r="L940" s="193">
        <f>2730.7+0.3</f>
        <v>2731</v>
      </c>
      <c r="M940" s="193">
        <f>2533.5+0.5</f>
        <v>2534</v>
      </c>
      <c r="N940" s="193">
        <f>2577.5+90+76.84-0.34</f>
        <v>2744</v>
      </c>
      <c r="O940" s="193">
        <f>50+2577.5+0.5</f>
        <v>2628</v>
      </c>
      <c r="P940" s="193">
        <v>2600</v>
      </c>
      <c r="Q940" s="193">
        <f>2602.56+0.44</f>
        <v>2603</v>
      </c>
      <c r="R940" s="193">
        <f>2486.5+0.5</f>
        <v>2487</v>
      </c>
      <c r="S940" s="193">
        <v>0</v>
      </c>
      <c r="T940" s="193">
        <f>SUM(H940:S940)</f>
        <v>28890</v>
      </c>
      <c r="U940"/>
      <c r="V940">
        <f>+PRESUPUESTO22[[#This Row],[EJECUTADO ]]-SUM(PRESUPUESTO22[[#This Row],[   ENERO ]:[DIC]])</f>
        <v>0</v>
      </c>
      <c r="W940"/>
      <c r="X940"/>
    </row>
    <row r="941" spans="1:24" ht="15.75" customHeight="1" x14ac:dyDescent="0.25">
      <c r="A941" s="52"/>
      <c r="B941" s="156">
        <v>19010202</v>
      </c>
      <c r="C941" s="130" t="str">
        <f t="shared" si="341"/>
        <v>E-19010202</v>
      </c>
      <c r="D941" s="130">
        <v>891</v>
      </c>
      <c r="E941" s="156" t="s">
        <v>72</v>
      </c>
      <c r="F941" s="216" t="s">
        <v>761</v>
      </c>
      <c r="G941" s="193">
        <v>8000</v>
      </c>
      <c r="H941" s="193">
        <v>0</v>
      </c>
      <c r="I941" s="193">
        <f>836+274.96+389+0.04</f>
        <v>1500</v>
      </c>
      <c r="J941" s="193">
        <v>0</v>
      </c>
      <c r="K941" s="193">
        <f>282.56+326.98+118.83+250-0.37</f>
        <v>978</v>
      </c>
      <c r="L941" s="193">
        <f>175+65.1+310.2-0.3</f>
        <v>550</v>
      </c>
      <c r="M941" s="193">
        <f>30.44-0.44</f>
        <v>30</v>
      </c>
      <c r="N941" s="193">
        <f>59.56+645+1131.25+0.19</f>
        <v>1836</v>
      </c>
      <c r="O941" s="193">
        <v>0</v>
      </c>
      <c r="P941" s="193">
        <f>75.95+0.05</f>
        <v>76</v>
      </c>
      <c r="Q941" s="193">
        <f>88.22+291.29+0.49</f>
        <v>380</v>
      </c>
      <c r="R941" s="193">
        <f>70.06+840.85+0.09</f>
        <v>911.00000000000011</v>
      </c>
      <c r="S941" s="193">
        <v>0</v>
      </c>
      <c r="T941" s="193">
        <f>SUM(H941:S941)</f>
        <v>6261</v>
      </c>
      <c r="U941"/>
      <c r="V941">
        <f>+PRESUPUESTO22[[#This Row],[EJECUTADO ]]-SUM(PRESUPUESTO22[[#This Row],[   ENERO ]:[DIC]])</f>
        <v>0</v>
      </c>
      <c r="W941"/>
      <c r="X941"/>
    </row>
    <row r="942" spans="1:24" ht="27.75" customHeight="1" x14ac:dyDescent="0.25">
      <c r="A942" s="52">
        <v>3</v>
      </c>
      <c r="B942" s="167">
        <v>190103</v>
      </c>
      <c r="C942" s="130" t="str">
        <f t="shared" si="341"/>
        <v>E-190103</v>
      </c>
      <c r="D942" s="130">
        <v>892</v>
      </c>
      <c r="E942" s="167" t="s">
        <v>69</v>
      </c>
      <c r="F942" s="232" t="s">
        <v>762</v>
      </c>
      <c r="G942" s="192">
        <f t="shared" ref="G942:T942" si="345">SUM(G943:G949)</f>
        <v>32900</v>
      </c>
      <c r="H942" s="192">
        <f t="shared" si="345"/>
        <v>490</v>
      </c>
      <c r="I942" s="192">
        <f t="shared" si="345"/>
        <v>1086</v>
      </c>
      <c r="J942" s="192">
        <f t="shared" si="345"/>
        <v>2549</v>
      </c>
      <c r="K942" s="192">
        <f t="shared" si="345"/>
        <v>824</v>
      </c>
      <c r="L942" s="192">
        <f t="shared" si="345"/>
        <v>2264</v>
      </c>
      <c r="M942" s="192">
        <f t="shared" si="345"/>
        <v>1154</v>
      </c>
      <c r="N942" s="192">
        <f t="shared" si="345"/>
        <v>4266</v>
      </c>
      <c r="O942" s="192">
        <f t="shared" si="345"/>
        <v>2115</v>
      </c>
      <c r="P942" s="192">
        <f t="shared" si="345"/>
        <v>1782</v>
      </c>
      <c r="Q942" s="192">
        <f t="shared" si="345"/>
        <v>2531</v>
      </c>
      <c r="R942" s="192">
        <f t="shared" si="345"/>
        <v>3253</v>
      </c>
      <c r="S942" s="192">
        <f t="shared" si="345"/>
        <v>0</v>
      </c>
      <c r="T942" s="192">
        <f t="shared" si="345"/>
        <v>22314</v>
      </c>
      <c r="U942"/>
      <c r="V942">
        <f>+PRESUPUESTO22[[#This Row],[EJECUTADO ]]-SUM(PRESUPUESTO22[[#This Row],[   ENERO ]:[DIC]])</f>
        <v>0</v>
      </c>
    </row>
    <row r="943" spans="1:24" ht="15.95" customHeight="1" x14ac:dyDescent="0.25">
      <c r="A943" s="52"/>
      <c r="B943" s="156">
        <v>19010301</v>
      </c>
      <c r="C943" s="130" t="str">
        <f t="shared" si="341"/>
        <v>E-19010301</v>
      </c>
      <c r="D943" s="130">
        <v>893</v>
      </c>
      <c r="E943" s="156" t="s">
        <v>72</v>
      </c>
      <c r="F943" s="216" t="s">
        <v>763</v>
      </c>
      <c r="G943" s="193">
        <f>1500+5000+1000</f>
        <v>7500</v>
      </c>
      <c r="H943" s="193">
        <f>107.93+0.07</f>
        <v>108</v>
      </c>
      <c r="I943" s="193">
        <f>428.7+374+0.3</f>
        <v>803</v>
      </c>
      <c r="J943" s="193">
        <f>158.2+81.36+158.2+330+250.82+366.4+102.66+190+0.36</f>
        <v>1638</v>
      </c>
      <c r="K943" s="193">
        <f>466.29-0.29</f>
        <v>466</v>
      </c>
      <c r="L943" s="193">
        <f>513+83.95+342+0.05</f>
        <v>939</v>
      </c>
      <c r="M943" s="193">
        <f>549.2+42.76+54.4+49.7-0.06</f>
        <v>696.00000000000011</v>
      </c>
      <c r="N943" s="193">
        <v>0</v>
      </c>
      <c r="O943" s="193">
        <f>550+23.45+172+35-0.45</f>
        <v>780</v>
      </c>
      <c r="P943" s="193">
        <f>61.05+406.7+92.43-0.18</f>
        <v>560.00000000000011</v>
      </c>
      <c r="Q943" s="193">
        <f>330+315+56.96+579.89+0.15</f>
        <v>1282</v>
      </c>
      <c r="R943" s="193">
        <f>741+25+305.75+253.97+0.28</f>
        <v>1326</v>
      </c>
      <c r="S943" s="193">
        <v>0</v>
      </c>
      <c r="T943" s="193">
        <f t="shared" ref="T943:T949" si="346">SUM(H943:S943)</f>
        <v>8598</v>
      </c>
      <c r="U943"/>
      <c r="V943">
        <f>+PRESUPUESTO22[[#This Row],[EJECUTADO ]]-SUM(PRESUPUESTO22[[#This Row],[   ENERO ]:[DIC]])</f>
        <v>0</v>
      </c>
    </row>
    <row r="944" spans="1:24" ht="15.95" customHeight="1" x14ac:dyDescent="0.25">
      <c r="A944" s="52"/>
      <c r="B944" s="156">
        <v>19010302</v>
      </c>
      <c r="C944" s="130" t="str">
        <f t="shared" si="341"/>
        <v>E-19010302</v>
      </c>
      <c r="D944" s="130">
        <v>894</v>
      </c>
      <c r="E944" s="156" t="s">
        <v>72</v>
      </c>
      <c r="F944" s="216" t="s">
        <v>764</v>
      </c>
      <c r="G944" s="193">
        <v>3900</v>
      </c>
      <c r="H944" s="193">
        <f>282.5+0.5</f>
        <v>283</v>
      </c>
      <c r="I944" s="193">
        <v>283</v>
      </c>
      <c r="J944" s="193">
        <v>283</v>
      </c>
      <c r="K944" s="193">
        <v>283</v>
      </c>
      <c r="L944" s="193">
        <v>283</v>
      </c>
      <c r="M944" s="193">
        <v>283</v>
      </c>
      <c r="N944" s="193">
        <v>283</v>
      </c>
      <c r="O944" s="193">
        <f>508.5+254.25+0.25</f>
        <v>763</v>
      </c>
      <c r="P944" s="193">
        <f>254.25-0.25</f>
        <v>254</v>
      </c>
      <c r="Q944" s="193">
        <f>254.25-0.25</f>
        <v>254</v>
      </c>
      <c r="R944" s="193">
        <f>254.25-0.25</f>
        <v>254</v>
      </c>
      <c r="S944" s="193">
        <v>0</v>
      </c>
      <c r="T944" s="193">
        <f t="shared" si="346"/>
        <v>3506</v>
      </c>
      <c r="U944"/>
      <c r="V944">
        <f>+PRESUPUESTO22[[#This Row],[EJECUTADO ]]-SUM(PRESUPUESTO22[[#This Row],[   ENERO ]:[DIC]])</f>
        <v>0</v>
      </c>
    </row>
    <row r="945" spans="1:22" ht="15.95" customHeight="1" x14ac:dyDescent="0.25">
      <c r="A945" s="52"/>
      <c r="B945" s="156">
        <v>19010303</v>
      </c>
      <c r="C945" s="130" t="str">
        <f t="shared" si="341"/>
        <v>E-19010303</v>
      </c>
      <c r="D945" s="130">
        <v>895</v>
      </c>
      <c r="E945" s="156" t="s">
        <v>72</v>
      </c>
      <c r="F945" s="216" t="s">
        <v>765</v>
      </c>
      <c r="G945" s="193">
        <v>3500</v>
      </c>
      <c r="H945" s="193">
        <v>0</v>
      </c>
      <c r="I945" s="193">
        <v>0</v>
      </c>
      <c r="J945" s="193">
        <v>0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93">
        <v>0</v>
      </c>
      <c r="R945" s="193">
        <v>0</v>
      </c>
      <c r="S945" s="193">
        <v>0</v>
      </c>
      <c r="T945" s="193">
        <f t="shared" si="346"/>
        <v>0</v>
      </c>
      <c r="U945"/>
      <c r="V945">
        <f>+PRESUPUESTO22[[#This Row],[EJECUTADO ]]-SUM(PRESUPUESTO22[[#This Row],[   ENERO ]:[DIC]])</f>
        <v>0</v>
      </c>
    </row>
    <row r="946" spans="1:22" ht="15.95" customHeight="1" x14ac:dyDescent="0.25">
      <c r="A946" s="52"/>
      <c r="B946" s="156">
        <v>19010304</v>
      </c>
      <c r="C946" s="130" t="str">
        <f t="shared" si="341"/>
        <v>E-19010304</v>
      </c>
      <c r="D946" s="130">
        <v>896</v>
      </c>
      <c r="E946" s="156" t="s">
        <v>72</v>
      </c>
      <c r="F946" s="216" t="s">
        <v>766</v>
      </c>
      <c r="G946" s="193">
        <v>4000</v>
      </c>
      <c r="H946" s="193">
        <v>0</v>
      </c>
      <c r="I946" s="193">
        <v>0</v>
      </c>
      <c r="J946" s="193">
        <v>0</v>
      </c>
      <c r="K946" s="193">
        <v>0</v>
      </c>
      <c r="L946" s="193">
        <v>1042</v>
      </c>
      <c r="M946" s="193">
        <v>0</v>
      </c>
      <c r="N946" s="193">
        <v>0</v>
      </c>
      <c r="O946" s="193">
        <v>0</v>
      </c>
      <c r="P946" s="193">
        <v>0</v>
      </c>
      <c r="Q946" s="193">
        <v>995</v>
      </c>
      <c r="R946" s="193">
        <f>762.75+0.25</f>
        <v>763</v>
      </c>
      <c r="S946" s="193">
        <v>0</v>
      </c>
      <c r="T946" s="193">
        <f t="shared" si="346"/>
        <v>2800</v>
      </c>
      <c r="U946"/>
      <c r="V946">
        <f>+PRESUPUESTO22[[#This Row],[EJECUTADO ]]-SUM(PRESUPUESTO22[[#This Row],[   ENERO ]:[DIC]])</f>
        <v>0</v>
      </c>
    </row>
    <row r="947" spans="1:22" ht="27.75" customHeight="1" x14ac:dyDescent="0.25">
      <c r="A947" s="52"/>
      <c r="B947" s="156">
        <v>19010305</v>
      </c>
      <c r="C947" s="130" t="str">
        <f t="shared" si="341"/>
        <v>E-19010305</v>
      </c>
      <c r="D947" s="130">
        <v>897</v>
      </c>
      <c r="E947" s="156" t="s">
        <v>72</v>
      </c>
      <c r="F947" s="216" t="s">
        <v>767</v>
      </c>
      <c r="G947" s="193">
        <v>6000</v>
      </c>
      <c r="H947" s="193">
        <v>0</v>
      </c>
      <c r="I947" s="193">
        <v>0</v>
      </c>
      <c r="J947" s="193">
        <f>398+230.2-0.2</f>
        <v>628</v>
      </c>
      <c r="K947" s="193">
        <v>75</v>
      </c>
      <c r="L947" s="193">
        <v>0</v>
      </c>
      <c r="M947" s="193">
        <v>175</v>
      </c>
      <c r="N947" s="193">
        <f>871.96+0.04</f>
        <v>872</v>
      </c>
      <c r="O947" s="193">
        <v>0</v>
      </c>
      <c r="P947" s="193">
        <v>110</v>
      </c>
      <c r="Q947" s="193">
        <v>0</v>
      </c>
      <c r="R947" s="193">
        <f>909.8+0.2</f>
        <v>910</v>
      </c>
      <c r="S947" s="193">
        <v>0</v>
      </c>
      <c r="T947" s="193">
        <f t="shared" si="346"/>
        <v>2770</v>
      </c>
      <c r="U947"/>
      <c r="V947">
        <f>+PRESUPUESTO22[[#This Row],[EJECUTADO ]]-SUM(PRESUPUESTO22[[#This Row],[   ENERO ]:[DIC]])</f>
        <v>0</v>
      </c>
    </row>
    <row r="948" spans="1:22" ht="15.95" customHeight="1" x14ac:dyDescent="0.25">
      <c r="A948" s="52"/>
      <c r="B948" s="156">
        <v>19010306</v>
      </c>
      <c r="C948" s="130" t="str">
        <f t="shared" si="341"/>
        <v>E-19010306</v>
      </c>
      <c r="D948" s="130">
        <v>898</v>
      </c>
      <c r="E948" s="156" t="s">
        <v>72</v>
      </c>
      <c r="F948" s="216" t="s">
        <v>768</v>
      </c>
      <c r="G948" s="193">
        <v>6500</v>
      </c>
      <c r="H948" s="193">
        <v>0</v>
      </c>
      <c r="I948" s="193">
        <v>0</v>
      </c>
      <c r="J948" s="193">
        <v>0</v>
      </c>
      <c r="K948" s="193">
        <v>0</v>
      </c>
      <c r="L948" s="193">
        <v>0</v>
      </c>
      <c r="M948" s="193">
        <v>0</v>
      </c>
      <c r="N948" s="193">
        <f>3111.05-0.05</f>
        <v>3111</v>
      </c>
      <c r="O948" s="193">
        <v>0</v>
      </c>
      <c r="P948" s="193">
        <v>0</v>
      </c>
      <c r="Q948" s="193">
        <v>0</v>
      </c>
      <c r="R948" s="193">
        <v>0</v>
      </c>
      <c r="S948" s="193">
        <v>0</v>
      </c>
      <c r="T948" s="193">
        <f t="shared" si="346"/>
        <v>3111</v>
      </c>
      <c r="U948"/>
      <c r="V948">
        <f>+PRESUPUESTO22[[#This Row],[EJECUTADO ]]-SUM(PRESUPUESTO22[[#This Row],[   ENERO ]:[DIC]])</f>
        <v>0</v>
      </c>
    </row>
    <row r="949" spans="1:22" ht="15.95" customHeight="1" x14ac:dyDescent="0.25">
      <c r="A949" s="52"/>
      <c r="B949" s="156">
        <v>19010307</v>
      </c>
      <c r="C949" s="130" t="str">
        <f t="shared" si="341"/>
        <v>E-19010307</v>
      </c>
      <c r="D949" s="130">
        <v>899</v>
      </c>
      <c r="E949" s="156" t="s">
        <v>72</v>
      </c>
      <c r="F949" s="216" t="s">
        <v>769</v>
      </c>
      <c r="G949" s="193">
        <v>1500</v>
      </c>
      <c r="H949" s="193">
        <v>99</v>
      </c>
      <c r="I949" s="193">
        <v>0</v>
      </c>
      <c r="J949" s="193">
        <v>0</v>
      </c>
      <c r="K949" s="193">
        <v>0</v>
      </c>
      <c r="L949" s="193">
        <v>0</v>
      </c>
      <c r="M949" s="193">
        <v>0</v>
      </c>
      <c r="N949" s="193">
        <v>0</v>
      </c>
      <c r="O949" s="193">
        <f>571.8+0.2</f>
        <v>572</v>
      </c>
      <c r="P949" s="193">
        <f>857.7+0.3</f>
        <v>858</v>
      </c>
      <c r="Q949" s="193">
        <v>0</v>
      </c>
      <c r="R949" s="193">
        <v>0</v>
      </c>
      <c r="S949" s="193">
        <v>0</v>
      </c>
      <c r="T949" s="193">
        <f t="shared" si="346"/>
        <v>1529</v>
      </c>
      <c r="U949"/>
      <c r="V949">
        <f>+PRESUPUESTO22[[#This Row],[EJECUTADO ]]-SUM(PRESUPUESTO22[[#This Row],[   ENERO ]:[DIC]])</f>
        <v>0</v>
      </c>
    </row>
    <row r="950" spans="1:22" ht="27" customHeight="1" x14ac:dyDescent="0.25">
      <c r="A950" s="52">
        <v>4</v>
      </c>
      <c r="B950" s="167">
        <v>190104</v>
      </c>
      <c r="C950" s="130" t="str">
        <f t="shared" si="341"/>
        <v>E-190104</v>
      </c>
      <c r="D950" s="130">
        <v>900</v>
      </c>
      <c r="E950" s="167" t="s">
        <v>69</v>
      </c>
      <c r="F950" s="232" t="s">
        <v>770</v>
      </c>
      <c r="G950" s="192">
        <f t="shared" ref="G950:T950" si="347">SUM(G951:G959)</f>
        <v>107100</v>
      </c>
      <c r="H950" s="192">
        <f t="shared" si="347"/>
        <v>6752</v>
      </c>
      <c r="I950" s="192">
        <f t="shared" si="347"/>
        <v>6198</v>
      </c>
      <c r="J950" s="192">
        <f t="shared" si="347"/>
        <v>6551</v>
      </c>
      <c r="K950" s="192">
        <f t="shared" si="347"/>
        <v>6811</v>
      </c>
      <c r="L950" s="192">
        <f t="shared" si="347"/>
        <v>5777</v>
      </c>
      <c r="M950" s="192">
        <f t="shared" si="347"/>
        <v>8845</v>
      </c>
      <c r="N950" s="192">
        <f t="shared" si="347"/>
        <v>9980</v>
      </c>
      <c r="O950" s="192">
        <f t="shared" si="347"/>
        <v>4559</v>
      </c>
      <c r="P950" s="192">
        <f t="shared" si="347"/>
        <v>10112</v>
      </c>
      <c r="Q950" s="192">
        <f t="shared" si="347"/>
        <v>13349</v>
      </c>
      <c r="R950" s="192">
        <f t="shared" si="347"/>
        <v>7272</v>
      </c>
      <c r="S950" s="192">
        <f t="shared" si="347"/>
        <v>0</v>
      </c>
      <c r="T950" s="192">
        <f t="shared" si="347"/>
        <v>86206</v>
      </c>
      <c r="U950"/>
      <c r="V950">
        <f>+PRESUPUESTO22[[#This Row],[EJECUTADO ]]-SUM(PRESUPUESTO22[[#This Row],[   ENERO ]:[DIC]])</f>
        <v>0</v>
      </c>
    </row>
    <row r="951" spans="1:22" ht="15.95" customHeight="1" x14ac:dyDescent="0.25">
      <c r="A951" s="52"/>
      <c r="B951" s="168">
        <v>19010401</v>
      </c>
      <c r="C951" s="130" t="str">
        <f t="shared" si="341"/>
        <v>E-19010401</v>
      </c>
      <c r="D951" s="130">
        <v>901</v>
      </c>
      <c r="E951" s="168" t="s">
        <v>72</v>
      </c>
      <c r="F951" s="373" t="s">
        <v>771</v>
      </c>
      <c r="G951" s="193">
        <v>15500</v>
      </c>
      <c r="H951" s="193">
        <f>266.47-0.47</f>
        <v>266</v>
      </c>
      <c r="I951" s="193">
        <f>310.47+253+9.5+0.03</f>
        <v>573</v>
      </c>
      <c r="J951" s="193">
        <f>210.3+458.7</f>
        <v>669</v>
      </c>
      <c r="K951" s="193">
        <f>18.25-0.25</f>
        <v>18</v>
      </c>
      <c r="L951" s="193">
        <v>0</v>
      </c>
      <c r="M951" s="193">
        <f>228.5+0.5</f>
        <v>229</v>
      </c>
      <c r="N951" s="193">
        <f>916.7+364.3+1180+614.9+0.1</f>
        <v>3076</v>
      </c>
      <c r="O951" s="193">
        <f>42.4+60.5+0.1</f>
        <v>103</v>
      </c>
      <c r="P951" s="193">
        <f>226.42+1485.95+84+636.93-0.3</f>
        <v>2433</v>
      </c>
      <c r="Q951" s="193">
        <f>382.92+0.08</f>
        <v>383</v>
      </c>
      <c r="R951" s="193">
        <f>1458.31-0.31</f>
        <v>1458</v>
      </c>
      <c r="S951" s="193">
        <v>0</v>
      </c>
      <c r="T951" s="193">
        <f t="shared" ref="T951:T959" si="348">SUM(H951:S951)</f>
        <v>9208</v>
      </c>
      <c r="U951"/>
      <c r="V951">
        <f>+PRESUPUESTO22[[#This Row],[EJECUTADO ]]-SUM(PRESUPUESTO22[[#This Row],[   ENERO ]:[DIC]])</f>
        <v>0</v>
      </c>
    </row>
    <row r="952" spans="1:22" ht="15.95" customHeight="1" x14ac:dyDescent="0.25">
      <c r="A952" s="52"/>
      <c r="B952" s="168">
        <v>19010402</v>
      </c>
      <c r="C952" s="130" t="str">
        <f t="shared" si="341"/>
        <v>E-19010402</v>
      </c>
      <c r="D952" s="130">
        <v>902</v>
      </c>
      <c r="E952" s="168" t="s">
        <v>72</v>
      </c>
      <c r="F952" s="373" t="s">
        <v>772</v>
      </c>
      <c r="G952" s="193">
        <v>13500</v>
      </c>
      <c r="H952" s="193">
        <v>0</v>
      </c>
      <c r="I952" s="193">
        <f>424.25-0.25</f>
        <v>424</v>
      </c>
      <c r="J952" s="193">
        <v>0</v>
      </c>
      <c r="K952" s="193">
        <v>0</v>
      </c>
      <c r="L952" s="193">
        <f>123.35-0.35</f>
        <v>123</v>
      </c>
      <c r="M952" s="193">
        <v>0</v>
      </c>
      <c r="N952" s="193">
        <v>0</v>
      </c>
      <c r="O952" s="193">
        <f>146.9+0.1</f>
        <v>147</v>
      </c>
      <c r="P952" s="193">
        <f>252.5+89.15+0.35</f>
        <v>342</v>
      </c>
      <c r="Q952" s="193">
        <f>2090.5+88+364+0.5</f>
        <v>2543</v>
      </c>
      <c r="R952" s="193">
        <f>18.75+175.2+0.05</f>
        <v>194</v>
      </c>
      <c r="S952" s="193">
        <v>0</v>
      </c>
      <c r="T952" s="193">
        <f t="shared" si="348"/>
        <v>3773</v>
      </c>
      <c r="U952"/>
      <c r="V952">
        <f>+PRESUPUESTO22[[#This Row],[EJECUTADO ]]-SUM(PRESUPUESTO22[[#This Row],[   ENERO ]:[DIC]])</f>
        <v>0</v>
      </c>
    </row>
    <row r="953" spans="1:22" ht="15.95" customHeight="1" x14ac:dyDescent="0.25">
      <c r="A953" s="52"/>
      <c r="B953" s="168">
        <v>19010403</v>
      </c>
      <c r="C953" s="130" t="str">
        <f t="shared" si="341"/>
        <v>E-19010403</v>
      </c>
      <c r="D953" s="130">
        <v>903</v>
      </c>
      <c r="E953" s="168" t="s">
        <v>72</v>
      </c>
      <c r="F953" s="373" t="s">
        <v>773</v>
      </c>
      <c r="G953" s="193">
        <v>12000</v>
      </c>
      <c r="H953" s="193">
        <f>47.5+0.5</f>
        <v>48</v>
      </c>
      <c r="I953" s="193">
        <v>0</v>
      </c>
      <c r="J953" s="193">
        <f>9+97.5+292.5</f>
        <v>399</v>
      </c>
      <c r="K953" s="193">
        <f>1000-709.23+305.45-0.22</f>
        <v>596</v>
      </c>
      <c r="L953" s="193">
        <v>0</v>
      </c>
      <c r="M953" s="193">
        <f>432.6+0.4</f>
        <v>433</v>
      </c>
      <c r="N953" s="193">
        <v>0</v>
      </c>
      <c r="O953" s="193">
        <v>0</v>
      </c>
      <c r="P953" s="193">
        <f>1457.65+0.35</f>
        <v>1458</v>
      </c>
      <c r="Q953" s="193">
        <f>323.8+399.55+802.06-0.41</f>
        <v>1524.9999999999998</v>
      </c>
      <c r="R953" s="193">
        <v>0</v>
      </c>
      <c r="S953" s="193">
        <v>0</v>
      </c>
      <c r="T953" s="193">
        <f t="shared" si="348"/>
        <v>4459</v>
      </c>
      <c r="U953"/>
      <c r="V953">
        <f>+PRESUPUESTO22[[#This Row],[EJECUTADO ]]-SUM(PRESUPUESTO22[[#This Row],[   ENERO ]:[DIC]])</f>
        <v>0</v>
      </c>
    </row>
    <row r="954" spans="1:22" ht="15.95" customHeight="1" x14ac:dyDescent="0.25">
      <c r="A954" s="52"/>
      <c r="B954" s="168">
        <v>19010404</v>
      </c>
      <c r="C954" s="130" t="str">
        <f t="shared" si="341"/>
        <v>E-19010404</v>
      </c>
      <c r="D954" s="130">
        <v>904</v>
      </c>
      <c r="E954" s="168" t="s">
        <v>72</v>
      </c>
      <c r="F954" s="373" t="s">
        <v>774</v>
      </c>
      <c r="G954" s="193">
        <v>6000</v>
      </c>
      <c r="H954" s="193">
        <v>0</v>
      </c>
      <c r="I954" s="193">
        <f>1646.46-0.46</f>
        <v>1646</v>
      </c>
      <c r="J954" s="193">
        <f>1677.51+0.49</f>
        <v>1678</v>
      </c>
      <c r="K954" s="193">
        <f>1677.51+0.49</f>
        <v>1678</v>
      </c>
      <c r="L954" s="193">
        <v>1678</v>
      </c>
      <c r="M954" s="193">
        <v>0</v>
      </c>
      <c r="N954" s="193">
        <f>1677.51+1677.51-0.02</f>
        <v>3355</v>
      </c>
      <c r="O954" s="193">
        <v>0</v>
      </c>
      <c r="P954" s="193">
        <f>1677.51+0.49</f>
        <v>1678</v>
      </c>
      <c r="Q954" s="193">
        <f>1685.27-0.27</f>
        <v>1685</v>
      </c>
      <c r="R954" s="193">
        <f>1685.27-0.27</f>
        <v>1685</v>
      </c>
      <c r="S954" s="193">
        <v>0</v>
      </c>
      <c r="T954" s="193">
        <f t="shared" si="348"/>
        <v>15083</v>
      </c>
      <c r="U954"/>
      <c r="V954">
        <f>+PRESUPUESTO22[[#This Row],[EJECUTADO ]]-SUM(PRESUPUESTO22[[#This Row],[   ENERO ]:[DIC]])</f>
        <v>0</v>
      </c>
    </row>
    <row r="955" spans="1:22" ht="15.95" customHeight="1" x14ac:dyDescent="0.25">
      <c r="A955" s="52"/>
      <c r="B955" s="168">
        <v>19010405</v>
      </c>
      <c r="C955" s="130" t="str">
        <f t="shared" si="341"/>
        <v>E-19010405</v>
      </c>
      <c r="D955" s="130">
        <v>905</v>
      </c>
      <c r="E955" s="168" t="s">
        <v>72</v>
      </c>
      <c r="F955" s="373" t="s">
        <v>775</v>
      </c>
      <c r="G955" s="193">
        <v>19700</v>
      </c>
      <c r="H955" s="193">
        <f>270+1447.07+14.49+333+0.44</f>
        <v>2065</v>
      </c>
      <c r="I955" s="193">
        <f>1447.07+116+270-0.07</f>
        <v>1833</v>
      </c>
      <c r="J955" s="193">
        <f>1447.07+156+270+87.84+0.09</f>
        <v>1960.9999999999998</v>
      </c>
      <c r="K955" s="193">
        <f>1447.07+270-0.07</f>
        <v>1717</v>
      </c>
      <c r="L955" s="193">
        <f>270+1447.01+100-0.01</f>
        <v>1817</v>
      </c>
      <c r="M955" s="193">
        <f>1447.07+11.08+270-0.15</f>
        <v>1727.9999999999998</v>
      </c>
      <c r="N955" s="193">
        <f>1447.07+270+132-0.07</f>
        <v>1849</v>
      </c>
      <c r="O955" s="193">
        <f>270+139.5+1447.07+12+354+386+0.43</f>
        <v>2608.9999999999995</v>
      </c>
      <c r="P955" s="193">
        <f>441+1447.07+82.5+270+0.43</f>
        <v>2240.9999999999995</v>
      </c>
      <c r="Q955" s="193">
        <f>270+82.5+55.75+1447.07-0.32</f>
        <v>1855</v>
      </c>
      <c r="R955" s="193">
        <f>274.05+1447.07+97+270+147.07-0.19</f>
        <v>2235</v>
      </c>
      <c r="S955" s="193">
        <v>0</v>
      </c>
      <c r="T955" s="193">
        <f t="shared" si="348"/>
        <v>21910</v>
      </c>
      <c r="U955"/>
      <c r="V955">
        <f>+PRESUPUESTO22[[#This Row],[EJECUTADO ]]-SUM(PRESUPUESTO22[[#This Row],[   ENERO ]:[DIC]])</f>
        <v>0</v>
      </c>
    </row>
    <row r="956" spans="1:22" ht="15.95" customHeight="1" x14ac:dyDescent="0.25">
      <c r="A956" s="52"/>
      <c r="B956" s="168">
        <v>19010406</v>
      </c>
      <c r="C956" s="130" t="str">
        <f t="shared" si="341"/>
        <v>E-19010406</v>
      </c>
      <c r="D956" s="130">
        <v>906</v>
      </c>
      <c r="E956" s="168" t="s">
        <v>72</v>
      </c>
      <c r="F956" s="373" t="s">
        <v>776</v>
      </c>
      <c r="G956" s="193">
        <v>20400</v>
      </c>
      <c r="H956" s="193">
        <f>1700+85+85</f>
        <v>1870</v>
      </c>
      <c r="I956" s="193">
        <v>1700</v>
      </c>
      <c r="J956" s="193">
        <v>1700</v>
      </c>
      <c r="K956" s="193">
        <v>1700</v>
      </c>
      <c r="L956" s="193">
        <v>1850</v>
      </c>
      <c r="M956" s="193">
        <v>1700</v>
      </c>
      <c r="N956" s="193">
        <v>1700</v>
      </c>
      <c r="O956" s="193">
        <v>1700</v>
      </c>
      <c r="P956" s="193">
        <v>1700</v>
      </c>
      <c r="Q956" s="193">
        <v>1700</v>
      </c>
      <c r="R956" s="193">
        <v>1700</v>
      </c>
      <c r="S956" s="193">
        <v>0</v>
      </c>
      <c r="T956" s="193">
        <f t="shared" si="348"/>
        <v>19020</v>
      </c>
      <c r="U956"/>
      <c r="V956">
        <f>+PRESUPUESTO22[[#This Row],[EJECUTADO ]]-SUM(PRESUPUESTO22[[#This Row],[   ENERO ]:[DIC]])</f>
        <v>0</v>
      </c>
    </row>
    <row r="957" spans="1:22" ht="15.95" customHeight="1" x14ac:dyDescent="0.25">
      <c r="A957" s="52"/>
      <c r="B957" s="168">
        <v>19010407</v>
      </c>
      <c r="C957" s="130" t="str">
        <f t="shared" si="341"/>
        <v>E-19010407</v>
      </c>
      <c r="D957" s="130">
        <v>907</v>
      </c>
      <c r="E957" s="168" t="s">
        <v>72</v>
      </c>
      <c r="F957" s="373" t="s">
        <v>777</v>
      </c>
      <c r="G957" s="193">
        <v>19000</v>
      </c>
      <c r="H957" s="193">
        <f>2502.55+0.45</f>
        <v>2503</v>
      </c>
      <c r="I957" s="193">
        <v>0</v>
      </c>
      <c r="J957" s="193">
        <f>143.6+0.4</f>
        <v>144</v>
      </c>
      <c r="K957" s="193">
        <f>839.85+0.15</f>
        <v>840</v>
      </c>
      <c r="L957" s="193">
        <f>308.65+0.35</f>
        <v>309</v>
      </c>
      <c r="M957" s="193">
        <f>762.17+3507.5+0.33</f>
        <v>4270</v>
      </c>
      <c r="N957" s="193">
        <v>0</v>
      </c>
      <c r="O957" s="193">
        <v>0</v>
      </c>
      <c r="P957" s="193">
        <v>0</v>
      </c>
      <c r="Q957" s="193">
        <f>868+1889.8+0.2</f>
        <v>2758</v>
      </c>
      <c r="R957" s="193">
        <v>0</v>
      </c>
      <c r="S957" s="193">
        <v>0</v>
      </c>
      <c r="T957" s="193">
        <f t="shared" si="348"/>
        <v>10824</v>
      </c>
      <c r="U957"/>
      <c r="V957">
        <f>+PRESUPUESTO22[[#This Row],[EJECUTADO ]]-SUM(PRESUPUESTO22[[#This Row],[   ENERO ]:[DIC]])</f>
        <v>0</v>
      </c>
    </row>
    <row r="958" spans="1:22" ht="15.95" customHeight="1" x14ac:dyDescent="0.25">
      <c r="A958" s="52"/>
      <c r="B958" s="168">
        <v>19010409</v>
      </c>
      <c r="C958" s="130" t="str">
        <f t="shared" ref="C958" si="349">"E"&amp;"-"&amp;B958</f>
        <v>E-19010409</v>
      </c>
      <c r="D958" s="130">
        <v>908</v>
      </c>
      <c r="E958" s="156" t="s">
        <v>72</v>
      </c>
      <c r="F958" s="373" t="s">
        <v>1431</v>
      </c>
      <c r="G958" s="193">
        <v>0</v>
      </c>
      <c r="H958" s="193"/>
      <c r="I958" s="193"/>
      <c r="J958" s="193"/>
      <c r="K958" s="193"/>
      <c r="L958" s="193"/>
      <c r="M958" s="193"/>
      <c r="N958" s="193"/>
      <c r="O958" s="193"/>
      <c r="P958" s="193">
        <v>0</v>
      </c>
      <c r="Q958" s="193">
        <f>899.98+0.02</f>
        <v>900</v>
      </c>
      <c r="R958" s="193">
        <v>0</v>
      </c>
      <c r="S958" s="193">
        <v>0</v>
      </c>
      <c r="T958" s="193">
        <f t="shared" si="348"/>
        <v>900</v>
      </c>
      <c r="U958"/>
      <c r="V958">
        <f>+PRESUPUESTO22[[#This Row],[EJECUTADO ]]-SUM(PRESUPUESTO22[[#This Row],[   ENERO ]:[DIC]])</f>
        <v>0</v>
      </c>
    </row>
    <row r="959" spans="1:22" ht="15.95" customHeight="1" x14ac:dyDescent="0.25">
      <c r="A959" s="52"/>
      <c r="B959" s="168">
        <v>19010408</v>
      </c>
      <c r="C959" s="130" t="str">
        <f t="shared" si="341"/>
        <v>E-19010408</v>
      </c>
      <c r="D959" s="130">
        <v>909</v>
      </c>
      <c r="E959" s="168" t="s">
        <v>72</v>
      </c>
      <c r="F959" s="373" t="s">
        <v>778</v>
      </c>
      <c r="G959" s="193">
        <v>1000</v>
      </c>
      <c r="H959" s="193">
        <v>0</v>
      </c>
      <c r="I959" s="193">
        <f>21.65+0.35</f>
        <v>22</v>
      </c>
      <c r="J959" s="193">
        <v>0</v>
      </c>
      <c r="K959" s="193">
        <f>262.1-0.1</f>
        <v>262</v>
      </c>
      <c r="L959" s="193">
        <v>0</v>
      </c>
      <c r="M959" s="193">
        <f>74.95+350+60.35-0.3</f>
        <v>485</v>
      </c>
      <c r="N959" s="193">
        <v>0</v>
      </c>
      <c r="O959" s="193">
        <v>0</v>
      </c>
      <c r="P959" s="193">
        <f>248.18+11.7+0.12</f>
        <v>260</v>
      </c>
      <c r="Q959" s="193">
        <v>0</v>
      </c>
      <c r="R959" s="193">
        <v>0</v>
      </c>
      <c r="S959" s="193">
        <v>0</v>
      </c>
      <c r="T959" s="193">
        <f t="shared" si="348"/>
        <v>1029</v>
      </c>
      <c r="U959"/>
      <c r="V959">
        <f>+PRESUPUESTO22[[#This Row],[EJECUTADO ]]-SUM(PRESUPUESTO22[[#This Row],[   ENERO ]:[DIC]])</f>
        <v>0</v>
      </c>
    </row>
    <row r="960" spans="1:22" ht="15.75" customHeight="1" x14ac:dyDescent="0.25">
      <c r="A960" s="52">
        <v>5</v>
      </c>
      <c r="B960" s="167">
        <v>190105</v>
      </c>
      <c r="C960" s="130" t="str">
        <f t="shared" si="341"/>
        <v>E-190105</v>
      </c>
      <c r="D960" s="130">
        <v>910</v>
      </c>
      <c r="E960" s="167" t="s">
        <v>69</v>
      </c>
      <c r="F960" s="232" t="s">
        <v>779</v>
      </c>
      <c r="G960" s="192">
        <f t="shared" ref="G960:T960" si="350">SUM(G961:G969)</f>
        <v>11250</v>
      </c>
      <c r="H960" s="192">
        <f t="shared" si="350"/>
        <v>57</v>
      </c>
      <c r="I960" s="192">
        <f t="shared" si="350"/>
        <v>551</v>
      </c>
      <c r="J960" s="192">
        <f t="shared" si="350"/>
        <v>172</v>
      </c>
      <c r="K960" s="192">
        <f t="shared" si="350"/>
        <v>542</v>
      </c>
      <c r="L960" s="192">
        <f t="shared" si="350"/>
        <v>1375</v>
      </c>
      <c r="M960" s="192">
        <f t="shared" si="350"/>
        <v>735</v>
      </c>
      <c r="N960" s="192">
        <f t="shared" si="350"/>
        <v>1087</v>
      </c>
      <c r="O960" s="192">
        <f t="shared" si="350"/>
        <v>175</v>
      </c>
      <c r="P960" s="192">
        <f t="shared" si="350"/>
        <v>6356</v>
      </c>
      <c r="Q960" s="192">
        <f t="shared" si="350"/>
        <v>5737</v>
      </c>
      <c r="R960" s="192">
        <f t="shared" si="350"/>
        <v>6165</v>
      </c>
      <c r="S960" s="192">
        <f t="shared" si="350"/>
        <v>0</v>
      </c>
      <c r="T960" s="192">
        <f t="shared" si="350"/>
        <v>22952</v>
      </c>
      <c r="U960"/>
      <c r="V960">
        <f>+PRESUPUESTO22[[#This Row],[EJECUTADO ]]-SUM(PRESUPUESTO22[[#This Row],[   ENERO ]:[DIC]])</f>
        <v>0</v>
      </c>
    </row>
    <row r="961" spans="1:24" ht="15.95" customHeight="1" x14ac:dyDescent="0.25">
      <c r="A961" s="52"/>
      <c r="B961" s="156">
        <v>19010501</v>
      </c>
      <c r="C961" s="130" t="str">
        <f t="shared" si="341"/>
        <v>E-19010501</v>
      </c>
      <c r="D961" s="130">
        <v>911</v>
      </c>
      <c r="E961" s="156" t="s">
        <v>72</v>
      </c>
      <c r="F961" s="216" t="s">
        <v>780</v>
      </c>
      <c r="G961" s="193">
        <v>2000</v>
      </c>
      <c r="H961" s="193">
        <v>45</v>
      </c>
      <c r="I961" s="193">
        <f>190.47+37.11+93.35+0.07</f>
        <v>320.99999999999994</v>
      </c>
      <c r="J961" s="193">
        <f>75+26.79+0.21</f>
        <v>101.99999999999999</v>
      </c>
      <c r="K961" s="193">
        <v>0</v>
      </c>
      <c r="L961" s="193">
        <f>84.65+0.35</f>
        <v>85</v>
      </c>
      <c r="M961" s="193">
        <f>460.01-0.01</f>
        <v>460</v>
      </c>
      <c r="N961" s="193">
        <f>69.5+0.5</f>
        <v>70</v>
      </c>
      <c r="O961" s="193">
        <v>0</v>
      </c>
      <c r="P961" s="193">
        <f>169.72+0.28</f>
        <v>170</v>
      </c>
      <c r="Q961" s="193">
        <f>219.14-0.14</f>
        <v>219</v>
      </c>
      <c r="R961" s="193">
        <v>0</v>
      </c>
      <c r="S961" s="193">
        <v>0</v>
      </c>
      <c r="T961" s="193">
        <f t="shared" ref="T961:T969" si="351">SUM(H961:S961)</f>
        <v>1472</v>
      </c>
      <c r="U961"/>
      <c r="V961">
        <f>+PRESUPUESTO22[[#This Row],[EJECUTADO ]]-SUM(PRESUPUESTO22[[#This Row],[   ENERO ]:[DIC]])</f>
        <v>0</v>
      </c>
    </row>
    <row r="962" spans="1:24" ht="15.95" customHeight="1" x14ac:dyDescent="0.25">
      <c r="A962" s="52"/>
      <c r="B962" s="156">
        <v>19010502</v>
      </c>
      <c r="C962" s="130" t="str">
        <f t="shared" si="341"/>
        <v>E-19010502</v>
      </c>
      <c r="D962" s="130">
        <v>912</v>
      </c>
      <c r="E962" s="156" t="s">
        <v>72</v>
      </c>
      <c r="F962" s="216" t="s">
        <v>781</v>
      </c>
      <c r="G962" s="193">
        <v>0</v>
      </c>
      <c r="H962" s="193">
        <v>0</v>
      </c>
      <c r="I962" s="193">
        <v>0</v>
      </c>
      <c r="J962" s="193">
        <v>0</v>
      </c>
      <c r="K962" s="193">
        <v>0</v>
      </c>
      <c r="L962" s="193">
        <v>0</v>
      </c>
      <c r="M962" s="193">
        <v>0</v>
      </c>
      <c r="N962" s="193">
        <v>0</v>
      </c>
      <c r="O962" s="193">
        <v>0</v>
      </c>
      <c r="P962" s="193">
        <v>2260</v>
      </c>
      <c r="Q962" s="193">
        <v>0</v>
      </c>
      <c r="R962" s="193">
        <v>0</v>
      </c>
      <c r="S962" s="193">
        <v>0</v>
      </c>
      <c r="T962" s="193">
        <f t="shared" si="351"/>
        <v>2260</v>
      </c>
      <c r="U962"/>
      <c r="V962">
        <f>+PRESUPUESTO22[[#This Row],[EJECUTADO ]]-SUM(PRESUPUESTO22[[#This Row],[   ENERO ]:[DIC]])</f>
        <v>0</v>
      </c>
    </row>
    <row r="963" spans="1:24" ht="25.5" customHeight="1" x14ac:dyDescent="0.25">
      <c r="A963" s="52"/>
      <c r="B963" s="156">
        <v>19010503</v>
      </c>
      <c r="C963" s="130" t="str">
        <f t="shared" si="341"/>
        <v>E-19010503</v>
      </c>
      <c r="D963" s="130">
        <v>913</v>
      </c>
      <c r="E963" s="156" t="s">
        <v>72</v>
      </c>
      <c r="F963" s="216" t="s">
        <v>782</v>
      </c>
      <c r="G963" s="193">
        <v>0</v>
      </c>
      <c r="H963" s="193">
        <v>0</v>
      </c>
      <c r="I963" s="193">
        <v>0</v>
      </c>
      <c r="J963" s="193">
        <v>0</v>
      </c>
      <c r="K963" s="193">
        <v>0</v>
      </c>
      <c r="L963" s="193">
        <v>0</v>
      </c>
      <c r="M963" s="193">
        <v>0</v>
      </c>
      <c r="N963" s="193">
        <v>0</v>
      </c>
      <c r="O963" s="193">
        <v>0</v>
      </c>
      <c r="P963" s="193">
        <f>863.35-0.35</f>
        <v>863</v>
      </c>
      <c r="Q963" s="193">
        <v>0</v>
      </c>
      <c r="R963" s="193">
        <f>2569+3046.48-0.48</f>
        <v>5615</v>
      </c>
      <c r="S963" s="193">
        <v>0</v>
      </c>
      <c r="T963" s="193">
        <f t="shared" si="351"/>
        <v>6478</v>
      </c>
      <c r="U963"/>
      <c r="V963">
        <f>+PRESUPUESTO22[[#This Row],[EJECUTADO ]]-SUM(PRESUPUESTO22[[#This Row],[   ENERO ]:[DIC]])</f>
        <v>0</v>
      </c>
    </row>
    <row r="964" spans="1:24" ht="25.5" customHeight="1" x14ac:dyDescent="0.25">
      <c r="A964" s="52"/>
      <c r="B964" s="156">
        <v>19010509</v>
      </c>
      <c r="C964" s="130" t="str">
        <f t="shared" ref="C964" si="352">"E"&amp;"-"&amp;B964</f>
        <v>E-19010509</v>
      </c>
      <c r="D964" s="130">
        <v>914</v>
      </c>
      <c r="E964" s="156" t="s">
        <v>72</v>
      </c>
      <c r="F964" s="216" t="s">
        <v>1432</v>
      </c>
      <c r="G964" s="193">
        <v>0</v>
      </c>
      <c r="H964" s="193">
        <v>0</v>
      </c>
      <c r="I964" s="193">
        <v>0</v>
      </c>
      <c r="J964" s="193">
        <v>0</v>
      </c>
      <c r="K964" s="193">
        <v>0</v>
      </c>
      <c r="L964" s="193">
        <v>0</v>
      </c>
      <c r="M964" s="193">
        <v>0</v>
      </c>
      <c r="N964" s="193">
        <v>0</v>
      </c>
      <c r="O964" s="193">
        <v>0</v>
      </c>
      <c r="P964" s="193">
        <v>0</v>
      </c>
      <c r="Q964" s="193">
        <f>637.94+1836.43-0.37</f>
        <v>2474</v>
      </c>
      <c r="R964" s="193">
        <v>0</v>
      </c>
      <c r="S964" s="193">
        <v>0</v>
      </c>
      <c r="T964" s="193">
        <f t="shared" si="351"/>
        <v>2474</v>
      </c>
      <c r="U964"/>
      <c r="V964">
        <f>+PRESUPUESTO22[[#This Row],[EJECUTADO ]]-SUM(PRESUPUESTO22[[#This Row],[   ENERO ]:[DIC]])</f>
        <v>0</v>
      </c>
    </row>
    <row r="965" spans="1:24" ht="16.5" customHeight="1" x14ac:dyDescent="0.25">
      <c r="A965" s="52"/>
      <c r="B965" s="156">
        <v>19010504</v>
      </c>
      <c r="C965" s="130" t="str">
        <f t="shared" si="341"/>
        <v>E-19010504</v>
      </c>
      <c r="D965" s="130">
        <v>915</v>
      </c>
      <c r="E965" s="156" t="s">
        <v>72</v>
      </c>
      <c r="F965" s="216" t="s">
        <v>783</v>
      </c>
      <c r="G965" s="193">
        <v>5000</v>
      </c>
      <c r="H965" s="193">
        <v>0</v>
      </c>
      <c r="I965" s="193">
        <v>0</v>
      </c>
      <c r="J965" s="193">
        <v>0</v>
      </c>
      <c r="K965" s="193">
        <v>0</v>
      </c>
      <c r="L965" s="193">
        <v>0</v>
      </c>
      <c r="M965" s="193">
        <v>0</v>
      </c>
      <c r="N965" s="193">
        <v>0</v>
      </c>
      <c r="O965" s="193">
        <v>0</v>
      </c>
      <c r="P965" s="193">
        <v>0</v>
      </c>
      <c r="Q965" s="193">
        <v>0</v>
      </c>
      <c r="R965" s="193">
        <v>0</v>
      </c>
      <c r="S965" s="193">
        <v>0</v>
      </c>
      <c r="T965" s="193">
        <f t="shared" si="351"/>
        <v>0</v>
      </c>
      <c r="U965"/>
      <c r="V965">
        <f>+PRESUPUESTO22[[#This Row],[EJECUTADO ]]-SUM(PRESUPUESTO22[[#This Row],[   ENERO ]:[DIC]])</f>
        <v>0</v>
      </c>
    </row>
    <row r="966" spans="1:24" ht="15.95" customHeight="1" x14ac:dyDescent="0.25">
      <c r="A966" s="52"/>
      <c r="B966" s="156">
        <v>19010505</v>
      </c>
      <c r="C966" s="130" t="str">
        <f t="shared" si="341"/>
        <v>E-19010505</v>
      </c>
      <c r="D966" s="130">
        <v>916</v>
      </c>
      <c r="E966" s="156" t="s">
        <v>72</v>
      </c>
      <c r="F966" s="216" t="s">
        <v>784</v>
      </c>
      <c r="G966" s="193">
        <v>750</v>
      </c>
      <c r="H966" s="193">
        <v>12</v>
      </c>
      <c r="I966" s="193">
        <v>0</v>
      </c>
      <c r="J966" s="193">
        <v>0</v>
      </c>
      <c r="K966" s="193">
        <v>0</v>
      </c>
      <c r="L966" s="193">
        <v>0</v>
      </c>
      <c r="M966" s="193">
        <v>0</v>
      </c>
      <c r="N966" s="193">
        <v>0</v>
      </c>
      <c r="O966" s="193">
        <f>174.9+0.1</f>
        <v>175</v>
      </c>
      <c r="P966" s="193">
        <v>0</v>
      </c>
      <c r="Q966" s="193">
        <f>550+215+1590.48-0.48</f>
        <v>2355</v>
      </c>
      <c r="R966" s="193">
        <v>550</v>
      </c>
      <c r="S966" s="193">
        <v>0</v>
      </c>
      <c r="T966" s="193">
        <f t="shared" si="351"/>
        <v>3092</v>
      </c>
      <c r="U966"/>
      <c r="V966">
        <f>+PRESUPUESTO22[[#This Row],[EJECUTADO ]]-SUM(PRESUPUESTO22[[#This Row],[   ENERO ]:[DIC]])</f>
        <v>0</v>
      </c>
    </row>
    <row r="967" spans="1:24" ht="15.95" customHeight="1" x14ac:dyDescent="0.25">
      <c r="A967" s="52"/>
      <c r="B967" s="156">
        <v>19010506</v>
      </c>
      <c r="C967" s="130" t="str">
        <f t="shared" si="341"/>
        <v>E-19010506</v>
      </c>
      <c r="D967" s="130">
        <v>917</v>
      </c>
      <c r="E967" s="156" t="s">
        <v>72</v>
      </c>
      <c r="F967" s="216" t="s">
        <v>785</v>
      </c>
      <c r="G967" s="193">
        <v>2500</v>
      </c>
      <c r="H967" s="193">
        <v>0</v>
      </c>
      <c r="I967" s="193">
        <v>0</v>
      </c>
      <c r="J967" s="193">
        <v>0</v>
      </c>
      <c r="K967" s="193">
        <v>0</v>
      </c>
      <c r="L967" s="193">
        <v>0</v>
      </c>
      <c r="M967" s="193">
        <v>0</v>
      </c>
      <c r="N967" s="193">
        <v>0</v>
      </c>
      <c r="O967" s="193">
        <v>0</v>
      </c>
      <c r="P967" s="193">
        <f>2542.51+0.49</f>
        <v>2543</v>
      </c>
      <c r="Q967" s="193">
        <f>620+68.81+0.19</f>
        <v>689</v>
      </c>
      <c r="R967" s="193">
        <v>0</v>
      </c>
      <c r="S967" s="193">
        <v>0</v>
      </c>
      <c r="T967" s="193">
        <f t="shared" si="351"/>
        <v>3232</v>
      </c>
      <c r="U967"/>
      <c r="V967">
        <f>+PRESUPUESTO22[[#This Row],[EJECUTADO ]]-SUM(PRESUPUESTO22[[#This Row],[   ENERO ]:[DIC]])</f>
        <v>0</v>
      </c>
    </row>
    <row r="968" spans="1:24" ht="15.95" customHeight="1" x14ac:dyDescent="0.25">
      <c r="A968" s="52"/>
      <c r="B968" s="156">
        <v>19010507</v>
      </c>
      <c r="C968" s="130" t="str">
        <f t="shared" si="341"/>
        <v>E-19010507</v>
      </c>
      <c r="D968" s="130">
        <v>918</v>
      </c>
      <c r="E968" s="156" t="s">
        <v>72</v>
      </c>
      <c r="F968" s="216" t="s">
        <v>1433</v>
      </c>
      <c r="G968" s="193">
        <v>0</v>
      </c>
      <c r="H968" s="193">
        <v>0</v>
      </c>
      <c r="I968" s="193">
        <v>0</v>
      </c>
      <c r="J968" s="193">
        <v>0</v>
      </c>
      <c r="K968" s="193">
        <f>542.4-0.4</f>
        <v>542</v>
      </c>
      <c r="L968" s="193">
        <v>0</v>
      </c>
      <c r="M968" s="193">
        <v>0</v>
      </c>
      <c r="N968" s="193">
        <v>1017</v>
      </c>
      <c r="O968" s="193">
        <v>0</v>
      </c>
      <c r="P968" s="193">
        <v>0</v>
      </c>
      <c r="Q968" s="193">
        <v>0</v>
      </c>
      <c r="R968" s="193">
        <v>0</v>
      </c>
      <c r="S968" s="193">
        <v>0</v>
      </c>
      <c r="T968" s="193">
        <f t="shared" si="351"/>
        <v>1559</v>
      </c>
      <c r="U968"/>
      <c r="V968">
        <f>+PRESUPUESTO22[[#This Row],[EJECUTADO ]]-SUM(PRESUPUESTO22[[#This Row],[   ENERO ]:[DIC]])</f>
        <v>0</v>
      </c>
    </row>
    <row r="969" spans="1:24" ht="15.95" customHeight="1" x14ac:dyDescent="0.25">
      <c r="A969" s="52"/>
      <c r="B969" s="156">
        <v>19010508</v>
      </c>
      <c r="C969" s="130" t="str">
        <f t="shared" si="341"/>
        <v>E-19010508</v>
      </c>
      <c r="D969" s="130">
        <v>919</v>
      </c>
      <c r="E969" s="156" t="s">
        <v>72</v>
      </c>
      <c r="F969" s="216" t="s">
        <v>786</v>
      </c>
      <c r="G969" s="193">
        <v>1000</v>
      </c>
      <c r="H969" s="193">
        <v>0</v>
      </c>
      <c r="I969" s="193">
        <v>230</v>
      </c>
      <c r="J969" s="193">
        <v>70</v>
      </c>
      <c r="K969" s="193">
        <v>0</v>
      </c>
      <c r="L969" s="193">
        <v>1290</v>
      </c>
      <c r="M969" s="193">
        <v>275</v>
      </c>
      <c r="N969" s="193">
        <v>0</v>
      </c>
      <c r="O969" s="193">
        <v>0</v>
      </c>
      <c r="P969" s="193">
        <v>520</v>
      </c>
      <c r="Q969" s="193">
        <v>0</v>
      </c>
      <c r="R969" s="193">
        <v>0</v>
      </c>
      <c r="S969" s="193">
        <v>0</v>
      </c>
      <c r="T969" s="193">
        <f t="shared" si="351"/>
        <v>2385</v>
      </c>
      <c r="U969"/>
      <c r="V969">
        <f>+PRESUPUESTO22[[#This Row],[EJECUTADO ]]-SUM(PRESUPUESTO22[[#This Row],[   ENERO ]:[DIC]])</f>
        <v>0</v>
      </c>
    </row>
    <row r="970" spans="1:24" ht="15.95" customHeight="1" x14ac:dyDescent="0.25">
      <c r="A970" s="52">
        <v>7</v>
      </c>
      <c r="B970" s="167">
        <v>190106</v>
      </c>
      <c r="C970" s="130" t="str">
        <f t="shared" si="341"/>
        <v>E-190106</v>
      </c>
      <c r="D970" s="130">
        <v>920</v>
      </c>
      <c r="E970" s="167" t="s">
        <v>69</v>
      </c>
      <c r="F970" s="232" t="s">
        <v>787</v>
      </c>
      <c r="G970" s="192">
        <f t="shared" ref="G970:T970" si="353">SUM(G971:G975)</f>
        <v>6000</v>
      </c>
      <c r="H970" s="192">
        <f t="shared" si="353"/>
        <v>0</v>
      </c>
      <c r="I970" s="192">
        <f t="shared" si="353"/>
        <v>0</v>
      </c>
      <c r="J970" s="192">
        <f t="shared" si="353"/>
        <v>0</v>
      </c>
      <c r="K970" s="192">
        <f t="shared" si="353"/>
        <v>0</v>
      </c>
      <c r="L970" s="192">
        <f t="shared" si="353"/>
        <v>0</v>
      </c>
      <c r="M970" s="192">
        <f t="shared" si="353"/>
        <v>2155</v>
      </c>
      <c r="N970" s="192">
        <f t="shared" si="353"/>
        <v>0</v>
      </c>
      <c r="O970" s="192">
        <f t="shared" si="353"/>
        <v>0</v>
      </c>
      <c r="P970" s="192">
        <f t="shared" si="353"/>
        <v>0</v>
      </c>
      <c r="Q970" s="192">
        <f t="shared" si="353"/>
        <v>384</v>
      </c>
      <c r="R970" s="192">
        <f t="shared" si="353"/>
        <v>0</v>
      </c>
      <c r="S970" s="192">
        <f t="shared" si="353"/>
        <v>0</v>
      </c>
      <c r="T970" s="192">
        <f t="shared" si="353"/>
        <v>2539</v>
      </c>
      <c r="U970"/>
      <c r="V970">
        <f>+PRESUPUESTO22[[#This Row],[EJECUTADO ]]-SUM(PRESUPUESTO22[[#This Row],[   ENERO ]:[DIC]])</f>
        <v>0</v>
      </c>
    </row>
    <row r="971" spans="1:24" ht="15.95" customHeight="1" x14ac:dyDescent="0.25">
      <c r="A971" s="52"/>
      <c r="B971" s="156">
        <v>19010601</v>
      </c>
      <c r="C971" s="130" t="str">
        <f t="shared" si="341"/>
        <v>E-19010601</v>
      </c>
      <c r="D971" s="130">
        <v>921</v>
      </c>
      <c r="E971" s="156" t="s">
        <v>72</v>
      </c>
      <c r="F971" s="216" t="s">
        <v>788</v>
      </c>
      <c r="G971" s="193">
        <v>2000</v>
      </c>
      <c r="H971" s="193">
        <v>0</v>
      </c>
      <c r="I971" s="193">
        <v>0</v>
      </c>
      <c r="J971" s="193">
        <v>0</v>
      </c>
      <c r="K971" s="193">
        <v>0</v>
      </c>
      <c r="L971" s="193">
        <v>0</v>
      </c>
      <c r="M971" s="193">
        <v>1325</v>
      </c>
      <c r="N971" s="193">
        <v>0</v>
      </c>
      <c r="O971" s="193">
        <v>0</v>
      </c>
      <c r="P971" s="193">
        <v>0</v>
      </c>
      <c r="Q971" s="193">
        <v>0</v>
      </c>
      <c r="R971" s="193">
        <v>0</v>
      </c>
      <c r="S971" s="193">
        <v>0</v>
      </c>
      <c r="T971" s="193">
        <f>SUM(H971:S971)</f>
        <v>1325</v>
      </c>
      <c r="U971"/>
      <c r="V971">
        <f>+PRESUPUESTO22[[#This Row],[EJECUTADO ]]-SUM(PRESUPUESTO22[[#This Row],[   ENERO ]:[DIC]])</f>
        <v>0</v>
      </c>
    </row>
    <row r="972" spans="1:24" ht="15.95" customHeight="1" x14ac:dyDescent="0.25">
      <c r="A972" s="52"/>
      <c r="B972" s="156">
        <v>19010602</v>
      </c>
      <c r="C972" s="130" t="str">
        <f t="shared" si="341"/>
        <v>E-19010602</v>
      </c>
      <c r="D972" s="130">
        <v>922</v>
      </c>
      <c r="E972" s="156" t="s">
        <v>72</v>
      </c>
      <c r="F972" s="216" t="s">
        <v>789</v>
      </c>
      <c r="G972" s="193">
        <v>4000</v>
      </c>
      <c r="H972" s="193">
        <v>0</v>
      </c>
      <c r="I972" s="193">
        <v>0</v>
      </c>
      <c r="J972" s="193">
        <v>0</v>
      </c>
      <c r="K972" s="193">
        <v>0</v>
      </c>
      <c r="L972" s="193">
        <v>0</v>
      </c>
      <c r="M972" s="193">
        <v>112</v>
      </c>
      <c r="N972" s="193">
        <v>0</v>
      </c>
      <c r="O972" s="193">
        <v>0</v>
      </c>
      <c r="P972" s="193">
        <v>0</v>
      </c>
      <c r="Q972" s="193">
        <v>0</v>
      </c>
      <c r="R972" s="193">
        <v>0</v>
      </c>
      <c r="S972" s="193">
        <v>0</v>
      </c>
      <c r="T972" s="193">
        <f>SUM(H972:S972)</f>
        <v>112</v>
      </c>
      <c r="U972"/>
      <c r="V972">
        <f>+PRESUPUESTO22[[#This Row],[EJECUTADO ]]-SUM(PRESUPUESTO22[[#This Row],[   ENERO ]:[DIC]])</f>
        <v>0</v>
      </c>
    </row>
    <row r="973" spans="1:24" ht="15.95" customHeight="1" x14ac:dyDescent="0.25">
      <c r="A973" s="52"/>
      <c r="B973" s="156">
        <v>19010603</v>
      </c>
      <c r="C973" s="130" t="str">
        <f t="shared" si="341"/>
        <v>E-19010603</v>
      </c>
      <c r="D973" s="130">
        <v>923</v>
      </c>
      <c r="E973" s="156" t="s">
        <v>72</v>
      </c>
      <c r="F973" s="216" t="s">
        <v>790</v>
      </c>
      <c r="G973" s="193">
        <v>0</v>
      </c>
      <c r="H973" s="193">
        <v>0</v>
      </c>
      <c r="I973" s="193">
        <v>0</v>
      </c>
      <c r="J973" s="193">
        <v>0</v>
      </c>
      <c r="K973" s="193">
        <v>0</v>
      </c>
      <c r="L973" s="193">
        <v>0</v>
      </c>
      <c r="M973" s="193">
        <v>630</v>
      </c>
      <c r="N973" s="193">
        <v>0</v>
      </c>
      <c r="O973" s="193">
        <v>0</v>
      </c>
      <c r="P973" s="193">
        <v>0</v>
      </c>
      <c r="Q973" s="193">
        <v>0</v>
      </c>
      <c r="R973" s="193">
        <v>0</v>
      </c>
      <c r="S973" s="193"/>
      <c r="T973" s="193">
        <f>SUM(H973:S973)</f>
        <v>630</v>
      </c>
      <c r="U973"/>
      <c r="V973">
        <f>+PRESUPUESTO22[[#This Row],[EJECUTADO ]]-SUM(PRESUPUESTO22[[#This Row],[   ENERO ]:[DIC]])</f>
        <v>0</v>
      </c>
    </row>
    <row r="974" spans="1:24" ht="15.95" customHeight="1" x14ac:dyDescent="0.25">
      <c r="A974" s="52"/>
      <c r="B974" s="156">
        <v>19010604</v>
      </c>
      <c r="C974" s="130" t="str">
        <f t="shared" si="341"/>
        <v>E-19010604</v>
      </c>
      <c r="D974" s="130">
        <v>924</v>
      </c>
      <c r="E974" s="156" t="s">
        <v>72</v>
      </c>
      <c r="F974" s="216" t="s">
        <v>791</v>
      </c>
      <c r="G974" s="193">
        <v>0</v>
      </c>
      <c r="H974" s="193">
        <v>0</v>
      </c>
      <c r="I974" s="193">
        <v>0</v>
      </c>
      <c r="J974" s="193">
        <v>0</v>
      </c>
      <c r="K974" s="193">
        <v>0</v>
      </c>
      <c r="L974" s="193">
        <v>0</v>
      </c>
      <c r="M974" s="193">
        <f>88.1-0.1</f>
        <v>88</v>
      </c>
      <c r="N974" s="193">
        <v>0</v>
      </c>
      <c r="O974" s="193">
        <v>0</v>
      </c>
      <c r="P974" s="193">
        <v>0</v>
      </c>
      <c r="Q974" s="193">
        <v>0</v>
      </c>
      <c r="R974" s="193">
        <v>0</v>
      </c>
      <c r="S974" s="193"/>
      <c r="T974" s="193">
        <f>SUM(H974:S974)</f>
        <v>88</v>
      </c>
      <c r="U974"/>
      <c r="V974">
        <f>+PRESUPUESTO22[[#This Row],[EJECUTADO ]]-SUM(PRESUPUESTO22[[#This Row],[   ENERO ]:[DIC]])</f>
        <v>0</v>
      </c>
    </row>
    <row r="975" spans="1:24" ht="15.95" customHeight="1" x14ac:dyDescent="0.25">
      <c r="A975" s="52"/>
      <c r="B975" s="156">
        <v>19010605</v>
      </c>
      <c r="C975" s="130" t="str">
        <f t="shared" ref="C975" si="354">"E"&amp;"-"&amp;B975</f>
        <v>E-19010605</v>
      </c>
      <c r="D975" s="130">
        <v>925</v>
      </c>
      <c r="E975" s="156" t="s">
        <v>72</v>
      </c>
      <c r="F975" s="216" t="s">
        <v>1434</v>
      </c>
      <c r="G975" s="193">
        <v>0</v>
      </c>
      <c r="H975" s="193">
        <v>0</v>
      </c>
      <c r="I975" s="193">
        <v>0</v>
      </c>
      <c r="J975" s="193">
        <v>0</v>
      </c>
      <c r="K975" s="193">
        <v>0</v>
      </c>
      <c r="L975" s="193">
        <v>0</v>
      </c>
      <c r="M975" s="193">
        <v>0</v>
      </c>
      <c r="N975" s="193">
        <v>0</v>
      </c>
      <c r="O975" s="193">
        <v>0</v>
      </c>
      <c r="P975" s="193">
        <v>0</v>
      </c>
      <c r="Q975" s="193">
        <f>383.5+0.5</f>
        <v>384</v>
      </c>
      <c r="R975" s="193">
        <v>0</v>
      </c>
      <c r="S975" s="193">
        <v>0</v>
      </c>
      <c r="T975" s="193">
        <f>SUM(H975:S975)</f>
        <v>384</v>
      </c>
      <c r="U975"/>
      <c r="V975">
        <f>+PRESUPUESTO22[[#This Row],[EJECUTADO ]]-SUM(PRESUPUESTO22[[#This Row],[   ENERO ]:[DIC]])</f>
        <v>0</v>
      </c>
    </row>
    <row r="976" spans="1:24" ht="15.95" customHeight="1" x14ac:dyDescent="0.25">
      <c r="A976" s="52">
        <v>8</v>
      </c>
      <c r="B976" s="167">
        <v>190107</v>
      </c>
      <c r="C976" s="130" t="str">
        <f t="shared" si="341"/>
        <v>E-190107</v>
      </c>
      <c r="D976" s="130">
        <v>926</v>
      </c>
      <c r="E976" s="167" t="s">
        <v>69</v>
      </c>
      <c r="F976" s="232" t="s">
        <v>792</v>
      </c>
      <c r="G976" s="192">
        <f t="shared" ref="G976:T976" si="355">SUM(G977:G977)</f>
        <v>4500</v>
      </c>
      <c r="H976" s="192">
        <f t="shared" si="355"/>
        <v>0</v>
      </c>
      <c r="I976" s="192">
        <f t="shared" si="355"/>
        <v>0</v>
      </c>
      <c r="J976" s="192">
        <f t="shared" si="355"/>
        <v>0</v>
      </c>
      <c r="K976" s="192">
        <f t="shared" si="355"/>
        <v>0</v>
      </c>
      <c r="L976" s="192">
        <f t="shared" si="355"/>
        <v>0</v>
      </c>
      <c r="M976" s="192">
        <f t="shared" si="355"/>
        <v>0</v>
      </c>
      <c r="N976" s="192">
        <f t="shared" si="355"/>
        <v>1620</v>
      </c>
      <c r="O976" s="192">
        <f t="shared" si="355"/>
        <v>0</v>
      </c>
      <c r="P976" s="192">
        <f t="shared" si="355"/>
        <v>0</v>
      </c>
      <c r="Q976" s="192">
        <f t="shared" si="355"/>
        <v>1760</v>
      </c>
      <c r="R976" s="192">
        <f t="shared" si="355"/>
        <v>0</v>
      </c>
      <c r="S976" s="192">
        <f t="shared" si="355"/>
        <v>0</v>
      </c>
      <c r="T976" s="192">
        <f t="shared" si="355"/>
        <v>3380</v>
      </c>
      <c r="U976"/>
      <c r="V976">
        <f>+PRESUPUESTO22[[#This Row],[EJECUTADO ]]-SUM(PRESUPUESTO22[[#This Row],[   ENERO ]:[DIC]])</f>
        <v>0</v>
      </c>
      <c r="X976" s="7" t="s">
        <v>1</v>
      </c>
    </row>
    <row r="977" spans="1:24" ht="15.95" customHeight="1" x14ac:dyDescent="0.25">
      <c r="A977" s="52"/>
      <c r="B977" s="156">
        <v>19010701</v>
      </c>
      <c r="C977" s="130" t="str">
        <f t="shared" si="341"/>
        <v>E-19010701</v>
      </c>
      <c r="D977" s="130">
        <v>927</v>
      </c>
      <c r="E977" s="156" t="s">
        <v>72</v>
      </c>
      <c r="F977" s="216" t="s">
        <v>793</v>
      </c>
      <c r="G977" s="193">
        <v>4500</v>
      </c>
      <c r="H977" s="193">
        <v>0</v>
      </c>
      <c r="I977" s="193">
        <v>0</v>
      </c>
      <c r="J977" s="193">
        <v>0</v>
      </c>
      <c r="K977" s="193">
        <v>0</v>
      </c>
      <c r="L977" s="193">
        <v>0</v>
      </c>
      <c r="M977" s="193">
        <v>0</v>
      </c>
      <c r="N977" s="193">
        <f>1619.69+0.31</f>
        <v>1620</v>
      </c>
      <c r="O977" s="193">
        <v>0</v>
      </c>
      <c r="P977" s="193">
        <v>0</v>
      </c>
      <c r="Q977" s="193">
        <f>1759.69+0.31</f>
        <v>1760</v>
      </c>
      <c r="R977" s="193">
        <v>0</v>
      </c>
      <c r="S977" s="193">
        <v>0</v>
      </c>
      <c r="T977" s="193">
        <f>SUM(H977:S977)</f>
        <v>3380</v>
      </c>
      <c r="U977"/>
      <c r="V977">
        <f>+PRESUPUESTO22[[#This Row],[EJECUTADO ]]-SUM(PRESUPUESTO22[[#This Row],[   ENERO ]:[DIC]])</f>
        <v>0</v>
      </c>
      <c r="W977"/>
      <c r="X977"/>
    </row>
    <row r="978" spans="1:24" ht="15.95" customHeight="1" x14ac:dyDescent="0.25">
      <c r="A978" s="49">
        <v>20</v>
      </c>
      <c r="B978" s="131">
        <v>20</v>
      </c>
      <c r="C978" s="130" t="str">
        <f t="shared" si="341"/>
        <v>E-20</v>
      </c>
      <c r="D978" s="130">
        <v>928</v>
      </c>
      <c r="E978" s="131" t="s">
        <v>67</v>
      </c>
      <c r="F978" s="50" t="s">
        <v>45</v>
      </c>
      <c r="G978" s="188">
        <f t="shared" ref="G978:T978" si="356">SUM(G979:G983)</f>
        <v>485000</v>
      </c>
      <c r="H978" s="188">
        <f t="shared" si="356"/>
        <v>63035</v>
      </c>
      <c r="I978" s="188">
        <f t="shared" si="356"/>
        <v>56191</v>
      </c>
      <c r="J978" s="188">
        <f t="shared" si="356"/>
        <v>64635</v>
      </c>
      <c r="K978" s="188">
        <f t="shared" si="356"/>
        <v>57180</v>
      </c>
      <c r="L978" s="188">
        <f t="shared" si="356"/>
        <v>52144</v>
      </c>
      <c r="M978" s="188">
        <f t="shared" si="356"/>
        <v>114115</v>
      </c>
      <c r="N978" s="188">
        <f t="shared" si="356"/>
        <v>25176</v>
      </c>
      <c r="O978" s="188">
        <f t="shared" si="356"/>
        <v>25176</v>
      </c>
      <c r="P978" s="188">
        <f t="shared" si="356"/>
        <v>317</v>
      </c>
      <c r="Q978" s="188">
        <f t="shared" si="356"/>
        <v>385</v>
      </c>
      <c r="R978" s="188">
        <f t="shared" si="356"/>
        <v>120</v>
      </c>
      <c r="S978" s="188">
        <f t="shared" si="356"/>
        <v>0</v>
      </c>
      <c r="T978" s="188">
        <f t="shared" si="356"/>
        <v>458474</v>
      </c>
      <c r="U978"/>
      <c r="V978">
        <f>+PRESUPUESTO22[[#This Row],[EJECUTADO ]]-SUM(PRESUPUESTO22[[#This Row],[   ENERO ]:[DIC]])</f>
        <v>0</v>
      </c>
      <c r="W978"/>
      <c r="X978"/>
    </row>
    <row r="979" spans="1:24" ht="15.95" customHeight="1" x14ac:dyDescent="0.25">
      <c r="A979" s="52" t="s">
        <v>1</v>
      </c>
      <c r="B979" s="156">
        <v>2001</v>
      </c>
      <c r="C979" s="130" t="str">
        <f t="shared" si="341"/>
        <v>E-2001</v>
      </c>
      <c r="D979" s="130">
        <v>929</v>
      </c>
      <c r="E979" s="156" t="s">
        <v>72</v>
      </c>
      <c r="F979" s="216" t="s">
        <v>794</v>
      </c>
      <c r="G979" s="193">
        <v>189300</v>
      </c>
      <c r="H979" s="193">
        <f>31543.72+0.28</f>
        <v>31544</v>
      </c>
      <c r="I979" s="193">
        <f>25623.07-0.07</f>
        <v>25623</v>
      </c>
      <c r="J979" s="193">
        <v>24945</v>
      </c>
      <c r="K979" s="193">
        <f>25356.56+0.44</f>
        <v>25357</v>
      </c>
      <c r="L979" s="193">
        <f>20565.6+0.4</f>
        <v>20566</v>
      </c>
      <c r="M979" s="193">
        <f>20565.6+0.4</f>
        <v>20566</v>
      </c>
      <c r="N979" s="193">
        <f>20565.6+0.4</f>
        <v>20566</v>
      </c>
      <c r="O979" s="193">
        <f>20565.6+0.4</f>
        <v>20566</v>
      </c>
      <c r="P979" s="193">
        <v>0</v>
      </c>
      <c r="Q979" s="193">
        <v>0</v>
      </c>
      <c r="R979" s="193">
        <v>0</v>
      </c>
      <c r="S979" s="193">
        <v>0</v>
      </c>
      <c r="T979" s="193">
        <f>SUM(H979:S979)</f>
        <v>189733</v>
      </c>
      <c r="U979"/>
      <c r="V979">
        <f>+PRESUPUESTO22[[#This Row],[EJECUTADO ]]-SUM(PRESUPUESTO22[[#This Row],[   ENERO ]:[DIC]])</f>
        <v>0</v>
      </c>
      <c r="W979"/>
      <c r="X979"/>
    </row>
    <row r="980" spans="1:24" ht="15.95" customHeight="1" x14ac:dyDescent="0.25">
      <c r="A980" s="52"/>
      <c r="B980" s="156">
        <v>2002</v>
      </c>
      <c r="C980" s="130" t="str">
        <f t="shared" si="341"/>
        <v>E-2002</v>
      </c>
      <c r="D980" s="130">
        <v>930</v>
      </c>
      <c r="E980" s="156" t="s">
        <v>72</v>
      </c>
      <c r="F980" s="216" t="s">
        <v>795</v>
      </c>
      <c r="G980" s="193">
        <v>10325</v>
      </c>
      <c r="H980" s="193">
        <f t="shared" ref="H980:O980" si="357">1289.62+0.38</f>
        <v>1290</v>
      </c>
      <c r="I980" s="193">
        <f t="shared" si="357"/>
        <v>1290</v>
      </c>
      <c r="J980" s="193">
        <f t="shared" si="357"/>
        <v>1290</v>
      </c>
      <c r="K980" s="193">
        <f t="shared" si="357"/>
        <v>1290</v>
      </c>
      <c r="L980" s="193">
        <f t="shared" si="357"/>
        <v>1290</v>
      </c>
      <c r="M980" s="193">
        <f t="shared" si="357"/>
        <v>1290</v>
      </c>
      <c r="N980" s="193">
        <f t="shared" si="357"/>
        <v>1290</v>
      </c>
      <c r="O980" s="193">
        <f t="shared" si="357"/>
        <v>1290</v>
      </c>
      <c r="P980" s="193">
        <v>226</v>
      </c>
      <c r="Q980" s="193">
        <v>0</v>
      </c>
      <c r="R980" s="193">
        <v>0</v>
      </c>
      <c r="S980" s="193">
        <v>0</v>
      </c>
      <c r="T980" s="193">
        <f>SUM(H980:S980)</f>
        <v>10546</v>
      </c>
      <c r="U980"/>
      <c r="V980">
        <f>+PRESUPUESTO22[[#This Row],[EJECUTADO ]]-SUM(PRESUPUESTO22[[#This Row],[   ENERO ]:[DIC]])</f>
        <v>0</v>
      </c>
      <c r="W980"/>
      <c r="X980"/>
    </row>
    <row r="981" spans="1:24" ht="15.95" customHeight="1" x14ac:dyDescent="0.25">
      <c r="A981" s="52"/>
      <c r="B981" s="156">
        <v>2003</v>
      </c>
      <c r="C981" s="130" t="str">
        <f t="shared" si="341"/>
        <v>E-2003</v>
      </c>
      <c r="D981" s="130">
        <v>931</v>
      </c>
      <c r="E981" s="156" t="s">
        <v>72</v>
      </c>
      <c r="F981" s="216" t="s">
        <v>796</v>
      </c>
      <c r="G981" s="193">
        <v>25800</v>
      </c>
      <c r="H981" s="193">
        <f>3228.77+0.23</f>
        <v>3229</v>
      </c>
      <c r="I981" s="193">
        <f>3228.77+0.23</f>
        <v>3229</v>
      </c>
      <c r="J981" s="193">
        <f t="shared" ref="J981:O981" si="358">3319.69+0.31</f>
        <v>3320</v>
      </c>
      <c r="K981" s="193">
        <f t="shared" si="358"/>
        <v>3320</v>
      </c>
      <c r="L981" s="193">
        <f t="shared" si="358"/>
        <v>3320</v>
      </c>
      <c r="M981" s="193">
        <f t="shared" si="358"/>
        <v>3320</v>
      </c>
      <c r="N981" s="193">
        <f t="shared" si="358"/>
        <v>3320</v>
      </c>
      <c r="O981" s="193">
        <f t="shared" si="358"/>
        <v>3320</v>
      </c>
      <c r="P981" s="193">
        <f>90.95+0.05</f>
        <v>91</v>
      </c>
      <c r="Q981" s="193">
        <f>90.95+0.05</f>
        <v>91</v>
      </c>
      <c r="R981" s="193">
        <f>94.54+0.46</f>
        <v>95</v>
      </c>
      <c r="S981" s="193">
        <v>0</v>
      </c>
      <c r="T981" s="193">
        <f>SUM(H981:S981)</f>
        <v>26655</v>
      </c>
      <c r="U981"/>
      <c r="V981">
        <f>+PRESUPUESTO22[[#This Row],[EJECUTADO ]]-SUM(PRESUPUESTO22[[#This Row],[   ENERO ]:[DIC]])</f>
        <v>0</v>
      </c>
      <c r="W981"/>
      <c r="X981"/>
    </row>
    <row r="982" spans="1:24" ht="15.95" customHeight="1" x14ac:dyDescent="0.25">
      <c r="A982" s="52"/>
      <c r="B982" s="156">
        <v>2004</v>
      </c>
      <c r="C982" s="130" t="str">
        <f t="shared" si="341"/>
        <v>E-2004</v>
      </c>
      <c r="D982" s="130">
        <v>932</v>
      </c>
      <c r="E982" s="156" t="s">
        <v>72</v>
      </c>
      <c r="F982" s="216" t="s">
        <v>797</v>
      </c>
      <c r="G982" s="193">
        <v>64100</v>
      </c>
      <c r="H982" s="193">
        <f>9148.01-0.01</f>
        <v>9148</v>
      </c>
      <c r="I982" s="193">
        <f>9144.76-918.92+0.16</f>
        <v>8226</v>
      </c>
      <c r="J982" s="193">
        <f>8111.99+9144.76+0.25</f>
        <v>17257</v>
      </c>
      <c r="K982" s="193">
        <f>9390.15-0.15</f>
        <v>9390</v>
      </c>
      <c r="L982" s="193">
        <f>9144.76+0.24</f>
        <v>9145</v>
      </c>
      <c r="M982" s="193">
        <f>9144.76+0.24</f>
        <v>9145</v>
      </c>
      <c r="N982" s="193">
        <v>0</v>
      </c>
      <c r="O982" s="193">
        <v>0</v>
      </c>
      <c r="P982" s="193">
        <v>0</v>
      </c>
      <c r="Q982" s="193">
        <f>294.21-0.21</f>
        <v>294</v>
      </c>
      <c r="R982" s="193">
        <f>24.58+0.42</f>
        <v>25</v>
      </c>
      <c r="S982" s="193">
        <v>0</v>
      </c>
      <c r="T982" s="193">
        <f>SUM(H982:S982)</f>
        <v>62630</v>
      </c>
      <c r="U982"/>
      <c r="V982">
        <f>+PRESUPUESTO22[[#This Row],[EJECUTADO ]]-SUM(PRESUPUESTO22[[#This Row],[   ENERO ]:[DIC]])</f>
        <v>0</v>
      </c>
    </row>
    <row r="983" spans="1:24" ht="15.95" customHeight="1" x14ac:dyDescent="0.25">
      <c r="A983" s="52"/>
      <c r="B983" s="156">
        <v>2005</v>
      </c>
      <c r="C983" s="130" t="str">
        <f t="shared" si="341"/>
        <v>E-2005</v>
      </c>
      <c r="D983" s="130">
        <v>933</v>
      </c>
      <c r="E983" s="156" t="s">
        <v>72</v>
      </c>
      <c r="F983" s="216" t="s">
        <v>798</v>
      </c>
      <c r="G983" s="193">
        <f>198450-2975</f>
        <v>195475</v>
      </c>
      <c r="H983" s="193">
        <f>17823.5+0.5</f>
        <v>17824</v>
      </c>
      <c r="I983" s="193">
        <f>17823.3-0.3</f>
        <v>17823</v>
      </c>
      <c r="J983" s="193">
        <f>17823.3-0.3</f>
        <v>17823</v>
      </c>
      <c r="K983" s="193">
        <f>17823.3-0.3</f>
        <v>17823</v>
      </c>
      <c r="L983" s="193">
        <f>17823.3-0.3</f>
        <v>17823</v>
      </c>
      <c r="M983" s="193">
        <f>17823.3+61970.61+0.09</f>
        <v>79794</v>
      </c>
      <c r="N983" s="193">
        <v>0</v>
      </c>
      <c r="O983" s="193">
        <v>0</v>
      </c>
      <c r="P983" s="193">
        <v>0</v>
      </c>
      <c r="Q983" s="193">
        <v>0</v>
      </c>
      <c r="R983" s="193">
        <v>0</v>
      </c>
      <c r="S983" s="193">
        <v>0</v>
      </c>
      <c r="T983" s="193">
        <f>SUM(H983:S983)</f>
        <v>168910</v>
      </c>
      <c r="U983"/>
      <c r="V983">
        <f>+PRESUPUESTO22[[#This Row],[EJECUTADO ]]-SUM(PRESUPUESTO22[[#This Row],[   ENERO ]:[DIC]])</f>
        <v>0</v>
      </c>
      <c r="W983"/>
      <c r="X983"/>
    </row>
    <row r="984" spans="1:24" ht="15.95" customHeight="1" x14ac:dyDescent="0.25">
      <c r="A984" s="49">
        <v>21</v>
      </c>
      <c r="B984" s="131">
        <v>21</v>
      </c>
      <c r="C984" s="130" t="str">
        <f t="shared" si="341"/>
        <v>E-21</v>
      </c>
      <c r="D984" s="130">
        <v>934</v>
      </c>
      <c r="E984" s="131" t="s">
        <v>67</v>
      </c>
      <c r="F984" s="50" t="s">
        <v>799</v>
      </c>
      <c r="G984" s="188">
        <f t="shared" ref="G984:T984" si="359">+G985+G989</f>
        <v>90000</v>
      </c>
      <c r="H984" s="188">
        <f t="shared" si="359"/>
        <v>1730</v>
      </c>
      <c r="I984" s="188">
        <f t="shared" si="359"/>
        <v>1580</v>
      </c>
      <c r="J984" s="188">
        <f t="shared" si="359"/>
        <v>2080</v>
      </c>
      <c r="K984" s="188">
        <f t="shared" si="359"/>
        <v>4140</v>
      </c>
      <c r="L984" s="188">
        <f t="shared" si="359"/>
        <v>5050</v>
      </c>
      <c r="M984" s="188">
        <f t="shared" si="359"/>
        <v>19753</v>
      </c>
      <c r="N984" s="188">
        <f t="shared" si="359"/>
        <v>2517</v>
      </c>
      <c r="O984" s="188">
        <f t="shared" si="359"/>
        <v>4189</v>
      </c>
      <c r="P984" s="188">
        <f t="shared" si="359"/>
        <v>2330</v>
      </c>
      <c r="Q984" s="188">
        <f t="shared" si="359"/>
        <v>6646</v>
      </c>
      <c r="R984" s="188">
        <f t="shared" si="359"/>
        <v>9032</v>
      </c>
      <c r="S984" s="188">
        <f t="shared" si="359"/>
        <v>0</v>
      </c>
      <c r="T984" s="188">
        <f t="shared" si="359"/>
        <v>59047</v>
      </c>
      <c r="U984"/>
      <c r="V984">
        <f>+PRESUPUESTO22[[#This Row],[EJECUTADO ]]-SUM(PRESUPUESTO22[[#This Row],[   ENERO ]:[DIC]])</f>
        <v>0</v>
      </c>
      <c r="W984"/>
      <c r="X984"/>
    </row>
    <row r="985" spans="1:24" ht="15.95" customHeight="1" x14ac:dyDescent="0.25">
      <c r="A985" s="49">
        <v>1</v>
      </c>
      <c r="B985" s="139">
        <v>2101</v>
      </c>
      <c r="C985" s="130" t="str">
        <f t="shared" si="341"/>
        <v>E-2101</v>
      </c>
      <c r="D985" s="130">
        <v>935</v>
      </c>
      <c r="E985" s="169" t="s">
        <v>69</v>
      </c>
      <c r="F985" s="233" t="s">
        <v>541</v>
      </c>
      <c r="G985" s="234">
        <f t="shared" ref="G985:T985" si="360">SUM(G986:G988)</f>
        <v>17050</v>
      </c>
      <c r="H985" s="234">
        <f t="shared" si="360"/>
        <v>1420</v>
      </c>
      <c r="I985" s="234">
        <f t="shared" si="360"/>
        <v>1420</v>
      </c>
      <c r="J985" s="234">
        <f t="shared" si="360"/>
        <v>1420</v>
      </c>
      <c r="K985" s="234">
        <f t="shared" si="360"/>
        <v>1420</v>
      </c>
      <c r="L985" s="234">
        <f t="shared" si="360"/>
        <v>1420</v>
      </c>
      <c r="M985" s="234">
        <f t="shared" si="360"/>
        <v>1420</v>
      </c>
      <c r="N985" s="234">
        <f t="shared" si="360"/>
        <v>1420</v>
      </c>
      <c r="O985" s="234">
        <f t="shared" si="360"/>
        <v>1420</v>
      </c>
      <c r="P985" s="234">
        <f t="shared" si="360"/>
        <v>1500</v>
      </c>
      <c r="Q985" s="234">
        <f t="shared" si="360"/>
        <v>1500</v>
      </c>
      <c r="R985" s="234">
        <f t="shared" si="360"/>
        <v>1500</v>
      </c>
      <c r="S985" s="234">
        <f t="shared" si="360"/>
        <v>0</v>
      </c>
      <c r="T985" s="234">
        <f t="shared" si="360"/>
        <v>15860</v>
      </c>
      <c r="U985"/>
      <c r="V985">
        <f>+PRESUPUESTO22[[#This Row],[EJECUTADO ]]-SUM(PRESUPUESTO22[[#This Row],[   ENERO ]:[DIC]])</f>
        <v>0</v>
      </c>
    </row>
    <row r="986" spans="1:24" ht="15.95" customHeight="1" x14ac:dyDescent="0.25">
      <c r="A986" s="52"/>
      <c r="B986" s="156">
        <v>210101</v>
      </c>
      <c r="C986" s="130" t="str">
        <f t="shared" ref="C986:C1049" si="361">"E"&amp;"-"&amp;B986</f>
        <v>E-210101</v>
      </c>
      <c r="D986" s="130">
        <v>936</v>
      </c>
      <c r="E986" s="156" t="s">
        <v>72</v>
      </c>
      <c r="F986" s="216" t="s">
        <v>800</v>
      </c>
      <c r="G986" s="193">
        <v>0</v>
      </c>
      <c r="H986" s="193">
        <v>0</v>
      </c>
      <c r="I986" s="193">
        <v>0</v>
      </c>
      <c r="J986" s="193">
        <v>0</v>
      </c>
      <c r="K986" s="193">
        <v>0</v>
      </c>
      <c r="L986" s="193">
        <v>0</v>
      </c>
      <c r="M986" s="193">
        <v>0</v>
      </c>
      <c r="N986" s="193">
        <v>0</v>
      </c>
      <c r="O986" s="193">
        <v>0</v>
      </c>
      <c r="P986" s="193">
        <v>0</v>
      </c>
      <c r="Q986" s="193">
        <v>0</v>
      </c>
      <c r="R986" s="193">
        <v>0</v>
      </c>
      <c r="S986" s="193">
        <v>0</v>
      </c>
      <c r="T986" s="193">
        <f>SUM(H986:S986)</f>
        <v>0</v>
      </c>
      <c r="U986"/>
      <c r="V986">
        <f>+PRESUPUESTO22[[#This Row],[EJECUTADO ]]-SUM(PRESUPUESTO22[[#This Row],[   ENERO ]:[DIC]])</f>
        <v>0</v>
      </c>
    </row>
    <row r="987" spans="1:24" ht="15.95" customHeight="1" x14ac:dyDescent="0.25">
      <c r="A987" s="52"/>
      <c r="B987" s="156">
        <v>210102</v>
      </c>
      <c r="C987" s="130" t="str">
        <f t="shared" si="361"/>
        <v>E-210102</v>
      </c>
      <c r="D987" s="130">
        <v>937</v>
      </c>
      <c r="E987" s="156" t="s">
        <v>72</v>
      </c>
      <c r="F987" s="216" t="s">
        <v>801</v>
      </c>
      <c r="G987" s="193">
        <v>17050</v>
      </c>
      <c r="H987" s="193">
        <v>1420</v>
      </c>
      <c r="I987" s="193">
        <v>1420</v>
      </c>
      <c r="J987" s="193">
        <v>1420</v>
      </c>
      <c r="K987" s="193">
        <v>1420</v>
      </c>
      <c r="L987" s="193">
        <v>1420</v>
      </c>
      <c r="M987" s="193">
        <v>1420</v>
      </c>
      <c r="N987" s="193">
        <v>1420</v>
      </c>
      <c r="O987" s="193">
        <v>1420</v>
      </c>
      <c r="P987" s="193">
        <v>1500</v>
      </c>
      <c r="Q987" s="193">
        <v>1500</v>
      </c>
      <c r="R987" s="193">
        <v>1500</v>
      </c>
      <c r="S987" s="193">
        <v>0</v>
      </c>
      <c r="T987" s="193">
        <f>SUM(H987:S987)</f>
        <v>15860</v>
      </c>
      <c r="U987"/>
      <c r="V987">
        <f>+PRESUPUESTO22[[#This Row],[EJECUTADO ]]-SUM(PRESUPUESTO22[[#This Row],[   ENERO ]:[DIC]])</f>
        <v>0</v>
      </c>
    </row>
    <row r="988" spans="1:24" ht="15.95" customHeight="1" x14ac:dyDescent="0.25">
      <c r="A988" s="52"/>
      <c r="B988" s="156">
        <v>210103</v>
      </c>
      <c r="C988" s="130" t="str">
        <f t="shared" si="361"/>
        <v>E-210103</v>
      </c>
      <c r="D988" s="130">
        <v>938</v>
      </c>
      <c r="E988" s="156" t="s">
        <v>72</v>
      </c>
      <c r="F988" s="216" t="s">
        <v>802</v>
      </c>
      <c r="G988" s="193">
        <v>0</v>
      </c>
      <c r="H988" s="193">
        <v>0</v>
      </c>
      <c r="I988" s="193">
        <v>0</v>
      </c>
      <c r="J988" s="193">
        <v>0</v>
      </c>
      <c r="K988" s="193">
        <v>0</v>
      </c>
      <c r="L988" s="193">
        <v>0</v>
      </c>
      <c r="M988" s="193">
        <v>0</v>
      </c>
      <c r="N988" s="193">
        <v>0</v>
      </c>
      <c r="O988" s="193">
        <v>0</v>
      </c>
      <c r="P988" s="193">
        <v>0</v>
      </c>
      <c r="Q988" s="193">
        <v>0</v>
      </c>
      <c r="R988" s="193">
        <v>0</v>
      </c>
      <c r="S988" s="193">
        <v>0</v>
      </c>
      <c r="T988" s="193">
        <f>SUM(H988:S988)</f>
        <v>0</v>
      </c>
      <c r="U988"/>
      <c r="V988">
        <f>+PRESUPUESTO22[[#This Row],[EJECUTADO ]]-SUM(PRESUPUESTO22[[#This Row],[   ENERO ]:[DIC]])</f>
        <v>0</v>
      </c>
    </row>
    <row r="989" spans="1:24" ht="15.95" customHeight="1" x14ac:dyDescent="0.25">
      <c r="A989" s="49">
        <v>2</v>
      </c>
      <c r="B989" s="139">
        <v>2102</v>
      </c>
      <c r="C989" s="130" t="str">
        <f t="shared" si="361"/>
        <v>E-2102</v>
      </c>
      <c r="D989" s="130">
        <v>939</v>
      </c>
      <c r="E989" s="169" t="s">
        <v>69</v>
      </c>
      <c r="F989" s="233" t="s">
        <v>803</v>
      </c>
      <c r="G989" s="234">
        <f t="shared" ref="G989:T989" si="362">+G990+G1018</f>
        <v>72950</v>
      </c>
      <c r="H989" s="234">
        <f t="shared" si="362"/>
        <v>310</v>
      </c>
      <c r="I989" s="234">
        <f t="shared" si="362"/>
        <v>160</v>
      </c>
      <c r="J989" s="234">
        <f t="shared" si="362"/>
        <v>660</v>
      </c>
      <c r="K989" s="234">
        <f t="shared" si="362"/>
        <v>2720</v>
      </c>
      <c r="L989" s="234">
        <f t="shared" si="362"/>
        <v>3630</v>
      </c>
      <c r="M989" s="234">
        <f t="shared" si="362"/>
        <v>18333</v>
      </c>
      <c r="N989" s="234">
        <f t="shared" si="362"/>
        <v>1097</v>
      </c>
      <c r="O989" s="234">
        <f t="shared" si="362"/>
        <v>2769</v>
      </c>
      <c r="P989" s="234">
        <f t="shared" si="362"/>
        <v>830</v>
      </c>
      <c r="Q989" s="234">
        <f t="shared" si="362"/>
        <v>5146</v>
      </c>
      <c r="R989" s="234">
        <f t="shared" si="362"/>
        <v>7532</v>
      </c>
      <c r="S989" s="234">
        <f t="shared" si="362"/>
        <v>0</v>
      </c>
      <c r="T989" s="234">
        <f t="shared" si="362"/>
        <v>43187</v>
      </c>
      <c r="U989"/>
      <c r="V989">
        <f>+PRESUPUESTO22[[#This Row],[EJECUTADO ]]-SUM(PRESUPUESTO22[[#This Row],[   ENERO ]:[DIC]])</f>
        <v>0</v>
      </c>
    </row>
    <row r="990" spans="1:24" ht="15.95" customHeight="1" x14ac:dyDescent="0.25">
      <c r="A990" s="48"/>
      <c r="B990" s="140">
        <v>210201</v>
      </c>
      <c r="C990" s="130" t="str">
        <f t="shared" si="361"/>
        <v>E-210201</v>
      </c>
      <c r="D990" s="130">
        <v>940</v>
      </c>
      <c r="E990" s="140" t="s">
        <v>69</v>
      </c>
      <c r="F990" s="191" t="s">
        <v>94</v>
      </c>
      <c r="G990" s="192">
        <f t="shared" ref="G990:T990" si="363">+G991+G1002+G1011+G1015</f>
        <v>21100</v>
      </c>
      <c r="H990" s="192">
        <f t="shared" si="363"/>
        <v>310</v>
      </c>
      <c r="I990" s="192">
        <f t="shared" si="363"/>
        <v>0</v>
      </c>
      <c r="J990" s="192">
        <f t="shared" si="363"/>
        <v>0</v>
      </c>
      <c r="K990" s="192">
        <f t="shared" si="363"/>
        <v>124</v>
      </c>
      <c r="L990" s="192">
        <f t="shared" si="363"/>
        <v>992</v>
      </c>
      <c r="M990" s="192">
        <f t="shared" si="363"/>
        <v>1341</v>
      </c>
      <c r="N990" s="192">
        <f t="shared" si="363"/>
        <v>832</v>
      </c>
      <c r="O990" s="192">
        <f t="shared" si="363"/>
        <v>2509</v>
      </c>
      <c r="P990" s="192">
        <f t="shared" si="363"/>
        <v>394</v>
      </c>
      <c r="Q990" s="192">
        <f t="shared" si="363"/>
        <v>2070</v>
      </c>
      <c r="R990" s="192">
        <f t="shared" si="363"/>
        <v>3103</v>
      </c>
      <c r="S990" s="192">
        <f t="shared" si="363"/>
        <v>0</v>
      </c>
      <c r="T990" s="192">
        <f t="shared" si="363"/>
        <v>11675</v>
      </c>
      <c r="U990"/>
      <c r="V990">
        <f>+PRESUPUESTO22[[#This Row],[EJECUTADO ]]-SUM(PRESUPUESTO22[[#This Row],[   ENERO ]:[DIC]])</f>
        <v>0</v>
      </c>
    </row>
    <row r="991" spans="1:24" ht="15.95" customHeight="1" x14ac:dyDescent="0.25">
      <c r="A991" s="52"/>
      <c r="B991" s="170">
        <v>21020101</v>
      </c>
      <c r="C991" s="130" t="str">
        <f t="shared" si="361"/>
        <v>E-21020101</v>
      </c>
      <c r="D991" s="130">
        <v>941</v>
      </c>
      <c r="E991" s="170" t="s">
        <v>69</v>
      </c>
      <c r="F991" s="235" t="s">
        <v>167</v>
      </c>
      <c r="G991" s="236">
        <f t="shared" ref="G991:T991" si="364">+G992+G996</f>
        <v>7350</v>
      </c>
      <c r="H991" s="236">
        <f t="shared" si="364"/>
        <v>250</v>
      </c>
      <c r="I991" s="236">
        <f t="shared" si="364"/>
        <v>0</v>
      </c>
      <c r="J991" s="236">
        <f t="shared" si="364"/>
        <v>0</v>
      </c>
      <c r="K991" s="236">
        <f t="shared" si="364"/>
        <v>124</v>
      </c>
      <c r="L991" s="236">
        <f t="shared" si="364"/>
        <v>752</v>
      </c>
      <c r="M991" s="236">
        <f t="shared" si="364"/>
        <v>501</v>
      </c>
      <c r="N991" s="236">
        <f t="shared" si="364"/>
        <v>748</v>
      </c>
      <c r="O991" s="236">
        <f t="shared" si="364"/>
        <v>0</v>
      </c>
      <c r="P991" s="236">
        <f t="shared" si="364"/>
        <v>1</v>
      </c>
      <c r="Q991" s="236">
        <f t="shared" si="364"/>
        <v>857</v>
      </c>
      <c r="R991" s="236">
        <f t="shared" si="364"/>
        <v>1778</v>
      </c>
      <c r="S991" s="236">
        <f t="shared" si="364"/>
        <v>0</v>
      </c>
      <c r="T991" s="236">
        <f t="shared" si="364"/>
        <v>5011</v>
      </c>
      <c r="U991"/>
      <c r="V991">
        <f>+PRESUPUESTO22[[#This Row],[EJECUTADO ]]-SUM(PRESUPUESTO22[[#This Row],[   ENERO ]:[DIC]])</f>
        <v>0</v>
      </c>
    </row>
    <row r="992" spans="1:24" ht="15.95" customHeight="1" x14ac:dyDescent="0.25">
      <c r="A992" s="52"/>
      <c r="B992" s="171">
        <v>2102010101</v>
      </c>
      <c r="C992" s="130" t="str">
        <f t="shared" si="361"/>
        <v>E-2102010101</v>
      </c>
      <c r="D992" s="130">
        <v>942</v>
      </c>
      <c r="E992" s="171" t="s">
        <v>72</v>
      </c>
      <c r="F992" s="237" t="s">
        <v>804</v>
      </c>
      <c r="G992" s="238">
        <f>SUM(G993:G995)</f>
        <v>2750</v>
      </c>
      <c r="H992" s="238">
        <f>SUM(H993:H995)</f>
        <v>0</v>
      </c>
      <c r="I992" s="238">
        <f t="shared" ref="I992:T992" si="365">SUM(I993:I995)</f>
        <v>0</v>
      </c>
      <c r="J992" s="238">
        <f t="shared" si="365"/>
        <v>0</v>
      </c>
      <c r="K992" s="238">
        <f t="shared" si="365"/>
        <v>0</v>
      </c>
      <c r="L992" s="238">
        <f t="shared" si="365"/>
        <v>0</v>
      </c>
      <c r="M992" s="238">
        <f t="shared" si="365"/>
        <v>0</v>
      </c>
      <c r="N992" s="238">
        <f t="shared" si="365"/>
        <v>0</v>
      </c>
      <c r="O992" s="238">
        <f t="shared" si="365"/>
        <v>0</v>
      </c>
      <c r="P992" s="238">
        <f t="shared" si="365"/>
        <v>0</v>
      </c>
      <c r="Q992" s="238">
        <f t="shared" si="365"/>
        <v>0</v>
      </c>
      <c r="R992" s="238">
        <f t="shared" si="365"/>
        <v>0</v>
      </c>
      <c r="S992" s="238">
        <f t="shared" si="365"/>
        <v>0</v>
      </c>
      <c r="T992" s="238">
        <f t="shared" si="365"/>
        <v>0</v>
      </c>
      <c r="U992"/>
      <c r="V992">
        <f>+PRESUPUESTO22[[#This Row],[EJECUTADO ]]-SUM(PRESUPUESTO22[[#This Row],[   ENERO ]:[DIC]])</f>
        <v>0</v>
      </c>
    </row>
    <row r="993" spans="1:22" ht="15.95" customHeight="1" x14ac:dyDescent="0.25">
      <c r="A993" s="52"/>
      <c r="B993" s="156">
        <v>210201010101</v>
      </c>
      <c r="C993" s="130" t="str">
        <f t="shared" si="361"/>
        <v>E-210201010101</v>
      </c>
      <c r="D993" s="130">
        <v>943</v>
      </c>
      <c r="E993" s="156" t="s">
        <v>69</v>
      </c>
      <c r="F993" s="216" t="s">
        <v>805</v>
      </c>
      <c r="G993" s="193">
        <v>2750</v>
      </c>
      <c r="H993" s="193">
        <v>0</v>
      </c>
      <c r="I993" s="193">
        <v>0</v>
      </c>
      <c r="J993" s="193">
        <v>0</v>
      </c>
      <c r="K993" s="193">
        <v>0</v>
      </c>
      <c r="L993" s="193">
        <v>0</v>
      </c>
      <c r="M993" s="193">
        <v>0</v>
      </c>
      <c r="N993" s="193">
        <v>0</v>
      </c>
      <c r="O993" s="193">
        <v>0</v>
      </c>
      <c r="P993" s="193">
        <v>0</v>
      </c>
      <c r="Q993" s="193">
        <v>0</v>
      </c>
      <c r="R993" s="193">
        <v>0</v>
      </c>
      <c r="S993" s="193">
        <v>0</v>
      </c>
      <c r="T993" s="193">
        <f>SUM(H993:S993)</f>
        <v>0</v>
      </c>
      <c r="U993"/>
      <c r="V993">
        <f>+PRESUPUESTO22[[#This Row],[EJECUTADO ]]-SUM(PRESUPUESTO22[[#This Row],[   ENERO ]:[DIC]])</f>
        <v>0</v>
      </c>
    </row>
    <row r="994" spans="1:22" ht="15.95" customHeight="1" x14ac:dyDescent="0.25">
      <c r="A994" s="52"/>
      <c r="B994" s="156">
        <v>210201010102</v>
      </c>
      <c r="C994" s="130" t="str">
        <f t="shared" si="361"/>
        <v>E-210201010102</v>
      </c>
      <c r="D994" s="130">
        <v>944</v>
      </c>
      <c r="E994" s="156" t="s">
        <v>69</v>
      </c>
      <c r="F994" s="216" t="s">
        <v>806</v>
      </c>
      <c r="G994" s="193">
        <v>0</v>
      </c>
      <c r="H994" s="193">
        <v>0</v>
      </c>
      <c r="I994" s="193">
        <v>0</v>
      </c>
      <c r="J994" s="193">
        <v>0</v>
      </c>
      <c r="K994" s="193">
        <v>0</v>
      </c>
      <c r="L994" s="193">
        <v>0</v>
      </c>
      <c r="M994" s="193">
        <v>0</v>
      </c>
      <c r="N994" s="193">
        <v>0</v>
      </c>
      <c r="O994" s="193">
        <v>0</v>
      </c>
      <c r="P994" s="193">
        <v>0</v>
      </c>
      <c r="Q994" s="193">
        <v>0</v>
      </c>
      <c r="R994" s="193">
        <v>0</v>
      </c>
      <c r="S994" s="193">
        <v>0</v>
      </c>
      <c r="T994" s="193">
        <f>SUM(H994:S994)</f>
        <v>0</v>
      </c>
      <c r="U994"/>
      <c r="V994">
        <f>+PRESUPUESTO22[[#This Row],[EJECUTADO ]]-SUM(PRESUPUESTO22[[#This Row],[   ENERO ]:[DIC]])</f>
        <v>0</v>
      </c>
    </row>
    <row r="995" spans="1:22" ht="15.95" customHeight="1" x14ac:dyDescent="0.25">
      <c r="A995" s="52"/>
      <c r="B995" s="156">
        <v>210201010103</v>
      </c>
      <c r="C995" s="130" t="str">
        <f t="shared" si="361"/>
        <v>E-210201010103</v>
      </c>
      <c r="D995" s="130">
        <v>945</v>
      </c>
      <c r="E995" s="156" t="s">
        <v>69</v>
      </c>
      <c r="F995" s="216" t="s">
        <v>807</v>
      </c>
      <c r="G995" s="193">
        <v>0</v>
      </c>
      <c r="H995" s="193">
        <v>0</v>
      </c>
      <c r="I995" s="193">
        <v>0</v>
      </c>
      <c r="J995" s="193">
        <v>0</v>
      </c>
      <c r="K995" s="193">
        <v>0</v>
      </c>
      <c r="L995" s="193">
        <v>0</v>
      </c>
      <c r="M995" s="193">
        <v>0</v>
      </c>
      <c r="N995" s="193">
        <v>0</v>
      </c>
      <c r="O995" s="193">
        <v>0</v>
      </c>
      <c r="P995" s="193">
        <v>0</v>
      </c>
      <c r="Q995" s="193">
        <v>0</v>
      </c>
      <c r="R995" s="193">
        <v>0</v>
      </c>
      <c r="S995" s="193">
        <v>0</v>
      </c>
      <c r="T995" s="193">
        <f>SUM(H995:S995)</f>
        <v>0</v>
      </c>
      <c r="U995"/>
      <c r="V995">
        <f>+PRESUPUESTO22[[#This Row],[EJECUTADO ]]-SUM(PRESUPUESTO22[[#This Row],[   ENERO ]:[DIC]])</f>
        <v>0</v>
      </c>
    </row>
    <row r="996" spans="1:22" ht="15.95" customHeight="1" x14ac:dyDescent="0.25">
      <c r="A996" s="52"/>
      <c r="B996" s="171">
        <v>2102010102</v>
      </c>
      <c r="C996" s="130" t="str">
        <f t="shared" si="361"/>
        <v>E-2102010102</v>
      </c>
      <c r="D996" s="130">
        <v>946</v>
      </c>
      <c r="E996" s="171" t="s">
        <v>72</v>
      </c>
      <c r="F996" s="237" t="s">
        <v>808</v>
      </c>
      <c r="G996" s="238">
        <v>4600</v>
      </c>
      <c r="H996" s="238">
        <f t="shared" ref="H996:T996" si="366">SUM(H997:H1001)</f>
        <v>250</v>
      </c>
      <c r="I996" s="238">
        <f t="shared" si="366"/>
        <v>0</v>
      </c>
      <c r="J996" s="238">
        <f t="shared" si="366"/>
        <v>0</v>
      </c>
      <c r="K996" s="238">
        <f t="shared" si="366"/>
        <v>124</v>
      </c>
      <c r="L996" s="238">
        <f t="shared" si="366"/>
        <v>752</v>
      </c>
      <c r="M996" s="238">
        <f t="shared" si="366"/>
        <v>501</v>
      </c>
      <c r="N996" s="238">
        <f t="shared" si="366"/>
        <v>748</v>
      </c>
      <c r="O996" s="238">
        <f t="shared" si="366"/>
        <v>0</v>
      </c>
      <c r="P996" s="238">
        <f t="shared" si="366"/>
        <v>1</v>
      </c>
      <c r="Q996" s="238">
        <f t="shared" si="366"/>
        <v>857</v>
      </c>
      <c r="R996" s="238">
        <f t="shared" si="366"/>
        <v>1778</v>
      </c>
      <c r="S996" s="238">
        <f t="shared" si="366"/>
        <v>0</v>
      </c>
      <c r="T996" s="238">
        <f t="shared" si="366"/>
        <v>5011</v>
      </c>
      <c r="U996"/>
      <c r="V996">
        <f>+PRESUPUESTO22[[#This Row],[EJECUTADO ]]-SUM(PRESUPUESTO22[[#This Row],[   ENERO ]:[DIC]])</f>
        <v>0</v>
      </c>
    </row>
    <row r="997" spans="1:22" ht="15.95" customHeight="1" x14ac:dyDescent="0.25">
      <c r="A997" s="52"/>
      <c r="B997" s="156">
        <v>210201010201</v>
      </c>
      <c r="C997" s="130" t="str">
        <f t="shared" si="361"/>
        <v>E-210201010201</v>
      </c>
      <c r="D997" s="130">
        <v>947</v>
      </c>
      <c r="E997" s="156" t="s">
        <v>69</v>
      </c>
      <c r="F997" s="216" t="s">
        <v>809</v>
      </c>
      <c r="G997" s="193">
        <v>0</v>
      </c>
      <c r="H997" s="193">
        <v>0</v>
      </c>
      <c r="I997" s="193">
        <v>0</v>
      </c>
      <c r="J997" s="193">
        <v>0</v>
      </c>
      <c r="K997" s="193">
        <v>0</v>
      </c>
      <c r="L997" s="193">
        <v>0</v>
      </c>
      <c r="M997" s="193">
        <v>480</v>
      </c>
      <c r="N997" s="193">
        <v>720</v>
      </c>
      <c r="O997" s="193">
        <v>0</v>
      </c>
      <c r="P997" s="193">
        <v>0</v>
      </c>
      <c r="Q997" s="193">
        <v>0</v>
      </c>
      <c r="R997" s="193">
        <v>860</v>
      </c>
      <c r="S997" s="193">
        <v>0</v>
      </c>
      <c r="T997" s="193">
        <f>SUM(H997:S997)</f>
        <v>2060</v>
      </c>
      <c r="U997"/>
      <c r="V997">
        <f>+PRESUPUESTO22[[#This Row],[EJECUTADO ]]-SUM(PRESUPUESTO22[[#This Row],[   ENERO ]:[DIC]])</f>
        <v>0</v>
      </c>
    </row>
    <row r="998" spans="1:22" ht="15.95" customHeight="1" x14ac:dyDescent="0.25">
      <c r="A998" s="52"/>
      <c r="B998" s="156">
        <v>210201010202</v>
      </c>
      <c r="C998" s="130" t="str">
        <f t="shared" si="361"/>
        <v>E-210201010202</v>
      </c>
      <c r="D998" s="130">
        <v>948</v>
      </c>
      <c r="E998" s="156" t="s">
        <v>69</v>
      </c>
      <c r="F998" s="216" t="s">
        <v>806</v>
      </c>
      <c r="G998" s="193">
        <v>0</v>
      </c>
      <c r="H998" s="193">
        <v>0</v>
      </c>
      <c r="I998" s="193">
        <v>0</v>
      </c>
      <c r="J998" s="193">
        <v>0</v>
      </c>
      <c r="K998" s="193">
        <v>0</v>
      </c>
      <c r="L998" s="193">
        <v>0</v>
      </c>
      <c r="M998" s="193">
        <v>0</v>
      </c>
      <c r="N998" s="193">
        <f>28.43-0.43</f>
        <v>28</v>
      </c>
      <c r="O998" s="193">
        <v>0</v>
      </c>
      <c r="P998" s="193">
        <v>0</v>
      </c>
      <c r="Q998" s="193">
        <v>0</v>
      </c>
      <c r="R998" s="193">
        <v>0</v>
      </c>
      <c r="S998" s="193">
        <v>0</v>
      </c>
      <c r="T998" s="193">
        <f>SUM(H998:S998)</f>
        <v>28</v>
      </c>
      <c r="U998"/>
      <c r="V998">
        <f>+PRESUPUESTO22[[#This Row],[EJECUTADO ]]-SUM(PRESUPUESTO22[[#This Row],[   ENERO ]:[DIC]])</f>
        <v>0</v>
      </c>
    </row>
    <row r="999" spans="1:22" ht="15.95" customHeight="1" x14ac:dyDescent="0.25">
      <c r="A999" s="52"/>
      <c r="B999" s="156">
        <v>210201010203</v>
      </c>
      <c r="C999" s="130" t="str">
        <f t="shared" si="361"/>
        <v>E-210201010203</v>
      </c>
      <c r="D999" s="130">
        <v>949</v>
      </c>
      <c r="E999" s="156" t="s">
        <v>69</v>
      </c>
      <c r="F999" s="216" t="s">
        <v>810</v>
      </c>
      <c r="G999" s="193">
        <v>0</v>
      </c>
      <c r="H999" s="193">
        <v>250</v>
      </c>
      <c r="I999" s="193">
        <v>0</v>
      </c>
      <c r="J999" s="193">
        <v>0</v>
      </c>
      <c r="K999" s="193">
        <v>0</v>
      </c>
      <c r="L999" s="193">
        <v>0</v>
      </c>
      <c r="M999" s="193">
        <v>0</v>
      </c>
      <c r="N999" s="193">
        <v>0</v>
      </c>
      <c r="O999" s="193">
        <v>0</v>
      </c>
      <c r="P999" s="193">
        <v>0</v>
      </c>
      <c r="Q999" s="193">
        <v>0</v>
      </c>
      <c r="R999" s="193">
        <v>0</v>
      </c>
      <c r="S999" s="193">
        <v>0</v>
      </c>
      <c r="T999" s="193">
        <f>SUM(H999:S999)</f>
        <v>250</v>
      </c>
      <c r="U999"/>
      <c r="V999">
        <f>+PRESUPUESTO22[[#This Row],[EJECUTADO ]]-SUM(PRESUPUESTO22[[#This Row],[   ENERO ]:[DIC]])</f>
        <v>0</v>
      </c>
    </row>
    <row r="1000" spans="1:22" ht="15.95" customHeight="1" x14ac:dyDescent="0.25">
      <c r="A1000" s="52"/>
      <c r="B1000" s="156">
        <v>210201010204</v>
      </c>
      <c r="C1000" s="130" t="str">
        <f t="shared" si="361"/>
        <v>E-210201010204</v>
      </c>
      <c r="D1000" s="130">
        <v>950</v>
      </c>
      <c r="E1000" s="156" t="s">
        <v>69</v>
      </c>
      <c r="F1000" s="216" t="s">
        <v>811</v>
      </c>
      <c r="G1000" s="193">
        <v>0</v>
      </c>
      <c r="H1000" s="193">
        <v>0</v>
      </c>
      <c r="I1000" s="193">
        <v>0</v>
      </c>
      <c r="J1000" s="193">
        <v>0</v>
      </c>
      <c r="K1000" s="193">
        <f>124.36-0.36</f>
        <v>124</v>
      </c>
      <c r="L1000" s="193">
        <f>752.36-0.36</f>
        <v>752</v>
      </c>
      <c r="M1000" s="193">
        <f>20.93+0.07</f>
        <v>21</v>
      </c>
      <c r="N1000" s="193">
        <v>0</v>
      </c>
      <c r="O1000" s="193">
        <v>0</v>
      </c>
      <c r="P1000" s="193">
        <v>1</v>
      </c>
      <c r="Q1000" s="193">
        <f>856.5+0.5</f>
        <v>857</v>
      </c>
      <c r="R1000" s="193">
        <f>532.93+384.62+0.45</f>
        <v>918</v>
      </c>
      <c r="S1000" s="193">
        <v>0</v>
      </c>
      <c r="T1000" s="193">
        <f>SUM(H1000:S1000)</f>
        <v>2673</v>
      </c>
      <c r="U1000"/>
      <c r="V1000">
        <f>+PRESUPUESTO22[[#This Row],[EJECUTADO ]]-SUM(PRESUPUESTO22[[#This Row],[   ENERO ]:[DIC]])</f>
        <v>0</v>
      </c>
    </row>
    <row r="1001" spans="1:22" ht="15.95" customHeight="1" x14ac:dyDescent="0.25">
      <c r="A1001" s="52"/>
      <c r="B1001" s="156">
        <v>210201010205</v>
      </c>
      <c r="C1001" s="130" t="str">
        <f t="shared" si="361"/>
        <v>E-210201010205</v>
      </c>
      <c r="D1001" s="130">
        <v>951</v>
      </c>
      <c r="E1001" s="156" t="s">
        <v>69</v>
      </c>
      <c r="F1001" s="216" t="s">
        <v>812</v>
      </c>
      <c r="G1001" s="193">
        <v>0</v>
      </c>
      <c r="H1001" s="193">
        <v>0</v>
      </c>
      <c r="I1001" s="193">
        <v>0</v>
      </c>
      <c r="J1001" s="193">
        <v>0</v>
      </c>
      <c r="K1001" s="193">
        <v>0</v>
      </c>
      <c r="L1001" s="193">
        <v>0</v>
      </c>
      <c r="M1001" s="193">
        <v>0</v>
      </c>
      <c r="N1001" s="193">
        <v>0</v>
      </c>
      <c r="O1001" s="193">
        <v>0</v>
      </c>
      <c r="P1001" s="193">
        <v>0</v>
      </c>
      <c r="Q1001" s="193">
        <v>0</v>
      </c>
      <c r="R1001" s="193">
        <v>0</v>
      </c>
      <c r="S1001" s="193">
        <v>0</v>
      </c>
      <c r="T1001" s="193">
        <f>SUM(H1001:S1001)</f>
        <v>0</v>
      </c>
      <c r="U1001"/>
      <c r="V1001">
        <f>+PRESUPUESTO22[[#This Row],[EJECUTADO ]]-SUM(PRESUPUESTO22[[#This Row],[   ENERO ]:[DIC]])</f>
        <v>0</v>
      </c>
    </row>
    <row r="1002" spans="1:22" ht="15.95" customHeight="1" x14ac:dyDescent="0.25">
      <c r="A1002" s="52"/>
      <c r="B1002" s="170">
        <v>21020102</v>
      </c>
      <c r="C1002" s="130" t="str">
        <f t="shared" si="361"/>
        <v>E-21020102</v>
      </c>
      <c r="D1002" s="130">
        <v>952</v>
      </c>
      <c r="E1002" s="170" t="s">
        <v>72</v>
      </c>
      <c r="F1002" s="235" t="s">
        <v>168</v>
      </c>
      <c r="G1002" s="236">
        <v>8250</v>
      </c>
      <c r="H1002" s="236">
        <f t="shared" ref="H1002:T1002" si="367">+H1003+H1006+H1009</f>
        <v>60</v>
      </c>
      <c r="I1002" s="236">
        <f t="shared" si="367"/>
        <v>0</v>
      </c>
      <c r="J1002" s="236">
        <f t="shared" si="367"/>
        <v>0</v>
      </c>
      <c r="K1002" s="236">
        <f t="shared" si="367"/>
        <v>0</v>
      </c>
      <c r="L1002" s="236">
        <f t="shared" si="367"/>
        <v>0</v>
      </c>
      <c r="M1002" s="236">
        <f t="shared" si="367"/>
        <v>0</v>
      </c>
      <c r="N1002" s="236">
        <f t="shared" si="367"/>
        <v>0</v>
      </c>
      <c r="O1002" s="236">
        <f t="shared" si="367"/>
        <v>1440</v>
      </c>
      <c r="P1002" s="236">
        <f t="shared" si="367"/>
        <v>47</v>
      </c>
      <c r="Q1002" s="236">
        <f t="shared" si="367"/>
        <v>924</v>
      </c>
      <c r="R1002" s="236">
        <f t="shared" si="367"/>
        <v>765</v>
      </c>
      <c r="S1002" s="236">
        <f t="shared" si="367"/>
        <v>0</v>
      </c>
      <c r="T1002" s="236">
        <f t="shared" si="367"/>
        <v>3236</v>
      </c>
      <c r="U1002"/>
      <c r="V1002">
        <f>+PRESUPUESTO22[[#This Row],[EJECUTADO ]]-SUM(PRESUPUESTO22[[#This Row],[   ENERO ]:[DIC]])</f>
        <v>0</v>
      </c>
    </row>
    <row r="1003" spans="1:22" ht="15.95" customHeight="1" x14ac:dyDescent="0.25">
      <c r="A1003" s="52"/>
      <c r="B1003" s="171">
        <v>2102010201</v>
      </c>
      <c r="C1003" s="130" t="str">
        <f t="shared" si="361"/>
        <v>E-2102010201</v>
      </c>
      <c r="D1003" s="130">
        <v>953</v>
      </c>
      <c r="E1003" s="171" t="s">
        <v>69</v>
      </c>
      <c r="F1003" s="237" t="s">
        <v>808</v>
      </c>
      <c r="G1003" s="238">
        <f>SUM(G1004:G1005)</f>
        <v>0</v>
      </c>
      <c r="H1003" s="238">
        <f>SUM(H1004:H1005)</f>
        <v>60</v>
      </c>
      <c r="I1003" s="238">
        <f t="shared" ref="I1003:T1003" si="368">SUM(I1004:I1005)</f>
        <v>0</v>
      </c>
      <c r="J1003" s="238">
        <f t="shared" si="368"/>
        <v>0</v>
      </c>
      <c r="K1003" s="238">
        <f t="shared" si="368"/>
        <v>0</v>
      </c>
      <c r="L1003" s="238">
        <f t="shared" si="368"/>
        <v>0</v>
      </c>
      <c r="M1003" s="238">
        <f t="shared" si="368"/>
        <v>0</v>
      </c>
      <c r="N1003" s="238">
        <f t="shared" si="368"/>
        <v>0</v>
      </c>
      <c r="O1003" s="238">
        <f t="shared" si="368"/>
        <v>0</v>
      </c>
      <c r="P1003" s="238">
        <f t="shared" si="368"/>
        <v>47</v>
      </c>
      <c r="Q1003" s="238">
        <f t="shared" si="368"/>
        <v>204</v>
      </c>
      <c r="R1003" s="238">
        <f t="shared" si="368"/>
        <v>765</v>
      </c>
      <c r="S1003" s="238">
        <f t="shared" si="368"/>
        <v>0</v>
      </c>
      <c r="T1003" s="238">
        <f t="shared" si="368"/>
        <v>1076</v>
      </c>
      <c r="U1003"/>
      <c r="V1003">
        <f>+PRESUPUESTO22[[#This Row],[EJECUTADO ]]-SUM(PRESUPUESTO22[[#This Row],[   ENERO ]:[DIC]])</f>
        <v>0</v>
      </c>
    </row>
    <row r="1004" spans="1:22" ht="15.95" customHeight="1" x14ac:dyDescent="0.25">
      <c r="A1004" s="52"/>
      <c r="B1004" s="156">
        <v>210201020101</v>
      </c>
      <c r="C1004" s="130" t="str">
        <f t="shared" si="361"/>
        <v>E-210201020101</v>
      </c>
      <c r="D1004" s="130">
        <v>954</v>
      </c>
      <c r="E1004" s="156" t="s">
        <v>69</v>
      </c>
      <c r="F1004" s="216" t="s">
        <v>626</v>
      </c>
      <c r="G1004" s="193">
        <v>0</v>
      </c>
      <c r="H1004" s="193">
        <v>60</v>
      </c>
      <c r="I1004" s="193">
        <v>0</v>
      </c>
      <c r="J1004" s="193">
        <v>0</v>
      </c>
      <c r="K1004" s="193">
        <v>0</v>
      </c>
      <c r="L1004" s="193">
        <v>0</v>
      </c>
      <c r="M1004" s="193">
        <v>0</v>
      </c>
      <c r="N1004" s="193">
        <v>0</v>
      </c>
      <c r="O1004" s="193">
        <v>0</v>
      </c>
      <c r="P1004" s="193">
        <v>0</v>
      </c>
      <c r="Q1004" s="193">
        <v>204</v>
      </c>
      <c r="R1004" s="193">
        <v>765</v>
      </c>
      <c r="S1004" s="193">
        <v>0</v>
      </c>
      <c r="T1004" s="193">
        <f>SUM(H1004:S1004)</f>
        <v>1029</v>
      </c>
      <c r="U1004"/>
      <c r="V1004">
        <f>+PRESUPUESTO22[[#This Row],[EJECUTADO ]]-SUM(PRESUPUESTO22[[#This Row],[   ENERO ]:[DIC]])</f>
        <v>0</v>
      </c>
    </row>
    <row r="1005" spans="1:22" ht="15.95" customHeight="1" x14ac:dyDescent="0.25">
      <c r="A1005" s="52"/>
      <c r="B1005" s="156">
        <v>210201020102</v>
      </c>
      <c r="C1005" s="130" t="str">
        <f t="shared" si="361"/>
        <v>E-210201020102</v>
      </c>
      <c r="D1005" s="130">
        <v>955</v>
      </c>
      <c r="E1005" s="156" t="s">
        <v>69</v>
      </c>
      <c r="F1005" s="216" t="s">
        <v>813</v>
      </c>
      <c r="G1005" s="193">
        <v>0</v>
      </c>
      <c r="H1005" s="193">
        <v>0</v>
      </c>
      <c r="I1005" s="193">
        <v>0</v>
      </c>
      <c r="J1005" s="193">
        <v>0</v>
      </c>
      <c r="K1005" s="193">
        <v>0</v>
      </c>
      <c r="L1005" s="193">
        <v>0</v>
      </c>
      <c r="M1005" s="193">
        <v>0</v>
      </c>
      <c r="N1005" s="193">
        <v>0</v>
      </c>
      <c r="O1005" s="193">
        <v>0</v>
      </c>
      <c r="P1005" s="193">
        <f>47.2-0.2</f>
        <v>47</v>
      </c>
      <c r="Q1005" s="193">
        <v>0</v>
      </c>
      <c r="R1005" s="193">
        <v>0</v>
      </c>
      <c r="S1005" s="193">
        <v>0</v>
      </c>
      <c r="T1005" s="193">
        <f>SUM(H1005:S1005)</f>
        <v>47</v>
      </c>
      <c r="U1005"/>
      <c r="V1005">
        <f>+PRESUPUESTO22[[#This Row],[EJECUTADO ]]-SUM(PRESUPUESTO22[[#This Row],[   ENERO ]:[DIC]])</f>
        <v>0</v>
      </c>
    </row>
    <row r="1006" spans="1:22" ht="15.95" customHeight="1" x14ac:dyDescent="0.25">
      <c r="A1006" s="52"/>
      <c r="B1006" s="171">
        <v>2102010202</v>
      </c>
      <c r="C1006" s="130" t="str">
        <f t="shared" si="361"/>
        <v>E-2102010202</v>
      </c>
      <c r="D1006" s="130">
        <v>956</v>
      </c>
      <c r="E1006" s="171" t="s">
        <v>69</v>
      </c>
      <c r="F1006" s="237" t="s">
        <v>814</v>
      </c>
      <c r="G1006" s="238">
        <f>SUM(G1007:G1008)</f>
        <v>0</v>
      </c>
      <c r="H1006" s="238">
        <f>SUM(H1007:H1008)</f>
        <v>0</v>
      </c>
      <c r="I1006" s="238">
        <f t="shared" ref="I1006:T1006" si="369">SUM(I1007:I1008)</f>
        <v>0</v>
      </c>
      <c r="J1006" s="238">
        <f t="shared" si="369"/>
        <v>0</v>
      </c>
      <c r="K1006" s="238">
        <f t="shared" si="369"/>
        <v>0</v>
      </c>
      <c r="L1006" s="238">
        <f t="shared" si="369"/>
        <v>0</v>
      </c>
      <c r="M1006" s="238">
        <f t="shared" si="369"/>
        <v>0</v>
      </c>
      <c r="N1006" s="238">
        <f t="shared" si="369"/>
        <v>0</v>
      </c>
      <c r="O1006" s="238">
        <f t="shared" si="369"/>
        <v>1440</v>
      </c>
      <c r="P1006" s="238">
        <f t="shared" si="369"/>
        <v>0</v>
      </c>
      <c r="Q1006" s="238">
        <f t="shared" si="369"/>
        <v>720</v>
      </c>
      <c r="R1006" s="238">
        <f t="shared" si="369"/>
        <v>0</v>
      </c>
      <c r="S1006" s="238">
        <f t="shared" si="369"/>
        <v>0</v>
      </c>
      <c r="T1006" s="238">
        <f t="shared" si="369"/>
        <v>2160</v>
      </c>
      <c r="U1006"/>
      <c r="V1006">
        <f>+PRESUPUESTO22[[#This Row],[EJECUTADO ]]-SUM(PRESUPUESTO22[[#This Row],[   ENERO ]:[DIC]])</f>
        <v>0</v>
      </c>
    </row>
    <row r="1007" spans="1:22" ht="15.95" customHeight="1" x14ac:dyDescent="0.25">
      <c r="A1007" s="52"/>
      <c r="B1007" s="156">
        <v>210201020201</v>
      </c>
      <c r="C1007" s="130" t="str">
        <f t="shared" si="361"/>
        <v>E-210201020201</v>
      </c>
      <c r="D1007" s="130">
        <v>957</v>
      </c>
      <c r="E1007" s="156" t="s">
        <v>69</v>
      </c>
      <c r="F1007" s="216" t="s">
        <v>626</v>
      </c>
      <c r="G1007" s="193">
        <v>0</v>
      </c>
      <c r="H1007" s="193">
        <v>0</v>
      </c>
      <c r="I1007" s="193">
        <v>0</v>
      </c>
      <c r="J1007" s="193">
        <v>0</v>
      </c>
      <c r="K1007" s="193">
        <v>0</v>
      </c>
      <c r="L1007" s="193">
        <v>0</v>
      </c>
      <c r="M1007" s="193">
        <v>0</v>
      </c>
      <c r="N1007" s="193">
        <v>0</v>
      </c>
      <c r="O1007" s="193">
        <f>720+720</f>
        <v>1440</v>
      </c>
      <c r="P1007" s="193">
        <v>0</v>
      </c>
      <c r="Q1007" s="193">
        <f>360+360</f>
        <v>720</v>
      </c>
      <c r="R1007" s="193">
        <v>0</v>
      </c>
      <c r="S1007" s="193">
        <v>0</v>
      </c>
      <c r="T1007" s="193">
        <f>SUM(H1007:S1007)</f>
        <v>2160</v>
      </c>
      <c r="U1007"/>
      <c r="V1007">
        <f>+PRESUPUESTO22[[#This Row],[EJECUTADO ]]-SUM(PRESUPUESTO22[[#This Row],[   ENERO ]:[DIC]])</f>
        <v>0</v>
      </c>
    </row>
    <row r="1008" spans="1:22" ht="15.95" customHeight="1" x14ac:dyDescent="0.25">
      <c r="A1008" s="52"/>
      <c r="B1008" s="156">
        <v>210201020202</v>
      </c>
      <c r="C1008" s="130" t="str">
        <f t="shared" si="361"/>
        <v>E-210201020202</v>
      </c>
      <c r="D1008" s="130">
        <v>958</v>
      </c>
      <c r="E1008" s="156" t="s">
        <v>69</v>
      </c>
      <c r="F1008" s="216" t="s">
        <v>813</v>
      </c>
      <c r="G1008" s="193">
        <v>0</v>
      </c>
      <c r="H1008" s="193">
        <v>0</v>
      </c>
      <c r="I1008" s="193">
        <v>0</v>
      </c>
      <c r="J1008" s="193">
        <v>0</v>
      </c>
      <c r="K1008" s="193">
        <v>0</v>
      </c>
      <c r="L1008" s="193">
        <v>0</v>
      </c>
      <c r="M1008" s="193">
        <v>0</v>
      </c>
      <c r="N1008" s="193">
        <v>0</v>
      </c>
      <c r="O1008" s="193">
        <v>0</v>
      </c>
      <c r="P1008" s="193">
        <v>0</v>
      </c>
      <c r="Q1008" s="193">
        <v>0</v>
      </c>
      <c r="R1008" s="193">
        <v>0</v>
      </c>
      <c r="S1008" s="193">
        <v>0</v>
      </c>
      <c r="T1008" s="193">
        <f>SUM(H1008:S1008)</f>
        <v>0</v>
      </c>
      <c r="U1008"/>
      <c r="V1008">
        <f>+PRESUPUESTO22[[#This Row],[EJECUTADO ]]-SUM(PRESUPUESTO22[[#This Row],[   ENERO ]:[DIC]])</f>
        <v>0</v>
      </c>
    </row>
    <row r="1009" spans="1:23" ht="15.95" customHeight="1" x14ac:dyDescent="0.25">
      <c r="A1009" s="52"/>
      <c r="B1009" s="171">
        <v>2102010203</v>
      </c>
      <c r="C1009" s="130" t="str">
        <f t="shared" si="361"/>
        <v>E-2102010203</v>
      </c>
      <c r="D1009" s="130">
        <v>959</v>
      </c>
      <c r="E1009" s="171" t="s">
        <v>69</v>
      </c>
      <c r="F1009" s="237" t="s">
        <v>815</v>
      </c>
      <c r="G1009" s="238">
        <f t="shared" ref="G1009:T1009" si="370">SUM(G1010:G1010)</f>
        <v>0</v>
      </c>
      <c r="H1009" s="238">
        <f t="shared" si="370"/>
        <v>0</v>
      </c>
      <c r="I1009" s="238">
        <f t="shared" si="370"/>
        <v>0</v>
      </c>
      <c r="J1009" s="238">
        <f t="shared" si="370"/>
        <v>0</v>
      </c>
      <c r="K1009" s="238">
        <f t="shared" si="370"/>
        <v>0</v>
      </c>
      <c r="L1009" s="238">
        <f t="shared" si="370"/>
        <v>0</v>
      </c>
      <c r="M1009" s="238">
        <f t="shared" si="370"/>
        <v>0</v>
      </c>
      <c r="N1009" s="238">
        <f t="shared" si="370"/>
        <v>0</v>
      </c>
      <c r="O1009" s="238">
        <f t="shared" si="370"/>
        <v>0</v>
      </c>
      <c r="P1009" s="238">
        <f t="shared" si="370"/>
        <v>0</v>
      </c>
      <c r="Q1009" s="238">
        <f t="shared" si="370"/>
        <v>0</v>
      </c>
      <c r="R1009" s="238">
        <f t="shared" si="370"/>
        <v>0</v>
      </c>
      <c r="S1009" s="238">
        <f t="shared" si="370"/>
        <v>0</v>
      </c>
      <c r="T1009" s="238">
        <f t="shared" si="370"/>
        <v>0</v>
      </c>
      <c r="U1009"/>
      <c r="V1009">
        <f>+PRESUPUESTO22[[#This Row],[EJECUTADO ]]-SUM(PRESUPUESTO22[[#This Row],[   ENERO ]:[DIC]])</f>
        <v>0</v>
      </c>
    </row>
    <row r="1010" spans="1:23" ht="15.95" customHeight="1" x14ac:dyDescent="0.25">
      <c r="A1010" s="52"/>
      <c r="B1010" s="156">
        <v>210201020301</v>
      </c>
      <c r="C1010" s="130" t="str">
        <f t="shared" si="361"/>
        <v>E-210201020301</v>
      </c>
      <c r="D1010" s="130">
        <v>960</v>
      </c>
      <c r="E1010" s="156" t="s">
        <v>69</v>
      </c>
      <c r="F1010" s="216" t="s">
        <v>816</v>
      </c>
      <c r="G1010" s="193">
        <v>0</v>
      </c>
      <c r="H1010" s="193">
        <v>0</v>
      </c>
      <c r="I1010" s="193">
        <v>0</v>
      </c>
      <c r="J1010" s="193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>
        <v>0</v>
      </c>
      <c r="P1010" s="193">
        <v>0</v>
      </c>
      <c r="Q1010" s="193">
        <v>0</v>
      </c>
      <c r="R1010" s="193">
        <v>0</v>
      </c>
      <c r="S1010" s="193">
        <v>0</v>
      </c>
      <c r="T1010" s="193">
        <f>SUM(H1010:S1010)</f>
        <v>0</v>
      </c>
      <c r="U1010"/>
      <c r="V1010">
        <f>+PRESUPUESTO22[[#This Row],[EJECUTADO ]]-SUM(PRESUPUESTO22[[#This Row],[   ENERO ]:[DIC]])</f>
        <v>0</v>
      </c>
    </row>
    <row r="1011" spans="1:23" ht="15.95" customHeight="1" x14ac:dyDescent="0.25">
      <c r="A1011" s="52"/>
      <c r="B1011" s="170">
        <v>21020103</v>
      </c>
      <c r="C1011" s="130" t="str">
        <f t="shared" si="361"/>
        <v>E-21020103</v>
      </c>
      <c r="D1011" s="130">
        <v>961</v>
      </c>
      <c r="E1011" s="170" t="s">
        <v>72</v>
      </c>
      <c r="F1011" s="235" t="s">
        <v>169</v>
      </c>
      <c r="G1011" s="236">
        <v>3300</v>
      </c>
      <c r="H1011" s="236">
        <f t="shared" ref="H1011:T1011" si="371">SUM(H1012:H1014)</f>
        <v>0</v>
      </c>
      <c r="I1011" s="236">
        <f t="shared" si="371"/>
        <v>0</v>
      </c>
      <c r="J1011" s="236">
        <f t="shared" si="371"/>
        <v>0</v>
      </c>
      <c r="K1011" s="236">
        <f t="shared" si="371"/>
        <v>0</v>
      </c>
      <c r="L1011" s="236">
        <f t="shared" si="371"/>
        <v>240</v>
      </c>
      <c r="M1011" s="236">
        <f t="shared" si="371"/>
        <v>840</v>
      </c>
      <c r="N1011" s="236">
        <f t="shared" si="371"/>
        <v>84</v>
      </c>
      <c r="O1011" s="236">
        <f t="shared" si="371"/>
        <v>909</v>
      </c>
      <c r="P1011" s="236">
        <f t="shared" si="371"/>
        <v>346</v>
      </c>
      <c r="Q1011" s="236">
        <f t="shared" si="371"/>
        <v>289</v>
      </c>
      <c r="R1011" s="236">
        <f t="shared" si="371"/>
        <v>560</v>
      </c>
      <c r="S1011" s="236">
        <f t="shared" si="371"/>
        <v>0</v>
      </c>
      <c r="T1011" s="236">
        <f t="shared" si="371"/>
        <v>3268</v>
      </c>
      <c r="U1011"/>
      <c r="V1011">
        <f>+PRESUPUESTO22[[#This Row],[EJECUTADO ]]-SUM(PRESUPUESTO22[[#This Row],[   ENERO ]:[DIC]])</f>
        <v>0</v>
      </c>
    </row>
    <row r="1012" spans="1:23" ht="15.95" customHeight="1" x14ac:dyDescent="0.25">
      <c r="A1012" s="52"/>
      <c r="B1012" s="156">
        <v>2102010301</v>
      </c>
      <c r="C1012" s="130" t="str">
        <f t="shared" si="361"/>
        <v>E-2102010301</v>
      </c>
      <c r="D1012" s="130">
        <v>962</v>
      </c>
      <c r="E1012" s="156" t="s">
        <v>69</v>
      </c>
      <c r="F1012" s="216" t="s">
        <v>626</v>
      </c>
      <c r="G1012" s="193">
        <v>0</v>
      </c>
      <c r="H1012" s="193">
        <v>0</v>
      </c>
      <c r="I1012" s="193">
        <v>0</v>
      </c>
      <c r="J1012" s="193">
        <v>0</v>
      </c>
      <c r="K1012" s="193">
        <v>0</v>
      </c>
      <c r="L1012" s="193">
        <v>240</v>
      </c>
      <c r="M1012" s="193">
        <v>840</v>
      </c>
      <c r="N1012" s="193">
        <v>0</v>
      </c>
      <c r="O1012" s="193">
        <v>480</v>
      </c>
      <c r="P1012" s="193">
        <v>260</v>
      </c>
      <c r="Q1012" s="193">
        <v>260</v>
      </c>
      <c r="R1012" s="193">
        <v>560</v>
      </c>
      <c r="S1012" s="193">
        <v>0</v>
      </c>
      <c r="T1012" s="193">
        <f>SUM(H1012:S1012)</f>
        <v>2640</v>
      </c>
      <c r="U1012"/>
      <c r="V1012">
        <f>+PRESUPUESTO22[[#This Row],[EJECUTADO ]]-SUM(PRESUPUESTO22[[#This Row],[   ENERO ]:[DIC]])</f>
        <v>0</v>
      </c>
    </row>
    <row r="1013" spans="1:23" ht="15.95" customHeight="1" x14ac:dyDescent="0.25">
      <c r="A1013" s="52"/>
      <c r="B1013" s="156">
        <v>2102010302</v>
      </c>
      <c r="C1013" s="130" t="str">
        <f t="shared" si="361"/>
        <v>E-2102010302</v>
      </c>
      <c r="D1013" s="130">
        <v>963</v>
      </c>
      <c r="E1013" s="156" t="s">
        <v>69</v>
      </c>
      <c r="F1013" s="216" t="s">
        <v>813</v>
      </c>
      <c r="G1013" s="193">
        <v>0</v>
      </c>
      <c r="H1013" s="193">
        <v>0</v>
      </c>
      <c r="I1013" s="193">
        <v>0</v>
      </c>
      <c r="J1013" s="193">
        <v>0</v>
      </c>
      <c r="K1013" s="193">
        <v>0</v>
      </c>
      <c r="L1013" s="193">
        <v>0</v>
      </c>
      <c r="M1013" s="193">
        <v>0</v>
      </c>
      <c r="N1013" s="193">
        <v>0</v>
      </c>
      <c r="O1013" s="193">
        <v>0</v>
      </c>
      <c r="P1013" s="193">
        <v>0</v>
      </c>
      <c r="Q1013" s="193">
        <f>29.25-0.25</f>
        <v>29</v>
      </c>
      <c r="R1013" s="193">
        <v>0</v>
      </c>
      <c r="S1013" s="193">
        <v>0</v>
      </c>
      <c r="T1013" s="193">
        <f>SUM(H1013:S1013)</f>
        <v>29</v>
      </c>
      <c r="U1013"/>
      <c r="V1013">
        <f>+PRESUPUESTO22[[#This Row],[EJECUTADO ]]-SUM(PRESUPUESTO22[[#This Row],[   ENERO ]:[DIC]])</f>
        <v>0</v>
      </c>
    </row>
    <row r="1014" spans="1:23" ht="15.95" customHeight="1" x14ac:dyDescent="0.25">
      <c r="A1014" s="52"/>
      <c r="B1014" s="156">
        <v>2102010303</v>
      </c>
      <c r="C1014" s="130" t="str">
        <f t="shared" si="361"/>
        <v>E-2102010303</v>
      </c>
      <c r="D1014" s="130">
        <v>964</v>
      </c>
      <c r="E1014" s="156" t="s">
        <v>69</v>
      </c>
      <c r="F1014" s="216" t="s">
        <v>817</v>
      </c>
      <c r="G1014" s="193">
        <v>0</v>
      </c>
      <c r="H1014" s="193">
        <v>0</v>
      </c>
      <c r="I1014" s="193">
        <v>0</v>
      </c>
      <c r="J1014" s="193">
        <v>0</v>
      </c>
      <c r="K1014" s="193">
        <v>0</v>
      </c>
      <c r="L1014" s="193">
        <v>0</v>
      </c>
      <c r="M1014" s="193">
        <v>0</v>
      </c>
      <c r="N1014" s="193">
        <v>84</v>
      </c>
      <c r="O1014" s="193">
        <f>429.42-0.42</f>
        <v>429</v>
      </c>
      <c r="P1014" s="193">
        <f>62.12+24.08-0.2</f>
        <v>85.999999999999986</v>
      </c>
      <c r="Q1014" s="193">
        <v>0</v>
      </c>
      <c r="R1014" s="193">
        <v>0</v>
      </c>
      <c r="S1014" s="193">
        <v>0</v>
      </c>
      <c r="T1014" s="193">
        <f>SUM(H1014:S1014)</f>
        <v>599</v>
      </c>
      <c r="U1014"/>
      <c r="V1014">
        <f>+PRESUPUESTO22[[#This Row],[EJECUTADO ]]-SUM(PRESUPUESTO22[[#This Row],[   ENERO ]:[DIC]])</f>
        <v>0</v>
      </c>
    </row>
    <row r="1015" spans="1:23" ht="15.95" customHeight="1" x14ac:dyDescent="0.25">
      <c r="A1015" s="52"/>
      <c r="B1015" s="170">
        <v>21020104</v>
      </c>
      <c r="C1015" s="130" t="str">
        <f t="shared" si="361"/>
        <v>E-21020104</v>
      </c>
      <c r="D1015" s="130">
        <v>965</v>
      </c>
      <c r="E1015" s="170" t="s">
        <v>72</v>
      </c>
      <c r="F1015" s="235" t="s">
        <v>170</v>
      </c>
      <c r="G1015" s="236">
        <v>2200</v>
      </c>
      <c r="H1015" s="236">
        <f t="shared" ref="H1015:T1015" si="372">SUM(H1016:H1017)</f>
        <v>0</v>
      </c>
      <c r="I1015" s="236">
        <f t="shared" si="372"/>
        <v>0</v>
      </c>
      <c r="J1015" s="236">
        <f t="shared" si="372"/>
        <v>0</v>
      </c>
      <c r="K1015" s="236">
        <f t="shared" si="372"/>
        <v>0</v>
      </c>
      <c r="L1015" s="236">
        <f t="shared" si="372"/>
        <v>0</v>
      </c>
      <c r="M1015" s="236">
        <f t="shared" si="372"/>
        <v>0</v>
      </c>
      <c r="N1015" s="236">
        <f t="shared" si="372"/>
        <v>0</v>
      </c>
      <c r="O1015" s="236">
        <f t="shared" si="372"/>
        <v>160</v>
      </c>
      <c r="P1015" s="236">
        <f t="shared" si="372"/>
        <v>0</v>
      </c>
      <c r="Q1015" s="236">
        <f t="shared" si="372"/>
        <v>0</v>
      </c>
      <c r="R1015" s="236">
        <f t="shared" si="372"/>
        <v>0</v>
      </c>
      <c r="S1015" s="236">
        <f t="shared" si="372"/>
        <v>0</v>
      </c>
      <c r="T1015" s="236">
        <f t="shared" si="372"/>
        <v>160</v>
      </c>
      <c r="U1015"/>
      <c r="V1015">
        <f>+PRESUPUESTO22[[#This Row],[EJECUTADO ]]-SUM(PRESUPUESTO22[[#This Row],[   ENERO ]:[DIC]])</f>
        <v>0</v>
      </c>
    </row>
    <row r="1016" spans="1:23" ht="15.95" customHeight="1" x14ac:dyDescent="0.25">
      <c r="A1016" s="52"/>
      <c r="B1016" s="156">
        <v>2102010401</v>
      </c>
      <c r="C1016" s="130" t="str">
        <f t="shared" si="361"/>
        <v>E-2102010401</v>
      </c>
      <c r="D1016" s="130">
        <v>966</v>
      </c>
      <c r="E1016" s="156" t="s">
        <v>69</v>
      </c>
      <c r="F1016" s="216" t="s">
        <v>626</v>
      </c>
      <c r="G1016" s="193">
        <v>0</v>
      </c>
      <c r="H1016" s="193">
        <v>0</v>
      </c>
      <c r="I1016" s="193">
        <v>0</v>
      </c>
      <c r="J1016" s="193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>
        <v>160</v>
      </c>
      <c r="P1016" s="193">
        <v>0</v>
      </c>
      <c r="Q1016" s="193">
        <v>0</v>
      </c>
      <c r="R1016" s="193">
        <v>0</v>
      </c>
      <c r="S1016" s="193">
        <v>0</v>
      </c>
      <c r="T1016" s="193">
        <f>SUM(H1016:S1016)</f>
        <v>160</v>
      </c>
      <c r="U1016"/>
      <c r="V1016">
        <f>+PRESUPUESTO22[[#This Row],[EJECUTADO ]]-SUM(PRESUPUESTO22[[#This Row],[   ENERO ]:[DIC]])</f>
        <v>0</v>
      </c>
    </row>
    <row r="1017" spans="1:23" ht="15.95" customHeight="1" x14ac:dyDescent="0.25">
      <c r="A1017" s="52"/>
      <c r="B1017" s="156">
        <v>2102010402</v>
      </c>
      <c r="C1017" s="130" t="str">
        <f t="shared" si="361"/>
        <v>E-2102010402</v>
      </c>
      <c r="D1017" s="130">
        <v>967</v>
      </c>
      <c r="E1017" s="156" t="s">
        <v>69</v>
      </c>
      <c r="F1017" s="216" t="s">
        <v>818</v>
      </c>
      <c r="G1017" s="193">
        <v>0</v>
      </c>
      <c r="H1017" s="193">
        <v>0</v>
      </c>
      <c r="I1017" s="193">
        <v>0</v>
      </c>
      <c r="J1017" s="193">
        <v>0</v>
      </c>
      <c r="K1017" s="193">
        <v>0</v>
      </c>
      <c r="L1017" s="193">
        <v>0</v>
      </c>
      <c r="M1017" s="193">
        <v>0</v>
      </c>
      <c r="N1017" s="193">
        <v>0</v>
      </c>
      <c r="O1017" s="193">
        <v>0</v>
      </c>
      <c r="P1017" s="193">
        <v>0</v>
      </c>
      <c r="Q1017" s="193">
        <v>0</v>
      </c>
      <c r="R1017" s="193">
        <v>0</v>
      </c>
      <c r="S1017" s="193">
        <v>0</v>
      </c>
      <c r="T1017" s="193">
        <f>SUM(H1017:S1017)</f>
        <v>0</v>
      </c>
      <c r="U1017"/>
      <c r="V1017">
        <f>+PRESUPUESTO22[[#This Row],[EJECUTADO ]]-SUM(PRESUPUESTO22[[#This Row],[   ENERO ]:[DIC]])</f>
        <v>0</v>
      </c>
    </row>
    <row r="1018" spans="1:23" ht="15.95" customHeight="1" x14ac:dyDescent="0.25">
      <c r="A1018" s="52"/>
      <c r="B1018" s="172">
        <v>210202</v>
      </c>
      <c r="C1018" s="130" t="str">
        <f t="shared" si="361"/>
        <v>E-210202</v>
      </c>
      <c r="D1018" s="130">
        <v>968</v>
      </c>
      <c r="E1018" s="172" t="s">
        <v>69</v>
      </c>
      <c r="F1018" s="239" t="s">
        <v>96</v>
      </c>
      <c r="G1018" s="192">
        <f t="shared" ref="G1018:T1018" si="373">+G1019+G1024+G1027+G1030</f>
        <v>51850</v>
      </c>
      <c r="H1018" s="192">
        <f t="shared" si="373"/>
        <v>0</v>
      </c>
      <c r="I1018" s="192">
        <f t="shared" si="373"/>
        <v>160</v>
      </c>
      <c r="J1018" s="192">
        <f t="shared" si="373"/>
        <v>660</v>
      </c>
      <c r="K1018" s="192">
        <f t="shared" si="373"/>
        <v>2596</v>
      </c>
      <c r="L1018" s="192">
        <f t="shared" si="373"/>
        <v>2638</v>
      </c>
      <c r="M1018" s="192">
        <f t="shared" si="373"/>
        <v>16992</v>
      </c>
      <c r="N1018" s="192">
        <f t="shared" si="373"/>
        <v>265</v>
      </c>
      <c r="O1018" s="192">
        <f t="shared" si="373"/>
        <v>260</v>
      </c>
      <c r="P1018" s="192">
        <f t="shared" si="373"/>
        <v>436</v>
      </c>
      <c r="Q1018" s="192">
        <f t="shared" si="373"/>
        <v>3076</v>
      </c>
      <c r="R1018" s="192">
        <f t="shared" si="373"/>
        <v>4429</v>
      </c>
      <c r="S1018" s="192">
        <f t="shared" si="373"/>
        <v>0</v>
      </c>
      <c r="T1018" s="192">
        <f t="shared" si="373"/>
        <v>31512</v>
      </c>
      <c r="U1018"/>
      <c r="V1018">
        <f>+PRESUPUESTO22[[#This Row],[EJECUTADO ]]-SUM(PRESUPUESTO22[[#This Row],[   ENERO ]:[DIC]])</f>
        <v>0</v>
      </c>
      <c r="W1018"/>
    </row>
    <row r="1019" spans="1:23" ht="15.95" customHeight="1" x14ac:dyDescent="0.25">
      <c r="A1019" s="52"/>
      <c r="B1019" s="170">
        <v>21020201</v>
      </c>
      <c r="C1019" s="130" t="str">
        <f t="shared" si="361"/>
        <v>E-21020201</v>
      </c>
      <c r="D1019" s="130">
        <v>969</v>
      </c>
      <c r="E1019" s="170" t="s">
        <v>72</v>
      </c>
      <c r="F1019" s="235" t="s">
        <v>167</v>
      </c>
      <c r="G1019" s="236">
        <f>+G1020</f>
        <v>26550</v>
      </c>
      <c r="H1019" s="236">
        <f>+H1020</f>
        <v>0</v>
      </c>
      <c r="I1019" s="236">
        <f t="shared" ref="I1019:T1019" si="374">+I1020</f>
        <v>0</v>
      </c>
      <c r="J1019" s="236">
        <f t="shared" si="374"/>
        <v>60</v>
      </c>
      <c r="K1019" s="236">
        <f t="shared" si="374"/>
        <v>180</v>
      </c>
      <c r="L1019" s="236">
        <f t="shared" si="374"/>
        <v>712</v>
      </c>
      <c r="M1019" s="236">
        <f t="shared" si="374"/>
        <v>14961</v>
      </c>
      <c r="N1019" s="236">
        <f t="shared" si="374"/>
        <v>0</v>
      </c>
      <c r="O1019" s="236">
        <f t="shared" si="374"/>
        <v>60</v>
      </c>
      <c r="P1019" s="236">
        <f t="shared" si="374"/>
        <v>16</v>
      </c>
      <c r="Q1019" s="236">
        <f t="shared" si="374"/>
        <v>1475</v>
      </c>
      <c r="R1019" s="236">
        <f t="shared" si="374"/>
        <v>1250</v>
      </c>
      <c r="S1019" s="236">
        <f t="shared" si="374"/>
        <v>0</v>
      </c>
      <c r="T1019" s="236">
        <f t="shared" si="374"/>
        <v>18714</v>
      </c>
      <c r="U1019"/>
      <c r="V1019">
        <f>+PRESUPUESTO22[[#This Row],[EJECUTADO ]]-SUM(PRESUPUESTO22[[#This Row],[   ENERO ]:[DIC]])</f>
        <v>0</v>
      </c>
      <c r="W1019"/>
    </row>
    <row r="1020" spans="1:23" ht="15.95" customHeight="1" x14ac:dyDescent="0.25">
      <c r="A1020" s="52"/>
      <c r="B1020" s="171">
        <v>2102020101</v>
      </c>
      <c r="C1020" s="130" t="str">
        <f t="shared" si="361"/>
        <v>E-2102020101</v>
      </c>
      <c r="D1020" s="130">
        <v>970</v>
      </c>
      <c r="E1020" s="171" t="s">
        <v>69</v>
      </c>
      <c r="F1020" s="237" t="s">
        <v>819</v>
      </c>
      <c r="G1020" s="238">
        <v>26550</v>
      </c>
      <c r="H1020" s="238">
        <f>SUM(H1021:H1023)</f>
        <v>0</v>
      </c>
      <c r="I1020" s="238">
        <f>SUM(I1021:I1023)</f>
        <v>0</v>
      </c>
      <c r="J1020" s="238">
        <f>SUM(J1021:J1023)</f>
        <v>60</v>
      </c>
      <c r="K1020" s="238">
        <f>SUM(K1021:K1023)</f>
        <v>180</v>
      </c>
      <c r="L1020" s="238">
        <f t="shared" ref="L1020:T1020" si="375">SUM(L1021:L1023)</f>
        <v>712</v>
      </c>
      <c r="M1020" s="238">
        <f t="shared" si="375"/>
        <v>14961</v>
      </c>
      <c r="N1020" s="238">
        <f t="shared" si="375"/>
        <v>0</v>
      </c>
      <c r="O1020" s="238">
        <f t="shared" si="375"/>
        <v>60</v>
      </c>
      <c r="P1020" s="238">
        <f t="shared" si="375"/>
        <v>16</v>
      </c>
      <c r="Q1020" s="238">
        <f t="shared" si="375"/>
        <v>1475</v>
      </c>
      <c r="R1020" s="238">
        <f t="shared" si="375"/>
        <v>1250</v>
      </c>
      <c r="S1020" s="238">
        <f t="shared" si="375"/>
        <v>0</v>
      </c>
      <c r="T1020" s="238">
        <f t="shared" si="375"/>
        <v>18714</v>
      </c>
      <c r="U1020"/>
      <c r="V1020">
        <f>+PRESUPUESTO22[[#This Row],[EJECUTADO ]]-SUM(PRESUPUESTO22[[#This Row],[   ENERO ]:[DIC]])</f>
        <v>0</v>
      </c>
      <c r="W1020"/>
    </row>
    <row r="1021" spans="1:23" ht="15.95" customHeight="1" x14ac:dyDescent="0.25">
      <c r="A1021" s="52"/>
      <c r="B1021" s="156">
        <v>210202010101</v>
      </c>
      <c r="C1021" s="130" t="str">
        <f t="shared" si="361"/>
        <v>E-210202010101</v>
      </c>
      <c r="D1021" s="130">
        <v>971</v>
      </c>
      <c r="E1021" s="156" t="s">
        <v>69</v>
      </c>
      <c r="F1021" s="216" t="s">
        <v>820</v>
      </c>
      <c r="G1021" s="193">
        <v>0</v>
      </c>
      <c r="H1021" s="193">
        <v>0</v>
      </c>
      <c r="I1021" s="193">
        <v>0</v>
      </c>
      <c r="J1021" s="193">
        <v>60</v>
      </c>
      <c r="K1021" s="193">
        <v>180</v>
      </c>
      <c r="L1021" s="193">
        <v>712</v>
      </c>
      <c r="M1021" s="193">
        <v>836</v>
      </c>
      <c r="N1021" s="193">
        <v>0</v>
      </c>
      <c r="O1021" s="193">
        <v>60</v>
      </c>
      <c r="P1021" s="193">
        <v>16</v>
      </c>
      <c r="Q1021" s="193">
        <f>1337.6+137.5-0.1</f>
        <v>1475</v>
      </c>
      <c r="R1021" s="193">
        <f>1249.8+0.2</f>
        <v>1250</v>
      </c>
      <c r="S1021" s="193">
        <v>0</v>
      </c>
      <c r="T1021" s="193">
        <f>SUM(H1021:S1021)</f>
        <v>4589</v>
      </c>
      <c r="U1021"/>
      <c r="V1021">
        <f>+PRESUPUESTO22[[#This Row],[EJECUTADO ]]-SUM(PRESUPUESTO22[[#This Row],[   ENERO ]:[DIC]])</f>
        <v>0</v>
      </c>
      <c r="W1021"/>
    </row>
    <row r="1022" spans="1:23" ht="15.95" customHeight="1" x14ac:dyDescent="0.25">
      <c r="A1022" s="52"/>
      <c r="B1022" s="156">
        <v>210202010102</v>
      </c>
      <c r="C1022" s="130" t="str">
        <f t="shared" si="361"/>
        <v>E-210202010102</v>
      </c>
      <c r="D1022" s="130">
        <v>972</v>
      </c>
      <c r="E1022" s="156" t="s">
        <v>69</v>
      </c>
      <c r="F1022" s="216" t="s">
        <v>821</v>
      </c>
      <c r="G1022" s="193">
        <v>14000</v>
      </c>
      <c r="H1022" s="193">
        <v>0</v>
      </c>
      <c r="I1022" s="193">
        <v>0</v>
      </c>
      <c r="J1022" s="193">
        <v>0</v>
      </c>
      <c r="K1022" s="193">
        <v>0</v>
      </c>
      <c r="L1022" s="193">
        <v>0</v>
      </c>
      <c r="M1022" s="193">
        <f>14125.01-0.01</f>
        <v>14125</v>
      </c>
      <c r="N1022" s="193">
        <v>0</v>
      </c>
      <c r="O1022" s="193">
        <v>0</v>
      </c>
      <c r="P1022" s="193">
        <v>0</v>
      </c>
      <c r="Q1022" s="193">
        <v>0</v>
      </c>
      <c r="R1022" s="193">
        <v>0</v>
      </c>
      <c r="S1022" s="193">
        <v>0</v>
      </c>
      <c r="T1022" s="193">
        <f>SUM(H1022:S1022)</f>
        <v>14125</v>
      </c>
      <c r="U1022"/>
      <c r="V1022">
        <f>+PRESUPUESTO22[[#This Row],[EJECUTADO ]]-SUM(PRESUPUESTO22[[#This Row],[   ENERO ]:[DIC]])</f>
        <v>0</v>
      </c>
      <c r="W1022"/>
    </row>
    <row r="1023" spans="1:23" ht="15.95" customHeight="1" x14ac:dyDescent="0.25">
      <c r="A1023" s="52"/>
      <c r="B1023" s="156">
        <v>210202010103</v>
      </c>
      <c r="C1023" s="130" t="str">
        <f t="shared" si="361"/>
        <v>E-210202010103</v>
      </c>
      <c r="D1023" s="130">
        <v>973</v>
      </c>
      <c r="E1023" s="156" t="s">
        <v>69</v>
      </c>
      <c r="F1023" s="216" t="s">
        <v>822</v>
      </c>
      <c r="G1023" s="193">
        <v>0</v>
      </c>
      <c r="H1023" s="193">
        <v>0</v>
      </c>
      <c r="I1023" s="193">
        <v>0</v>
      </c>
      <c r="J1023" s="193">
        <v>0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93">
        <v>0</v>
      </c>
      <c r="R1023" s="193">
        <v>0</v>
      </c>
      <c r="S1023" s="193">
        <v>0</v>
      </c>
      <c r="T1023" s="193">
        <f>SUM(H1023:S1023)</f>
        <v>0</v>
      </c>
      <c r="U1023"/>
      <c r="V1023">
        <f>+PRESUPUESTO22[[#This Row],[EJECUTADO ]]-SUM(PRESUPUESTO22[[#This Row],[   ENERO ]:[DIC]])</f>
        <v>0</v>
      </c>
      <c r="W1023"/>
    </row>
    <row r="1024" spans="1:23" ht="15.95" customHeight="1" x14ac:dyDescent="0.25">
      <c r="A1024" s="52"/>
      <c r="B1024" s="170">
        <v>21020202</v>
      </c>
      <c r="C1024" s="130" t="str">
        <f t="shared" si="361"/>
        <v>E-21020202</v>
      </c>
      <c r="D1024" s="130">
        <v>974</v>
      </c>
      <c r="E1024" s="170" t="s">
        <v>72</v>
      </c>
      <c r="F1024" s="235" t="s">
        <v>168</v>
      </c>
      <c r="G1024" s="236">
        <v>17000</v>
      </c>
      <c r="H1024" s="236">
        <f>SUM(H1025:H1026)</f>
        <v>0</v>
      </c>
      <c r="I1024" s="236">
        <f t="shared" ref="I1024:T1024" si="376">SUM(I1025:I1026)</f>
        <v>0</v>
      </c>
      <c r="J1024" s="236">
        <f t="shared" si="376"/>
        <v>180</v>
      </c>
      <c r="K1024" s="236">
        <f t="shared" si="376"/>
        <v>1256</v>
      </c>
      <c r="L1024" s="236">
        <f t="shared" si="376"/>
        <v>1506</v>
      </c>
      <c r="M1024" s="236">
        <f t="shared" si="376"/>
        <v>1131</v>
      </c>
      <c r="N1024" s="236">
        <f t="shared" si="376"/>
        <v>85</v>
      </c>
      <c r="O1024" s="236">
        <f t="shared" si="376"/>
        <v>0</v>
      </c>
      <c r="P1024" s="236">
        <f t="shared" si="376"/>
        <v>240</v>
      </c>
      <c r="Q1024" s="236">
        <f t="shared" si="376"/>
        <v>701</v>
      </c>
      <c r="R1024" s="236">
        <f t="shared" si="376"/>
        <v>1999</v>
      </c>
      <c r="S1024" s="236">
        <f t="shared" si="376"/>
        <v>0</v>
      </c>
      <c r="T1024" s="236">
        <f t="shared" si="376"/>
        <v>7098</v>
      </c>
      <c r="U1024"/>
      <c r="V1024">
        <f>+PRESUPUESTO22[[#This Row],[EJECUTADO ]]-SUM(PRESUPUESTO22[[#This Row],[   ENERO ]:[DIC]])</f>
        <v>0</v>
      </c>
      <c r="W1024"/>
    </row>
    <row r="1025" spans="1:23" ht="15.95" customHeight="1" x14ac:dyDescent="0.25">
      <c r="A1025" s="52"/>
      <c r="B1025" s="156">
        <v>2102020201</v>
      </c>
      <c r="C1025" s="130" t="str">
        <f t="shared" si="361"/>
        <v>E-2102020201</v>
      </c>
      <c r="D1025" s="130">
        <v>975</v>
      </c>
      <c r="E1025" s="156" t="s">
        <v>69</v>
      </c>
      <c r="F1025" s="216" t="s">
        <v>820</v>
      </c>
      <c r="G1025" s="193">
        <v>0</v>
      </c>
      <c r="H1025" s="193">
        <v>0</v>
      </c>
      <c r="I1025" s="193">
        <v>0</v>
      </c>
      <c r="J1025" s="193">
        <v>180</v>
      </c>
      <c r="K1025" s="193">
        <v>1256</v>
      </c>
      <c r="L1025" s="193">
        <v>1506</v>
      </c>
      <c r="M1025" s="193">
        <v>1131</v>
      </c>
      <c r="N1025" s="193">
        <v>85</v>
      </c>
      <c r="O1025" s="193">
        <v>0</v>
      </c>
      <c r="P1025" s="193">
        <v>240</v>
      </c>
      <c r="Q1025" s="193">
        <v>701</v>
      </c>
      <c r="R1025" s="193">
        <v>1999</v>
      </c>
      <c r="S1025" s="193">
        <v>0</v>
      </c>
      <c r="T1025" s="193">
        <f>SUM(H1025:S1025)</f>
        <v>7098</v>
      </c>
      <c r="U1025"/>
      <c r="V1025">
        <f>+PRESUPUESTO22[[#This Row],[EJECUTADO ]]-SUM(PRESUPUESTO22[[#This Row],[   ENERO ]:[DIC]])</f>
        <v>0</v>
      </c>
      <c r="W1025"/>
    </row>
    <row r="1026" spans="1:23" ht="15.95" customHeight="1" x14ac:dyDescent="0.25">
      <c r="A1026" s="52"/>
      <c r="B1026" s="156">
        <v>2102020202</v>
      </c>
      <c r="C1026" s="130" t="str">
        <f t="shared" si="361"/>
        <v>E-2102020202</v>
      </c>
      <c r="D1026" s="130">
        <v>976</v>
      </c>
      <c r="E1026" s="156" t="s">
        <v>69</v>
      </c>
      <c r="F1026" s="216" t="s">
        <v>823</v>
      </c>
      <c r="G1026" s="193">
        <v>0</v>
      </c>
      <c r="H1026" s="193">
        <v>0</v>
      </c>
      <c r="I1026" s="193">
        <v>0</v>
      </c>
      <c r="J1026" s="193">
        <v>0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93">
        <v>0</v>
      </c>
      <c r="R1026" s="193">
        <v>0</v>
      </c>
      <c r="S1026" s="193">
        <v>0</v>
      </c>
      <c r="T1026" s="193">
        <f>SUM(H1026:S1026)</f>
        <v>0</v>
      </c>
      <c r="U1026"/>
      <c r="V1026">
        <f>+PRESUPUESTO22[[#This Row],[EJECUTADO ]]-SUM(PRESUPUESTO22[[#This Row],[   ENERO ]:[DIC]])</f>
        <v>0</v>
      </c>
      <c r="W1026"/>
    </row>
    <row r="1027" spans="1:23" ht="15.95" customHeight="1" x14ac:dyDescent="0.25">
      <c r="A1027" s="52"/>
      <c r="B1027" s="170">
        <v>21020203</v>
      </c>
      <c r="C1027" s="130" t="str">
        <f t="shared" si="361"/>
        <v>E-21020203</v>
      </c>
      <c r="D1027" s="130">
        <v>977</v>
      </c>
      <c r="E1027" s="170" t="s">
        <v>72</v>
      </c>
      <c r="F1027" s="235" t="s">
        <v>169</v>
      </c>
      <c r="G1027" s="236">
        <v>5050</v>
      </c>
      <c r="H1027" s="236">
        <f>SUM(H1028:H1029)</f>
        <v>0</v>
      </c>
      <c r="I1027" s="236">
        <f t="shared" ref="I1027:T1027" si="377">SUM(I1028:I1029)</f>
        <v>0</v>
      </c>
      <c r="J1027" s="236">
        <f t="shared" si="377"/>
        <v>420</v>
      </c>
      <c r="K1027" s="236">
        <f t="shared" si="377"/>
        <v>840</v>
      </c>
      <c r="L1027" s="236">
        <f t="shared" si="377"/>
        <v>420</v>
      </c>
      <c r="M1027" s="236">
        <f t="shared" si="377"/>
        <v>420</v>
      </c>
      <c r="N1027" s="236">
        <f t="shared" si="377"/>
        <v>180</v>
      </c>
      <c r="O1027" s="236">
        <f t="shared" si="377"/>
        <v>200</v>
      </c>
      <c r="P1027" s="236">
        <f t="shared" si="377"/>
        <v>180</v>
      </c>
      <c r="Q1027" s="236">
        <f t="shared" si="377"/>
        <v>900</v>
      </c>
      <c r="R1027" s="236">
        <f t="shared" si="377"/>
        <v>540</v>
      </c>
      <c r="S1027" s="236">
        <f t="shared" si="377"/>
        <v>0</v>
      </c>
      <c r="T1027" s="236">
        <f t="shared" si="377"/>
        <v>4100</v>
      </c>
      <c r="U1027"/>
      <c r="V1027">
        <f>+PRESUPUESTO22[[#This Row],[EJECUTADO ]]-SUM(PRESUPUESTO22[[#This Row],[   ENERO ]:[DIC]])</f>
        <v>0</v>
      </c>
      <c r="W1027"/>
    </row>
    <row r="1028" spans="1:23" ht="15.95" customHeight="1" x14ac:dyDescent="0.25">
      <c r="A1028" s="52"/>
      <c r="B1028" s="156">
        <v>2102020301</v>
      </c>
      <c r="C1028" s="130" t="str">
        <f t="shared" si="361"/>
        <v>E-2102020301</v>
      </c>
      <c r="D1028" s="130">
        <v>978</v>
      </c>
      <c r="E1028" s="156" t="s">
        <v>69</v>
      </c>
      <c r="F1028" s="216" t="s">
        <v>820</v>
      </c>
      <c r="G1028" s="193">
        <v>0</v>
      </c>
      <c r="H1028" s="193">
        <v>0</v>
      </c>
      <c r="I1028" s="193">
        <v>0</v>
      </c>
      <c r="J1028" s="193">
        <v>420</v>
      </c>
      <c r="K1028" s="193">
        <v>840</v>
      </c>
      <c r="L1028" s="193">
        <f>660-240</f>
        <v>420</v>
      </c>
      <c r="M1028" s="193">
        <f>300+120</f>
        <v>420</v>
      </c>
      <c r="N1028" s="193">
        <v>180</v>
      </c>
      <c r="O1028" s="193">
        <v>200</v>
      </c>
      <c r="P1028" s="193">
        <v>180</v>
      </c>
      <c r="Q1028" s="193">
        <f>840+60</f>
        <v>900</v>
      </c>
      <c r="R1028" s="193">
        <v>540</v>
      </c>
      <c r="S1028" s="193">
        <v>0</v>
      </c>
      <c r="T1028" s="193">
        <f>SUM(H1028:S1028)</f>
        <v>4100</v>
      </c>
      <c r="U1028"/>
      <c r="V1028">
        <f>+PRESUPUESTO22[[#This Row],[EJECUTADO ]]-SUM(PRESUPUESTO22[[#This Row],[   ENERO ]:[DIC]])</f>
        <v>0</v>
      </c>
      <c r="W1028"/>
    </row>
    <row r="1029" spans="1:23" ht="15.95" customHeight="1" x14ac:dyDescent="0.25">
      <c r="A1029" s="52"/>
      <c r="B1029" s="156">
        <v>2102020302</v>
      </c>
      <c r="C1029" s="130" t="str">
        <f t="shared" si="361"/>
        <v>E-2102020302</v>
      </c>
      <c r="D1029" s="130">
        <v>979</v>
      </c>
      <c r="E1029" s="156" t="s">
        <v>69</v>
      </c>
      <c r="F1029" s="216" t="s">
        <v>823</v>
      </c>
      <c r="G1029" s="193">
        <v>0</v>
      </c>
      <c r="H1029" s="193">
        <v>0</v>
      </c>
      <c r="I1029" s="193">
        <v>0</v>
      </c>
      <c r="J1029" s="193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>
        <v>0</v>
      </c>
      <c r="P1029" s="193">
        <v>0</v>
      </c>
      <c r="Q1029" s="193">
        <v>0</v>
      </c>
      <c r="R1029" s="193">
        <v>0</v>
      </c>
      <c r="S1029" s="193">
        <v>0</v>
      </c>
      <c r="T1029" s="193">
        <f>SUM(H1029:S1029)</f>
        <v>0</v>
      </c>
      <c r="U1029"/>
      <c r="V1029">
        <f>+PRESUPUESTO22[[#This Row],[EJECUTADO ]]-SUM(PRESUPUESTO22[[#This Row],[   ENERO ]:[DIC]])</f>
        <v>0</v>
      </c>
      <c r="W1029"/>
    </row>
    <row r="1030" spans="1:23" ht="15.95" customHeight="1" x14ac:dyDescent="0.25">
      <c r="A1030" s="52"/>
      <c r="B1030" s="170">
        <v>21020204</v>
      </c>
      <c r="C1030" s="130" t="str">
        <f t="shared" si="361"/>
        <v>E-21020204</v>
      </c>
      <c r="D1030" s="130">
        <v>980</v>
      </c>
      <c r="E1030" s="170" t="s">
        <v>72</v>
      </c>
      <c r="F1030" s="235" t="s">
        <v>170</v>
      </c>
      <c r="G1030" s="236">
        <v>3250</v>
      </c>
      <c r="H1030" s="236">
        <f>SUM(H1031:H1033)</f>
        <v>0</v>
      </c>
      <c r="I1030" s="236">
        <f t="shared" ref="I1030:T1030" si="378">SUM(I1031:I1033)</f>
        <v>160</v>
      </c>
      <c r="J1030" s="236">
        <f t="shared" si="378"/>
        <v>0</v>
      </c>
      <c r="K1030" s="236">
        <f t="shared" si="378"/>
        <v>320</v>
      </c>
      <c r="L1030" s="236">
        <f t="shared" si="378"/>
        <v>0</v>
      </c>
      <c r="M1030" s="236">
        <f t="shared" si="378"/>
        <v>480</v>
      </c>
      <c r="N1030" s="236">
        <f t="shared" si="378"/>
        <v>0</v>
      </c>
      <c r="O1030" s="236">
        <f t="shared" si="378"/>
        <v>0</v>
      </c>
      <c r="P1030" s="236">
        <f t="shared" si="378"/>
        <v>0</v>
      </c>
      <c r="Q1030" s="236">
        <f t="shared" si="378"/>
        <v>0</v>
      </c>
      <c r="R1030" s="236">
        <f t="shared" si="378"/>
        <v>640</v>
      </c>
      <c r="S1030" s="236">
        <f t="shared" si="378"/>
        <v>0</v>
      </c>
      <c r="T1030" s="236">
        <f t="shared" si="378"/>
        <v>1600</v>
      </c>
      <c r="U1030"/>
      <c r="V1030">
        <f>+PRESUPUESTO22[[#This Row],[EJECUTADO ]]-SUM(PRESUPUESTO22[[#This Row],[   ENERO ]:[DIC]])</f>
        <v>0</v>
      </c>
      <c r="W1030"/>
    </row>
    <row r="1031" spans="1:23" ht="15.95" customHeight="1" x14ac:dyDescent="0.25">
      <c r="A1031" s="52"/>
      <c r="B1031" s="156">
        <v>2102020401</v>
      </c>
      <c r="C1031" s="130" t="str">
        <f t="shared" si="361"/>
        <v>E-2102020401</v>
      </c>
      <c r="D1031" s="130">
        <v>981</v>
      </c>
      <c r="E1031" s="156" t="s">
        <v>69</v>
      </c>
      <c r="F1031" s="216" t="s">
        <v>820</v>
      </c>
      <c r="G1031" s="193">
        <v>0</v>
      </c>
      <c r="H1031" s="193">
        <v>0</v>
      </c>
      <c r="I1031" s="193">
        <v>160</v>
      </c>
      <c r="J1031" s="193">
        <v>0</v>
      </c>
      <c r="K1031" s="193">
        <v>320</v>
      </c>
      <c r="L1031" s="193">
        <v>0</v>
      </c>
      <c r="M1031" s="193">
        <v>480</v>
      </c>
      <c r="N1031" s="193">
        <v>0</v>
      </c>
      <c r="O1031" s="193">
        <v>0</v>
      </c>
      <c r="P1031" s="193">
        <v>0</v>
      </c>
      <c r="Q1031" s="193">
        <v>0</v>
      </c>
      <c r="R1031" s="193">
        <v>640</v>
      </c>
      <c r="S1031" s="193">
        <v>0</v>
      </c>
      <c r="T1031" s="193">
        <f>SUM(H1031:S1031)</f>
        <v>1600</v>
      </c>
      <c r="U1031"/>
      <c r="V1031">
        <f>+PRESUPUESTO22[[#This Row],[EJECUTADO ]]-SUM(PRESUPUESTO22[[#This Row],[   ENERO ]:[DIC]])</f>
        <v>0</v>
      </c>
      <c r="W1031"/>
    </row>
    <row r="1032" spans="1:23" ht="15.75" customHeight="1" x14ac:dyDescent="0.25">
      <c r="A1032" s="52"/>
      <c r="B1032" s="156">
        <v>2102020402</v>
      </c>
      <c r="C1032" s="130" t="str">
        <f t="shared" si="361"/>
        <v>E-2102020402</v>
      </c>
      <c r="D1032" s="130">
        <v>982</v>
      </c>
      <c r="E1032" s="156" t="s">
        <v>69</v>
      </c>
      <c r="F1032" s="216" t="s">
        <v>824</v>
      </c>
      <c r="G1032" s="193">
        <v>0</v>
      </c>
      <c r="H1032" s="193">
        <v>0</v>
      </c>
      <c r="I1032" s="193">
        <v>0</v>
      </c>
      <c r="J1032" s="193">
        <v>0</v>
      </c>
      <c r="K1032" s="193">
        <v>0</v>
      </c>
      <c r="L1032" s="193">
        <v>0</v>
      </c>
      <c r="M1032" s="193">
        <v>0</v>
      </c>
      <c r="N1032" s="193">
        <v>0</v>
      </c>
      <c r="O1032" s="193">
        <v>0</v>
      </c>
      <c r="P1032" s="193">
        <v>0</v>
      </c>
      <c r="Q1032" s="193">
        <v>0</v>
      </c>
      <c r="R1032" s="193">
        <v>0</v>
      </c>
      <c r="S1032" s="193">
        <v>0</v>
      </c>
      <c r="T1032" s="193">
        <f>SUM(H1032:S1032)</f>
        <v>0</v>
      </c>
      <c r="U1032"/>
      <c r="V1032">
        <f>+PRESUPUESTO22[[#This Row],[EJECUTADO ]]-SUM(PRESUPUESTO22[[#This Row],[   ENERO ]:[DIC]])</f>
        <v>0</v>
      </c>
      <c r="W1032"/>
    </row>
    <row r="1033" spans="1:23" ht="15.75" customHeight="1" x14ac:dyDescent="0.25">
      <c r="A1033" s="52"/>
      <c r="B1033" s="156">
        <v>2102020403</v>
      </c>
      <c r="C1033" s="130" t="str">
        <f t="shared" si="361"/>
        <v>E-2102020403</v>
      </c>
      <c r="D1033" s="130">
        <v>983</v>
      </c>
      <c r="E1033" s="156" t="s">
        <v>69</v>
      </c>
      <c r="F1033" s="216" t="s">
        <v>823</v>
      </c>
      <c r="G1033" s="193">
        <v>0</v>
      </c>
      <c r="H1033" s="193">
        <v>0</v>
      </c>
      <c r="I1033" s="193">
        <v>0</v>
      </c>
      <c r="J1033" s="193">
        <v>0</v>
      </c>
      <c r="K1033" s="193">
        <v>0</v>
      </c>
      <c r="L1033" s="193">
        <v>0</v>
      </c>
      <c r="M1033" s="193">
        <v>0</v>
      </c>
      <c r="N1033" s="193">
        <v>0</v>
      </c>
      <c r="O1033" s="193">
        <v>0</v>
      </c>
      <c r="P1033" s="193">
        <v>0</v>
      </c>
      <c r="Q1033" s="193">
        <v>0</v>
      </c>
      <c r="R1033" s="193">
        <v>0</v>
      </c>
      <c r="S1033" s="193">
        <v>0</v>
      </c>
      <c r="T1033" s="193">
        <f>SUM(H1033:S1033)</f>
        <v>0</v>
      </c>
      <c r="U1033"/>
      <c r="V1033">
        <f>+PRESUPUESTO22[[#This Row],[EJECUTADO ]]-SUM(PRESUPUESTO22[[#This Row],[   ENERO ]:[DIC]])</f>
        <v>0</v>
      </c>
      <c r="W1033"/>
    </row>
    <row r="1034" spans="1:23" ht="15.95" customHeight="1" thickBot="1" x14ac:dyDescent="0.3">
      <c r="A1034" s="49">
        <v>22</v>
      </c>
      <c r="B1034" s="131">
        <v>22</v>
      </c>
      <c r="C1034" s="130" t="str">
        <f t="shared" si="361"/>
        <v>E-22</v>
      </c>
      <c r="D1034" s="130">
        <v>984</v>
      </c>
      <c r="E1034" s="131" t="s">
        <v>67</v>
      </c>
      <c r="F1034" s="50" t="s">
        <v>46</v>
      </c>
      <c r="G1034" s="188">
        <v>25000</v>
      </c>
      <c r="H1034" s="188">
        <f t="shared" ref="H1034:T1034" si="379">+H1035+H1059</f>
        <v>2234</v>
      </c>
      <c r="I1034" s="188">
        <f t="shared" si="379"/>
        <v>2399</v>
      </c>
      <c r="J1034" s="188">
        <f t="shared" si="379"/>
        <v>3010</v>
      </c>
      <c r="K1034" s="188">
        <f t="shared" si="379"/>
        <v>2151</v>
      </c>
      <c r="L1034" s="188">
        <f t="shared" si="379"/>
        <v>2151</v>
      </c>
      <c r="M1034" s="188">
        <f t="shared" si="379"/>
        <v>3408</v>
      </c>
      <c r="N1034" s="188">
        <f t="shared" si="379"/>
        <v>6671</v>
      </c>
      <c r="O1034" s="188">
        <f t="shared" si="379"/>
        <v>5327</v>
      </c>
      <c r="P1034" s="188">
        <f t="shared" si="379"/>
        <v>4973</v>
      </c>
      <c r="Q1034" s="188">
        <f t="shared" si="379"/>
        <v>4830</v>
      </c>
      <c r="R1034" s="188">
        <f t="shared" si="379"/>
        <v>4846</v>
      </c>
      <c r="S1034" s="188">
        <f t="shared" si="379"/>
        <v>0</v>
      </c>
      <c r="T1034" s="188">
        <f t="shared" si="379"/>
        <v>42000</v>
      </c>
      <c r="U1034"/>
      <c r="V1034">
        <f>+PRESUPUESTO22[[#This Row],[EJECUTADO ]]-SUM(PRESUPUESTO22[[#This Row],[   ENERO ]:[DIC]])</f>
        <v>0</v>
      </c>
      <c r="W1034" s="7" t="s">
        <v>1</v>
      </c>
    </row>
    <row r="1035" spans="1:23" ht="15.95" customHeight="1" thickBot="1" x14ac:dyDescent="0.3">
      <c r="A1035" s="56">
        <v>1</v>
      </c>
      <c r="B1035" s="157">
        <v>2201</v>
      </c>
      <c r="C1035" s="130" t="str">
        <f t="shared" si="361"/>
        <v>E-2201</v>
      </c>
      <c r="D1035" s="130">
        <v>985</v>
      </c>
      <c r="E1035" s="173" t="s">
        <v>69</v>
      </c>
      <c r="F1035" s="234" t="s">
        <v>825</v>
      </c>
      <c r="G1035" s="234">
        <f t="shared" ref="G1035:T1035" si="380">+G1036+G1050</f>
        <v>13105</v>
      </c>
      <c r="H1035" s="234">
        <f t="shared" si="380"/>
        <v>1285</v>
      </c>
      <c r="I1035" s="234">
        <f t="shared" si="380"/>
        <v>1285</v>
      </c>
      <c r="J1035" s="234">
        <f t="shared" si="380"/>
        <v>1326</v>
      </c>
      <c r="K1035" s="234">
        <f t="shared" si="380"/>
        <v>1285</v>
      </c>
      <c r="L1035" s="234">
        <f t="shared" si="380"/>
        <v>1285</v>
      </c>
      <c r="M1035" s="234">
        <f t="shared" si="380"/>
        <v>1977</v>
      </c>
      <c r="N1035" s="234">
        <f t="shared" si="380"/>
        <v>1285</v>
      </c>
      <c r="O1035" s="234">
        <f t="shared" si="380"/>
        <v>2201</v>
      </c>
      <c r="P1035" s="234">
        <f t="shared" si="380"/>
        <v>1847</v>
      </c>
      <c r="Q1035" s="234">
        <f t="shared" si="380"/>
        <v>1591</v>
      </c>
      <c r="R1035" s="234">
        <f t="shared" si="380"/>
        <v>1720</v>
      </c>
      <c r="S1035" s="234">
        <f t="shared" si="380"/>
        <v>0</v>
      </c>
      <c r="T1035" s="234">
        <f t="shared" si="380"/>
        <v>17087</v>
      </c>
      <c r="U1035"/>
      <c r="V1035">
        <f>+PRESUPUESTO22[[#This Row],[EJECUTADO ]]-SUM(PRESUPUESTO22[[#This Row],[   ENERO ]:[DIC]])</f>
        <v>0</v>
      </c>
    </row>
    <row r="1036" spans="1:23" ht="15.95" customHeight="1" x14ac:dyDescent="0.25">
      <c r="A1036" s="48">
        <v>11</v>
      </c>
      <c r="B1036" s="174">
        <v>220101</v>
      </c>
      <c r="C1036" s="130" t="str">
        <f t="shared" si="361"/>
        <v>E-220101</v>
      </c>
      <c r="D1036" s="130">
        <v>986</v>
      </c>
      <c r="E1036" s="174" t="s">
        <v>69</v>
      </c>
      <c r="F1036" s="374" t="s">
        <v>826</v>
      </c>
      <c r="G1036" s="192">
        <f t="shared" ref="G1036:T1036" si="381">+G1037+G1039+G1044+G1046+G1048</f>
        <v>2725</v>
      </c>
      <c r="H1036" s="192">
        <f t="shared" si="381"/>
        <v>419</v>
      </c>
      <c r="I1036" s="192">
        <f t="shared" si="381"/>
        <v>419</v>
      </c>
      <c r="J1036" s="192">
        <f t="shared" si="381"/>
        <v>460</v>
      </c>
      <c r="K1036" s="192">
        <f t="shared" si="381"/>
        <v>419</v>
      </c>
      <c r="L1036" s="192">
        <f t="shared" si="381"/>
        <v>419</v>
      </c>
      <c r="M1036" s="192">
        <f t="shared" si="381"/>
        <v>419</v>
      </c>
      <c r="N1036" s="192">
        <f t="shared" si="381"/>
        <v>419</v>
      </c>
      <c r="O1036" s="192">
        <f t="shared" si="381"/>
        <v>985</v>
      </c>
      <c r="P1036" s="192">
        <f t="shared" si="381"/>
        <v>981</v>
      </c>
      <c r="Q1036" s="192">
        <f t="shared" si="381"/>
        <v>725</v>
      </c>
      <c r="R1036" s="192">
        <f t="shared" si="381"/>
        <v>730</v>
      </c>
      <c r="S1036" s="192">
        <f t="shared" si="381"/>
        <v>0</v>
      </c>
      <c r="T1036" s="192">
        <f t="shared" si="381"/>
        <v>6395</v>
      </c>
      <c r="U1036"/>
      <c r="V1036">
        <f>+PRESUPUESTO22[[#This Row],[EJECUTADO ]]-SUM(PRESUPUESTO22[[#This Row],[   ENERO ]:[DIC]])</f>
        <v>0</v>
      </c>
    </row>
    <row r="1037" spans="1:23" ht="15.95" customHeight="1" x14ac:dyDescent="0.25">
      <c r="A1037" s="48">
        <v>1</v>
      </c>
      <c r="B1037" s="170">
        <v>22010102</v>
      </c>
      <c r="C1037" s="130" t="str">
        <f t="shared" si="361"/>
        <v>E-22010102</v>
      </c>
      <c r="D1037" s="130">
        <v>987</v>
      </c>
      <c r="E1037" s="170" t="s">
        <v>69</v>
      </c>
      <c r="F1037" s="235" t="s">
        <v>827</v>
      </c>
      <c r="G1037" s="236">
        <f t="shared" ref="G1037:T1037" si="382">SUM(G1038:G1038)</f>
        <v>0</v>
      </c>
      <c r="H1037" s="236">
        <f t="shared" si="382"/>
        <v>0</v>
      </c>
      <c r="I1037" s="236">
        <f t="shared" si="382"/>
        <v>0</v>
      </c>
      <c r="J1037" s="236">
        <f t="shared" si="382"/>
        <v>41</v>
      </c>
      <c r="K1037" s="236">
        <f t="shared" si="382"/>
        <v>0</v>
      </c>
      <c r="L1037" s="236">
        <f t="shared" si="382"/>
        <v>0</v>
      </c>
      <c r="M1037" s="236">
        <f t="shared" si="382"/>
        <v>0</v>
      </c>
      <c r="N1037" s="236">
        <f t="shared" si="382"/>
        <v>0</v>
      </c>
      <c r="O1037" s="236">
        <f t="shared" si="382"/>
        <v>0</v>
      </c>
      <c r="P1037" s="236">
        <f t="shared" si="382"/>
        <v>0</v>
      </c>
      <c r="Q1037" s="236">
        <f t="shared" si="382"/>
        <v>0</v>
      </c>
      <c r="R1037" s="236">
        <f t="shared" si="382"/>
        <v>0</v>
      </c>
      <c r="S1037" s="236">
        <f t="shared" si="382"/>
        <v>0</v>
      </c>
      <c r="T1037" s="236">
        <f t="shared" si="382"/>
        <v>41</v>
      </c>
      <c r="U1037"/>
      <c r="V1037">
        <f>+PRESUPUESTO22[[#This Row],[EJECUTADO ]]-SUM(PRESUPUESTO22[[#This Row],[   ENERO ]:[DIC]])</f>
        <v>0</v>
      </c>
    </row>
    <row r="1038" spans="1:23" ht="15.95" customHeight="1" x14ac:dyDescent="0.25">
      <c r="A1038" s="52" t="s">
        <v>1</v>
      </c>
      <c r="B1038" s="175">
        <v>2201010201</v>
      </c>
      <c r="C1038" s="130" t="str">
        <f t="shared" si="361"/>
        <v>E-2201010201</v>
      </c>
      <c r="D1038" s="130">
        <v>988</v>
      </c>
      <c r="E1038" s="175" t="s">
        <v>72</v>
      </c>
      <c r="F1038" s="240" t="s">
        <v>828</v>
      </c>
      <c r="G1038" s="193">
        <v>0</v>
      </c>
      <c r="H1038" s="193">
        <v>0</v>
      </c>
      <c r="I1038" s="193">
        <v>0</v>
      </c>
      <c r="J1038" s="193">
        <f>40.5+0.5</f>
        <v>41</v>
      </c>
      <c r="K1038" s="193">
        <v>0</v>
      </c>
      <c r="L1038" s="193">
        <v>0</v>
      </c>
      <c r="M1038" s="193">
        <v>0</v>
      </c>
      <c r="N1038" s="193">
        <v>0</v>
      </c>
      <c r="O1038" s="193">
        <v>0</v>
      </c>
      <c r="P1038" s="193">
        <v>0</v>
      </c>
      <c r="Q1038" s="193">
        <v>0</v>
      </c>
      <c r="R1038" s="193">
        <v>0</v>
      </c>
      <c r="S1038" s="193">
        <v>0</v>
      </c>
      <c r="T1038" s="193">
        <f>SUM(H1038:S1038)</f>
        <v>41</v>
      </c>
      <c r="U1038"/>
      <c r="V1038">
        <f>+PRESUPUESTO22[[#This Row],[EJECUTADO ]]-SUM(PRESUPUESTO22[[#This Row],[   ENERO ]:[DIC]])</f>
        <v>0</v>
      </c>
    </row>
    <row r="1039" spans="1:23" ht="15.95" customHeight="1" x14ac:dyDescent="0.25">
      <c r="A1039" s="48">
        <v>2</v>
      </c>
      <c r="B1039" s="170">
        <v>22010103</v>
      </c>
      <c r="C1039" s="130" t="str">
        <f t="shared" si="361"/>
        <v>E-22010103</v>
      </c>
      <c r="D1039" s="130">
        <v>989</v>
      </c>
      <c r="E1039" s="170" t="s">
        <v>69</v>
      </c>
      <c r="F1039" s="235" t="s">
        <v>829</v>
      </c>
      <c r="G1039" s="236">
        <f t="shared" ref="G1039:T1039" si="383">SUM(G1040:G1043)</f>
        <v>0</v>
      </c>
      <c r="H1039" s="236">
        <f t="shared" si="383"/>
        <v>280</v>
      </c>
      <c r="I1039" s="236">
        <f t="shared" si="383"/>
        <v>280</v>
      </c>
      <c r="J1039" s="236">
        <f t="shared" si="383"/>
        <v>280</v>
      </c>
      <c r="K1039" s="236">
        <f t="shared" si="383"/>
        <v>280</v>
      </c>
      <c r="L1039" s="236">
        <f t="shared" si="383"/>
        <v>280</v>
      </c>
      <c r="M1039" s="236">
        <f t="shared" si="383"/>
        <v>280</v>
      </c>
      <c r="N1039" s="236">
        <f t="shared" si="383"/>
        <v>280</v>
      </c>
      <c r="O1039" s="236">
        <f t="shared" si="383"/>
        <v>280</v>
      </c>
      <c r="P1039" s="236">
        <f t="shared" si="383"/>
        <v>280</v>
      </c>
      <c r="Q1039" s="236">
        <f t="shared" si="383"/>
        <v>280</v>
      </c>
      <c r="R1039" s="236">
        <f t="shared" si="383"/>
        <v>280</v>
      </c>
      <c r="S1039" s="236">
        <f t="shared" si="383"/>
        <v>0</v>
      </c>
      <c r="T1039" s="236">
        <f t="shared" si="383"/>
        <v>3080</v>
      </c>
      <c r="U1039"/>
      <c r="V1039">
        <f>+PRESUPUESTO22[[#This Row],[EJECUTADO ]]-SUM(PRESUPUESTO22[[#This Row],[   ENERO ]:[DIC]])</f>
        <v>0</v>
      </c>
    </row>
    <row r="1040" spans="1:23" ht="12.75" customHeight="1" x14ac:dyDescent="0.25">
      <c r="A1040" s="52"/>
      <c r="B1040" s="176">
        <v>2201010301</v>
      </c>
      <c r="C1040" s="130" t="str">
        <f t="shared" si="361"/>
        <v>E-2201010301</v>
      </c>
      <c r="D1040" s="130">
        <v>990</v>
      </c>
      <c r="E1040" s="176" t="s">
        <v>72</v>
      </c>
      <c r="F1040" s="241" t="s">
        <v>830</v>
      </c>
      <c r="G1040" s="193">
        <v>0</v>
      </c>
      <c r="H1040" s="193">
        <v>70</v>
      </c>
      <c r="I1040" s="193">
        <v>70</v>
      </c>
      <c r="J1040" s="193">
        <v>70</v>
      </c>
      <c r="K1040" s="193">
        <v>70</v>
      </c>
      <c r="L1040" s="193">
        <v>70</v>
      </c>
      <c r="M1040" s="193">
        <v>70</v>
      </c>
      <c r="N1040" s="193">
        <v>70</v>
      </c>
      <c r="O1040" s="193">
        <v>70</v>
      </c>
      <c r="P1040" s="193">
        <v>70</v>
      </c>
      <c r="Q1040" s="193">
        <v>70</v>
      </c>
      <c r="R1040" s="193">
        <v>70</v>
      </c>
      <c r="S1040" s="193">
        <v>0</v>
      </c>
      <c r="T1040" s="193">
        <f>SUM(H1040:S1040)</f>
        <v>770</v>
      </c>
      <c r="U1040"/>
      <c r="V1040">
        <f>+PRESUPUESTO22[[#This Row],[EJECUTADO ]]-SUM(PRESUPUESTO22[[#This Row],[   ENERO ]:[DIC]])</f>
        <v>0</v>
      </c>
    </row>
    <row r="1041" spans="1:23" ht="12.75" customHeight="1" x14ac:dyDescent="0.25">
      <c r="A1041" s="52"/>
      <c r="B1041" s="176">
        <v>2201010302</v>
      </c>
      <c r="C1041" s="130" t="str">
        <f t="shared" si="361"/>
        <v>E-2201010302</v>
      </c>
      <c r="D1041" s="130">
        <v>991</v>
      </c>
      <c r="E1041" s="176" t="s">
        <v>72</v>
      </c>
      <c r="F1041" s="241" t="s">
        <v>831</v>
      </c>
      <c r="G1041" s="193">
        <v>0</v>
      </c>
      <c r="H1041" s="193">
        <v>70</v>
      </c>
      <c r="I1041" s="193">
        <v>70</v>
      </c>
      <c r="J1041" s="193">
        <v>70</v>
      </c>
      <c r="K1041" s="193">
        <v>70</v>
      </c>
      <c r="L1041" s="193">
        <v>70</v>
      </c>
      <c r="M1041" s="193">
        <v>70</v>
      </c>
      <c r="N1041" s="193">
        <v>70</v>
      </c>
      <c r="O1041" s="193">
        <v>70</v>
      </c>
      <c r="P1041" s="193">
        <v>70</v>
      </c>
      <c r="Q1041" s="193">
        <v>70</v>
      </c>
      <c r="R1041" s="193">
        <v>70</v>
      </c>
      <c r="S1041" s="193">
        <v>0</v>
      </c>
      <c r="T1041" s="193">
        <f>SUM(H1041:S1041)</f>
        <v>770</v>
      </c>
      <c r="U1041"/>
      <c r="V1041">
        <f>+PRESUPUESTO22[[#This Row],[EJECUTADO ]]-SUM(PRESUPUESTO22[[#This Row],[   ENERO ]:[DIC]])</f>
        <v>0</v>
      </c>
    </row>
    <row r="1042" spans="1:23" ht="12.75" customHeight="1" x14ac:dyDescent="0.25">
      <c r="A1042" s="52"/>
      <c r="B1042" s="176">
        <v>2201010303</v>
      </c>
      <c r="C1042" s="130" t="str">
        <f t="shared" si="361"/>
        <v>E-2201010303</v>
      </c>
      <c r="D1042" s="130">
        <v>992</v>
      </c>
      <c r="E1042" s="176" t="s">
        <v>72</v>
      </c>
      <c r="F1042" s="241" t="s">
        <v>832</v>
      </c>
      <c r="G1042" s="193">
        <v>0</v>
      </c>
      <c r="H1042" s="193">
        <v>70</v>
      </c>
      <c r="I1042" s="193">
        <v>70</v>
      </c>
      <c r="J1042" s="193">
        <v>70</v>
      </c>
      <c r="K1042" s="193">
        <v>70</v>
      </c>
      <c r="L1042" s="193">
        <v>70</v>
      </c>
      <c r="M1042" s="193">
        <v>70</v>
      </c>
      <c r="N1042" s="193">
        <v>70</v>
      </c>
      <c r="O1042" s="193">
        <v>70</v>
      </c>
      <c r="P1042" s="193">
        <v>70</v>
      </c>
      <c r="Q1042" s="193">
        <v>70</v>
      </c>
      <c r="R1042" s="193">
        <v>70</v>
      </c>
      <c r="S1042" s="193">
        <v>0</v>
      </c>
      <c r="T1042" s="193">
        <f>SUM(H1042:S1042)</f>
        <v>770</v>
      </c>
      <c r="U1042"/>
      <c r="V1042">
        <f>+PRESUPUESTO22[[#This Row],[EJECUTADO ]]-SUM(PRESUPUESTO22[[#This Row],[   ENERO ]:[DIC]])</f>
        <v>0</v>
      </c>
    </row>
    <row r="1043" spans="1:23" ht="12.75" customHeight="1" x14ac:dyDescent="0.25">
      <c r="A1043" s="52"/>
      <c r="B1043" s="176">
        <v>2201010304</v>
      </c>
      <c r="C1043" s="130" t="str">
        <f t="shared" si="361"/>
        <v>E-2201010304</v>
      </c>
      <c r="D1043" s="130">
        <v>993</v>
      </c>
      <c r="E1043" s="176" t="s">
        <v>72</v>
      </c>
      <c r="F1043" s="241" t="s">
        <v>833</v>
      </c>
      <c r="G1043" s="193">
        <v>0</v>
      </c>
      <c r="H1043" s="193">
        <v>70</v>
      </c>
      <c r="I1043" s="193">
        <v>70</v>
      </c>
      <c r="J1043" s="193">
        <v>70</v>
      </c>
      <c r="K1043" s="193">
        <v>70</v>
      </c>
      <c r="L1043" s="193">
        <v>70</v>
      </c>
      <c r="M1043" s="193">
        <v>70</v>
      </c>
      <c r="N1043" s="193">
        <v>70</v>
      </c>
      <c r="O1043" s="193">
        <v>70</v>
      </c>
      <c r="P1043" s="193">
        <v>70</v>
      </c>
      <c r="Q1043" s="193">
        <v>70</v>
      </c>
      <c r="R1043" s="193">
        <v>70</v>
      </c>
      <c r="S1043" s="193">
        <v>0</v>
      </c>
      <c r="T1043" s="193">
        <f>SUM(H1043:S1043)</f>
        <v>770</v>
      </c>
      <c r="U1043"/>
      <c r="V1043">
        <f>+PRESUPUESTO22[[#This Row],[EJECUTADO ]]-SUM(PRESUPUESTO22[[#This Row],[   ENERO ]:[DIC]])</f>
        <v>0</v>
      </c>
    </row>
    <row r="1044" spans="1:23" ht="15.95" customHeight="1" x14ac:dyDescent="0.25">
      <c r="A1044" s="48">
        <v>3</v>
      </c>
      <c r="B1044" s="170">
        <v>22010104</v>
      </c>
      <c r="C1044" s="130" t="str">
        <f t="shared" si="361"/>
        <v>E-22010104</v>
      </c>
      <c r="D1044" s="130">
        <v>994</v>
      </c>
      <c r="E1044" s="170" t="s">
        <v>69</v>
      </c>
      <c r="F1044" s="235" t="s">
        <v>834</v>
      </c>
      <c r="G1044" s="236">
        <f>SUM(G1045:G1045)</f>
        <v>0</v>
      </c>
      <c r="H1044" s="236">
        <f>SUM(H1045:H1045)</f>
        <v>56</v>
      </c>
      <c r="I1044" s="236">
        <f t="shared" ref="I1044:T1044" si="384">SUM(I1045:I1045)</f>
        <v>56</v>
      </c>
      <c r="J1044" s="236">
        <f t="shared" si="384"/>
        <v>56</v>
      </c>
      <c r="K1044" s="236">
        <f t="shared" si="384"/>
        <v>56</v>
      </c>
      <c r="L1044" s="236">
        <f t="shared" si="384"/>
        <v>56</v>
      </c>
      <c r="M1044" s="236">
        <f t="shared" si="384"/>
        <v>56</v>
      </c>
      <c r="N1044" s="236">
        <f t="shared" si="384"/>
        <v>56</v>
      </c>
      <c r="O1044" s="236">
        <f t="shared" si="384"/>
        <v>56</v>
      </c>
      <c r="P1044" s="236">
        <f t="shared" si="384"/>
        <v>56</v>
      </c>
      <c r="Q1044" s="236">
        <f t="shared" si="384"/>
        <v>56</v>
      </c>
      <c r="R1044" s="236">
        <f t="shared" si="384"/>
        <v>56</v>
      </c>
      <c r="S1044" s="236">
        <f t="shared" si="384"/>
        <v>0</v>
      </c>
      <c r="T1044" s="236">
        <f t="shared" si="384"/>
        <v>616</v>
      </c>
      <c r="U1044"/>
      <c r="V1044">
        <f>+PRESUPUESTO22[[#This Row],[EJECUTADO ]]-SUM(PRESUPUESTO22[[#This Row],[   ENERO ]:[DIC]])</f>
        <v>0</v>
      </c>
    </row>
    <row r="1045" spans="1:23" ht="26.25" customHeight="1" x14ac:dyDescent="0.25">
      <c r="A1045" s="52">
        <v>1</v>
      </c>
      <c r="B1045" s="176">
        <v>2201010401</v>
      </c>
      <c r="C1045" s="130" t="str">
        <f t="shared" si="361"/>
        <v>E-2201010401</v>
      </c>
      <c r="D1045" s="130">
        <v>995</v>
      </c>
      <c r="E1045" s="176" t="s">
        <v>72</v>
      </c>
      <c r="F1045" s="241" t="s">
        <v>835</v>
      </c>
      <c r="G1045" s="193">
        <v>0</v>
      </c>
      <c r="H1045" s="193">
        <v>56</v>
      </c>
      <c r="I1045" s="193">
        <v>56</v>
      </c>
      <c r="J1045" s="193">
        <v>56</v>
      </c>
      <c r="K1045" s="193">
        <v>56</v>
      </c>
      <c r="L1045" s="193">
        <v>56</v>
      </c>
      <c r="M1045" s="193">
        <v>56</v>
      </c>
      <c r="N1045" s="193">
        <v>56</v>
      </c>
      <c r="O1045" s="193">
        <v>56</v>
      </c>
      <c r="P1045" s="193">
        <v>56</v>
      </c>
      <c r="Q1045" s="193">
        <v>56</v>
      </c>
      <c r="R1045" s="193">
        <v>56</v>
      </c>
      <c r="S1045" s="193">
        <v>0</v>
      </c>
      <c r="T1045" s="193">
        <f>SUM(H1045:S1045)</f>
        <v>616</v>
      </c>
      <c r="U1045"/>
      <c r="V1045">
        <f>+PRESUPUESTO22[[#This Row],[EJECUTADO ]]-SUM(PRESUPUESTO22[[#This Row],[   ENERO ]:[DIC]])</f>
        <v>0</v>
      </c>
    </row>
    <row r="1046" spans="1:23" ht="15.95" customHeight="1" x14ac:dyDescent="0.25">
      <c r="A1046" s="48">
        <v>4</v>
      </c>
      <c r="B1046" s="170">
        <v>22010105</v>
      </c>
      <c r="C1046" s="130" t="str">
        <f t="shared" si="361"/>
        <v>E-22010105</v>
      </c>
      <c r="D1046" s="130">
        <v>996</v>
      </c>
      <c r="E1046" s="170" t="s">
        <v>69</v>
      </c>
      <c r="F1046" s="235" t="s">
        <v>836</v>
      </c>
      <c r="G1046" s="236">
        <f>SUM(G1047:G1047)</f>
        <v>2725</v>
      </c>
      <c r="H1046" s="236">
        <f>SUM(H1047:H1047)</f>
        <v>0</v>
      </c>
      <c r="I1046" s="236">
        <f t="shared" ref="I1046:T1046" si="385">SUM(I1047:I1047)</f>
        <v>0</v>
      </c>
      <c r="J1046" s="236">
        <f t="shared" si="385"/>
        <v>0</v>
      </c>
      <c r="K1046" s="236">
        <f t="shared" si="385"/>
        <v>0</v>
      </c>
      <c r="L1046" s="236">
        <f t="shared" si="385"/>
        <v>0</v>
      </c>
      <c r="M1046" s="236">
        <f t="shared" si="385"/>
        <v>0</v>
      </c>
      <c r="N1046" s="236">
        <f t="shared" si="385"/>
        <v>0</v>
      </c>
      <c r="O1046" s="236">
        <f t="shared" si="385"/>
        <v>566</v>
      </c>
      <c r="P1046" s="236">
        <f t="shared" si="385"/>
        <v>562</v>
      </c>
      <c r="Q1046" s="236">
        <f t="shared" si="385"/>
        <v>306</v>
      </c>
      <c r="R1046" s="236">
        <f t="shared" si="385"/>
        <v>311</v>
      </c>
      <c r="S1046" s="236">
        <f t="shared" si="385"/>
        <v>0</v>
      </c>
      <c r="T1046" s="236">
        <f t="shared" si="385"/>
        <v>1745</v>
      </c>
      <c r="U1046"/>
      <c r="V1046">
        <f>+PRESUPUESTO22[[#This Row],[EJECUTADO ]]-SUM(PRESUPUESTO22[[#This Row],[   ENERO ]:[DIC]])</f>
        <v>0</v>
      </c>
    </row>
    <row r="1047" spans="1:23" ht="16.5" customHeight="1" x14ac:dyDescent="0.25">
      <c r="A1047" s="48" t="s">
        <v>1</v>
      </c>
      <c r="B1047" s="177">
        <v>2201010501</v>
      </c>
      <c r="C1047" s="130" t="str">
        <f t="shared" si="361"/>
        <v>E-2201010501</v>
      </c>
      <c r="D1047" s="130">
        <v>997</v>
      </c>
      <c r="E1047" s="177" t="s">
        <v>72</v>
      </c>
      <c r="F1047" s="242" t="s">
        <v>837</v>
      </c>
      <c r="G1047" s="193">
        <v>2725</v>
      </c>
      <c r="H1047" s="193">
        <v>0</v>
      </c>
      <c r="I1047" s="193">
        <v>0</v>
      </c>
      <c r="J1047" s="193">
        <v>0</v>
      </c>
      <c r="K1047" s="193">
        <v>0</v>
      </c>
      <c r="L1047" s="193">
        <v>0</v>
      </c>
      <c r="M1047" s="193">
        <v>0</v>
      </c>
      <c r="N1047" s="193">
        <v>0</v>
      </c>
      <c r="O1047" s="193">
        <f>255.04+311.39-0.43</f>
        <v>566</v>
      </c>
      <c r="P1047" s="193">
        <f>250.99+311.39-0.38</f>
        <v>562</v>
      </c>
      <c r="Q1047" s="193">
        <f>305.69+0.31</f>
        <v>306</v>
      </c>
      <c r="R1047" s="193">
        <f>311.39-0.39</f>
        <v>311</v>
      </c>
      <c r="S1047" s="193">
        <v>0</v>
      </c>
      <c r="T1047" s="193">
        <f>SUM(H1047:S1047)</f>
        <v>1745</v>
      </c>
      <c r="U1047"/>
      <c r="V1047">
        <f>+PRESUPUESTO22[[#This Row],[EJECUTADO ]]-SUM(PRESUPUESTO22[[#This Row],[   ENERO ]:[DIC]])</f>
        <v>0</v>
      </c>
    </row>
    <row r="1048" spans="1:23" ht="15.95" customHeight="1" x14ac:dyDescent="0.25">
      <c r="A1048" s="48">
        <v>5</v>
      </c>
      <c r="B1048" s="170">
        <v>22010106</v>
      </c>
      <c r="C1048" s="130" t="str">
        <f t="shared" si="361"/>
        <v>E-22010106</v>
      </c>
      <c r="D1048" s="130">
        <v>998</v>
      </c>
      <c r="E1048" s="170" t="s">
        <v>69</v>
      </c>
      <c r="F1048" s="235" t="s">
        <v>838</v>
      </c>
      <c r="G1048" s="236">
        <f>SUM(G1049:G1049)</f>
        <v>0</v>
      </c>
      <c r="H1048" s="236">
        <f>SUM(H1049:H1049)</f>
        <v>83</v>
      </c>
      <c r="I1048" s="236">
        <f t="shared" ref="I1048:T1048" si="386">SUM(I1049:I1049)</f>
        <v>83</v>
      </c>
      <c r="J1048" s="236">
        <f t="shared" si="386"/>
        <v>83</v>
      </c>
      <c r="K1048" s="236">
        <f t="shared" si="386"/>
        <v>83</v>
      </c>
      <c r="L1048" s="236">
        <f t="shared" si="386"/>
        <v>83</v>
      </c>
      <c r="M1048" s="236">
        <f t="shared" si="386"/>
        <v>83</v>
      </c>
      <c r="N1048" s="236">
        <f t="shared" si="386"/>
        <v>83</v>
      </c>
      <c r="O1048" s="236">
        <f t="shared" si="386"/>
        <v>83</v>
      </c>
      <c r="P1048" s="236">
        <f t="shared" si="386"/>
        <v>83</v>
      </c>
      <c r="Q1048" s="236">
        <f t="shared" si="386"/>
        <v>83</v>
      </c>
      <c r="R1048" s="236">
        <f t="shared" si="386"/>
        <v>83</v>
      </c>
      <c r="S1048" s="236">
        <f t="shared" si="386"/>
        <v>0</v>
      </c>
      <c r="T1048" s="236">
        <f t="shared" si="386"/>
        <v>913</v>
      </c>
      <c r="U1048"/>
      <c r="V1048">
        <f>+PRESUPUESTO22[[#This Row],[EJECUTADO ]]-SUM(PRESUPUESTO22[[#This Row],[   ENERO ]:[DIC]])</f>
        <v>0</v>
      </c>
      <c r="W1048" s="7" t="s">
        <v>1</v>
      </c>
    </row>
    <row r="1049" spans="1:23" ht="20.100000000000001" customHeight="1" x14ac:dyDescent="0.25">
      <c r="A1049" s="48">
        <v>1</v>
      </c>
      <c r="B1049" s="177">
        <v>2201010601</v>
      </c>
      <c r="C1049" s="130" t="str">
        <f t="shared" si="361"/>
        <v>E-2201010601</v>
      </c>
      <c r="D1049" s="130">
        <v>999</v>
      </c>
      <c r="E1049" s="177" t="s">
        <v>72</v>
      </c>
      <c r="F1049" s="242" t="s">
        <v>839</v>
      </c>
      <c r="G1049" s="193">
        <v>0</v>
      </c>
      <c r="H1049" s="193">
        <v>83</v>
      </c>
      <c r="I1049" s="193">
        <v>83</v>
      </c>
      <c r="J1049" s="193">
        <v>83</v>
      </c>
      <c r="K1049" s="193">
        <v>83</v>
      </c>
      <c r="L1049" s="193">
        <v>83</v>
      </c>
      <c r="M1049" s="193">
        <v>83</v>
      </c>
      <c r="N1049" s="193">
        <v>83</v>
      </c>
      <c r="O1049" s="193">
        <v>83</v>
      </c>
      <c r="P1049" s="193">
        <v>83</v>
      </c>
      <c r="Q1049" s="193">
        <v>83</v>
      </c>
      <c r="R1049" s="193">
        <v>83</v>
      </c>
      <c r="S1049" s="193">
        <v>0</v>
      </c>
      <c r="T1049" s="193">
        <f>SUM(H1049:S1049)</f>
        <v>913</v>
      </c>
      <c r="U1049"/>
      <c r="V1049">
        <f>+PRESUPUESTO22[[#This Row],[EJECUTADO ]]-SUM(PRESUPUESTO22[[#This Row],[   ENERO ]:[DIC]])</f>
        <v>0</v>
      </c>
    </row>
    <row r="1050" spans="1:23" ht="15.95" customHeight="1" x14ac:dyDescent="0.25">
      <c r="A1050" s="48">
        <v>13</v>
      </c>
      <c r="B1050" s="174">
        <v>220102</v>
      </c>
      <c r="C1050" s="130" t="str">
        <f t="shared" ref="C1050:C1116" si="387">"E"&amp;"-"&amp;B1050</f>
        <v>E-220102</v>
      </c>
      <c r="D1050" s="130">
        <v>1000</v>
      </c>
      <c r="E1050" s="174" t="s">
        <v>69</v>
      </c>
      <c r="F1050" s="374" t="s">
        <v>840</v>
      </c>
      <c r="G1050" s="192">
        <f>+G1051+G1053+G1055</f>
        <v>10380</v>
      </c>
      <c r="H1050" s="192">
        <f>+H1051+H1053+H1055</f>
        <v>866</v>
      </c>
      <c r="I1050" s="192">
        <f>+I1051+I1053+I1055</f>
        <v>866</v>
      </c>
      <c r="J1050" s="192">
        <f>+J1051+J1053+J1055</f>
        <v>866</v>
      </c>
      <c r="K1050" s="192">
        <f>+K1051+K1053+K1055</f>
        <v>866</v>
      </c>
      <c r="L1050" s="192">
        <f t="shared" ref="L1050:T1050" si="388">+L1051+L1053+L1055</f>
        <v>866</v>
      </c>
      <c r="M1050" s="192">
        <f t="shared" si="388"/>
        <v>1558</v>
      </c>
      <c r="N1050" s="192">
        <f t="shared" si="388"/>
        <v>866</v>
      </c>
      <c r="O1050" s="192">
        <f t="shared" si="388"/>
        <v>1216</v>
      </c>
      <c r="P1050" s="192">
        <f t="shared" si="388"/>
        <v>866</v>
      </c>
      <c r="Q1050" s="192">
        <f t="shared" si="388"/>
        <v>866</v>
      </c>
      <c r="R1050" s="192">
        <f t="shared" si="388"/>
        <v>990</v>
      </c>
      <c r="S1050" s="192">
        <f t="shared" si="388"/>
        <v>0</v>
      </c>
      <c r="T1050" s="192">
        <f t="shared" si="388"/>
        <v>10692</v>
      </c>
      <c r="U1050"/>
      <c r="V1050">
        <f>+PRESUPUESTO22[[#This Row],[EJECUTADO ]]-SUM(PRESUPUESTO22[[#This Row],[   ENERO ]:[DIC]])</f>
        <v>0</v>
      </c>
    </row>
    <row r="1051" spans="1:23" ht="15.95" customHeight="1" x14ac:dyDescent="0.25">
      <c r="A1051" s="113">
        <v>1</v>
      </c>
      <c r="B1051" s="170">
        <v>22010201</v>
      </c>
      <c r="C1051" s="130" t="str">
        <f t="shared" si="387"/>
        <v>E-22010201</v>
      </c>
      <c r="D1051" s="130">
        <v>1001</v>
      </c>
      <c r="E1051" s="170" t="s">
        <v>69</v>
      </c>
      <c r="F1051" s="235" t="s">
        <v>355</v>
      </c>
      <c r="G1051" s="236">
        <f t="shared" ref="G1051:N1051" si="389">SUM(G1052:G1052)</f>
        <v>0</v>
      </c>
      <c r="H1051" s="236">
        <f t="shared" si="389"/>
        <v>0</v>
      </c>
      <c r="I1051" s="236">
        <f t="shared" si="389"/>
        <v>0</v>
      </c>
      <c r="J1051" s="236">
        <f t="shared" si="389"/>
        <v>0</v>
      </c>
      <c r="K1051" s="236">
        <f t="shared" si="389"/>
        <v>0</v>
      </c>
      <c r="L1051" s="236">
        <f t="shared" si="389"/>
        <v>0</v>
      </c>
      <c r="M1051" s="236">
        <f t="shared" si="389"/>
        <v>692</v>
      </c>
      <c r="N1051" s="236">
        <f t="shared" si="389"/>
        <v>0</v>
      </c>
      <c r="O1051" s="236">
        <f t="shared" ref="O1051:T1051" si="390">SUM(O1052:O1052)</f>
        <v>350</v>
      </c>
      <c r="P1051" s="236">
        <f t="shared" si="390"/>
        <v>0</v>
      </c>
      <c r="Q1051" s="236">
        <f t="shared" si="390"/>
        <v>0</v>
      </c>
      <c r="R1051" s="236">
        <f t="shared" si="390"/>
        <v>0</v>
      </c>
      <c r="S1051" s="236">
        <f t="shared" si="390"/>
        <v>0</v>
      </c>
      <c r="T1051" s="236">
        <f t="shared" si="390"/>
        <v>1042</v>
      </c>
      <c r="U1051"/>
      <c r="V1051">
        <f>+PRESUPUESTO22[[#This Row],[EJECUTADO ]]-SUM(PRESUPUESTO22[[#This Row],[   ENERO ]:[DIC]])</f>
        <v>0</v>
      </c>
    </row>
    <row r="1052" spans="1:23" ht="24.75" customHeight="1" x14ac:dyDescent="0.25">
      <c r="A1052" s="113">
        <v>2</v>
      </c>
      <c r="B1052" s="177">
        <v>2201020101</v>
      </c>
      <c r="C1052" s="130" t="str">
        <f t="shared" si="387"/>
        <v>E-2201020101</v>
      </c>
      <c r="D1052" s="130">
        <v>1002</v>
      </c>
      <c r="E1052" s="177" t="s">
        <v>72</v>
      </c>
      <c r="F1052" s="243" t="s">
        <v>841</v>
      </c>
      <c r="G1052" s="193">
        <v>0</v>
      </c>
      <c r="H1052" s="193">
        <v>0</v>
      </c>
      <c r="I1052" s="193">
        <v>0</v>
      </c>
      <c r="J1052" s="193">
        <v>0</v>
      </c>
      <c r="K1052" s="193">
        <v>0</v>
      </c>
      <c r="L1052" s="193">
        <v>0</v>
      </c>
      <c r="M1052" s="193">
        <f>67.5+100+524+0.5</f>
        <v>692</v>
      </c>
      <c r="N1052" s="193">
        <v>0</v>
      </c>
      <c r="O1052" s="193">
        <v>350</v>
      </c>
      <c r="P1052" s="193">
        <v>0</v>
      </c>
      <c r="Q1052" s="193">
        <v>0</v>
      </c>
      <c r="R1052" s="193">
        <v>0</v>
      </c>
      <c r="S1052" s="193">
        <v>0</v>
      </c>
      <c r="T1052" s="193">
        <f>SUM(H1052:S1052)</f>
        <v>1042</v>
      </c>
      <c r="U1052"/>
      <c r="V1052">
        <f>+PRESUPUESTO22[[#This Row],[EJECUTADO ]]-SUM(PRESUPUESTO22[[#This Row],[   ENERO ]:[DIC]])</f>
        <v>0</v>
      </c>
    </row>
    <row r="1053" spans="1:23" ht="15.95" customHeight="1" x14ac:dyDescent="0.25">
      <c r="A1053" s="113">
        <v>2</v>
      </c>
      <c r="B1053" s="170">
        <v>2201020102</v>
      </c>
      <c r="C1053" s="130" t="str">
        <f t="shared" si="387"/>
        <v>E-2201020102</v>
      </c>
      <c r="D1053" s="130">
        <v>1003</v>
      </c>
      <c r="E1053" s="170" t="s">
        <v>72</v>
      </c>
      <c r="F1053" s="235" t="s">
        <v>159</v>
      </c>
      <c r="G1053" s="236">
        <f>+G1054</f>
        <v>0</v>
      </c>
      <c r="H1053" s="236">
        <f>+H1054</f>
        <v>0</v>
      </c>
      <c r="I1053" s="236">
        <f t="shared" ref="I1053:T1053" si="391">+I1054</f>
        <v>0</v>
      </c>
      <c r="J1053" s="236">
        <f t="shared" si="391"/>
        <v>0</v>
      </c>
      <c r="K1053" s="236">
        <f t="shared" si="391"/>
        <v>0</v>
      </c>
      <c r="L1053" s="236">
        <f t="shared" si="391"/>
        <v>0</v>
      </c>
      <c r="M1053" s="236">
        <f t="shared" si="391"/>
        <v>0</v>
      </c>
      <c r="N1053" s="236">
        <f t="shared" si="391"/>
        <v>0</v>
      </c>
      <c r="O1053" s="236">
        <f t="shared" si="391"/>
        <v>0</v>
      </c>
      <c r="P1053" s="236">
        <f t="shared" si="391"/>
        <v>0</v>
      </c>
      <c r="Q1053" s="236">
        <f t="shared" si="391"/>
        <v>0</v>
      </c>
      <c r="R1053" s="236">
        <f t="shared" si="391"/>
        <v>0</v>
      </c>
      <c r="S1053" s="236">
        <f t="shared" si="391"/>
        <v>0</v>
      </c>
      <c r="T1053" s="236">
        <f t="shared" si="391"/>
        <v>0</v>
      </c>
      <c r="U1053"/>
      <c r="V1053">
        <f>+PRESUPUESTO22[[#This Row],[EJECUTADO ]]-SUM(PRESUPUESTO22[[#This Row],[   ENERO ]:[DIC]])</f>
        <v>0</v>
      </c>
    </row>
    <row r="1054" spans="1:23" ht="22.5" customHeight="1" x14ac:dyDescent="0.25">
      <c r="A1054" s="113">
        <v>1</v>
      </c>
      <c r="B1054" s="177">
        <v>2201020103</v>
      </c>
      <c r="C1054" s="130" t="str">
        <f t="shared" si="387"/>
        <v>E-2201020103</v>
      </c>
      <c r="D1054" s="130">
        <v>1004</v>
      </c>
      <c r="E1054" s="177" t="s">
        <v>72</v>
      </c>
      <c r="F1054" s="243" t="s">
        <v>1</v>
      </c>
      <c r="G1054" s="193">
        <v>0</v>
      </c>
      <c r="H1054" s="193">
        <v>0</v>
      </c>
      <c r="I1054" s="193">
        <v>0</v>
      </c>
      <c r="J1054" s="193">
        <v>0</v>
      </c>
      <c r="K1054" s="193">
        <v>0</v>
      </c>
      <c r="L1054" s="193">
        <v>0</v>
      </c>
      <c r="M1054" s="193">
        <v>0</v>
      </c>
      <c r="N1054" s="193">
        <v>0</v>
      </c>
      <c r="O1054" s="193">
        <v>0</v>
      </c>
      <c r="P1054" s="193">
        <v>0</v>
      </c>
      <c r="Q1054" s="193">
        <v>0</v>
      </c>
      <c r="R1054" s="193">
        <v>0</v>
      </c>
      <c r="S1054" s="193">
        <v>0</v>
      </c>
      <c r="T1054" s="193">
        <f>SUM(H1054:S1054)</f>
        <v>0</v>
      </c>
      <c r="U1054"/>
      <c r="V1054">
        <f>+PRESUPUESTO22[[#This Row],[EJECUTADO ]]-SUM(PRESUPUESTO22[[#This Row],[   ENERO ]:[DIC]])</f>
        <v>0</v>
      </c>
    </row>
    <row r="1055" spans="1:23" ht="15.95" customHeight="1" x14ac:dyDescent="0.25">
      <c r="A1055" s="48">
        <v>3</v>
      </c>
      <c r="B1055" s="170">
        <v>22010202</v>
      </c>
      <c r="C1055" s="130" t="str">
        <f t="shared" si="387"/>
        <v>E-22010202</v>
      </c>
      <c r="D1055" s="130">
        <v>1005</v>
      </c>
      <c r="E1055" s="170" t="s">
        <v>72</v>
      </c>
      <c r="F1055" s="235" t="s">
        <v>842</v>
      </c>
      <c r="G1055" s="236">
        <f>865*12</f>
        <v>10380</v>
      </c>
      <c r="H1055" s="236">
        <f t="shared" ref="H1055:T1055" si="392">SUM(H1056:H1058)</f>
        <v>866</v>
      </c>
      <c r="I1055" s="236">
        <f t="shared" si="392"/>
        <v>866</v>
      </c>
      <c r="J1055" s="236">
        <f t="shared" si="392"/>
        <v>866</v>
      </c>
      <c r="K1055" s="236">
        <f t="shared" si="392"/>
        <v>866</v>
      </c>
      <c r="L1055" s="236">
        <f t="shared" si="392"/>
        <v>866</v>
      </c>
      <c r="M1055" s="236">
        <f t="shared" si="392"/>
        <v>866</v>
      </c>
      <c r="N1055" s="236">
        <f t="shared" si="392"/>
        <v>866</v>
      </c>
      <c r="O1055" s="236">
        <f t="shared" si="392"/>
        <v>866</v>
      </c>
      <c r="P1055" s="236">
        <f t="shared" si="392"/>
        <v>866</v>
      </c>
      <c r="Q1055" s="236">
        <f t="shared" si="392"/>
        <v>866</v>
      </c>
      <c r="R1055" s="236">
        <f t="shared" si="392"/>
        <v>990</v>
      </c>
      <c r="S1055" s="236">
        <f t="shared" si="392"/>
        <v>0</v>
      </c>
      <c r="T1055" s="236">
        <f t="shared" si="392"/>
        <v>9650</v>
      </c>
      <c r="U1055"/>
      <c r="V1055">
        <f>+PRESUPUESTO22[[#This Row],[EJECUTADO ]]-SUM(PRESUPUESTO22[[#This Row],[   ENERO ]:[DIC]])</f>
        <v>0</v>
      </c>
    </row>
    <row r="1056" spans="1:23" ht="15.95" customHeight="1" x14ac:dyDescent="0.25">
      <c r="A1056" s="48" t="s">
        <v>1</v>
      </c>
      <c r="B1056" s="177">
        <v>2201020201</v>
      </c>
      <c r="C1056" s="130" t="str">
        <f t="shared" si="387"/>
        <v>E-2201020201</v>
      </c>
      <c r="D1056" s="130">
        <v>1006</v>
      </c>
      <c r="E1056" s="177" t="s">
        <v>69</v>
      </c>
      <c r="F1056" s="244" t="s">
        <v>626</v>
      </c>
      <c r="G1056" s="193">
        <v>0</v>
      </c>
      <c r="H1056" s="193">
        <f t="shared" ref="H1056:R1056" si="393">740.74+0.26</f>
        <v>741</v>
      </c>
      <c r="I1056" s="193">
        <f t="shared" si="393"/>
        <v>741</v>
      </c>
      <c r="J1056" s="193">
        <f t="shared" si="393"/>
        <v>741</v>
      </c>
      <c r="K1056" s="193">
        <f t="shared" si="393"/>
        <v>741</v>
      </c>
      <c r="L1056" s="193">
        <f t="shared" si="393"/>
        <v>741</v>
      </c>
      <c r="M1056" s="193">
        <f t="shared" si="393"/>
        <v>741</v>
      </c>
      <c r="N1056" s="193">
        <f t="shared" si="393"/>
        <v>741</v>
      </c>
      <c r="O1056" s="193">
        <f t="shared" si="393"/>
        <v>741</v>
      </c>
      <c r="P1056" s="193">
        <f t="shared" si="393"/>
        <v>741</v>
      </c>
      <c r="Q1056" s="193">
        <f t="shared" si="393"/>
        <v>741</v>
      </c>
      <c r="R1056" s="193">
        <f t="shared" si="393"/>
        <v>741</v>
      </c>
      <c r="S1056" s="193">
        <v>0</v>
      </c>
      <c r="T1056" s="193">
        <f>SUM(H1056:S1056)</f>
        <v>8151</v>
      </c>
      <c r="U1056"/>
      <c r="V1056">
        <f>+PRESUPUESTO22[[#This Row],[EJECUTADO ]]-SUM(PRESUPUESTO22[[#This Row],[   ENERO ]:[DIC]])</f>
        <v>0</v>
      </c>
    </row>
    <row r="1057" spans="1:22" ht="15.95" customHeight="1" x14ac:dyDescent="0.25">
      <c r="A1057" s="48"/>
      <c r="B1057" s="177">
        <v>2201020202</v>
      </c>
      <c r="C1057" s="130" t="str">
        <f t="shared" si="387"/>
        <v>E-2201020202</v>
      </c>
      <c r="D1057" s="130">
        <v>1007</v>
      </c>
      <c r="E1057" s="177" t="s">
        <v>69</v>
      </c>
      <c r="F1057" s="244" t="s">
        <v>843</v>
      </c>
      <c r="G1057" s="193">
        <v>0</v>
      </c>
      <c r="H1057" s="193">
        <v>125</v>
      </c>
      <c r="I1057" s="193">
        <v>125</v>
      </c>
      <c r="J1057" s="193">
        <v>125</v>
      </c>
      <c r="K1057" s="193">
        <v>125</v>
      </c>
      <c r="L1057" s="193">
        <v>125</v>
      </c>
      <c r="M1057" s="193">
        <v>125</v>
      </c>
      <c r="N1057" s="193">
        <v>125</v>
      </c>
      <c r="O1057" s="193">
        <v>125</v>
      </c>
      <c r="P1057" s="193">
        <v>125</v>
      </c>
      <c r="Q1057" s="193">
        <v>125</v>
      </c>
      <c r="R1057" s="193">
        <v>125</v>
      </c>
      <c r="S1057" s="193">
        <v>0</v>
      </c>
      <c r="T1057" s="193">
        <f>SUM(H1057:S1057)</f>
        <v>1375</v>
      </c>
      <c r="U1057"/>
      <c r="V1057">
        <f>+PRESUPUESTO22[[#This Row],[EJECUTADO ]]-SUM(PRESUPUESTO22[[#This Row],[   ENERO ]:[DIC]])</f>
        <v>0</v>
      </c>
    </row>
    <row r="1058" spans="1:22" ht="15.95" customHeight="1" thickBot="1" x14ac:dyDescent="0.3">
      <c r="A1058" s="48"/>
      <c r="B1058" s="177">
        <v>2201020203</v>
      </c>
      <c r="C1058" s="130" t="str">
        <f t="shared" si="387"/>
        <v>E-2201020203</v>
      </c>
      <c r="D1058" s="130">
        <v>1008</v>
      </c>
      <c r="E1058" s="177" t="s">
        <v>69</v>
      </c>
      <c r="F1058" s="244" t="s">
        <v>1435</v>
      </c>
      <c r="G1058" s="193">
        <v>0</v>
      </c>
      <c r="H1058" s="193">
        <v>0</v>
      </c>
      <c r="I1058" s="193">
        <v>0</v>
      </c>
      <c r="J1058" s="193">
        <v>0</v>
      </c>
      <c r="K1058" s="193">
        <v>0</v>
      </c>
      <c r="L1058" s="193">
        <v>0</v>
      </c>
      <c r="M1058" s="193">
        <v>0</v>
      </c>
      <c r="N1058" s="193">
        <v>0</v>
      </c>
      <c r="O1058" s="193">
        <v>0</v>
      </c>
      <c r="P1058" s="193">
        <v>0</v>
      </c>
      <c r="Q1058" s="193">
        <v>0</v>
      </c>
      <c r="R1058" s="193">
        <f>124.3-0.3</f>
        <v>124</v>
      </c>
      <c r="S1058" s="193">
        <v>0</v>
      </c>
      <c r="T1058" s="193">
        <f>SUM(H1058:S1058)</f>
        <v>124</v>
      </c>
      <c r="U1058"/>
      <c r="V1058">
        <f>+PRESUPUESTO22[[#This Row],[EJECUTADO ]]-SUM(PRESUPUESTO22[[#This Row],[   ENERO ]:[DIC]])</f>
        <v>0</v>
      </c>
    </row>
    <row r="1059" spans="1:22" ht="15.95" customHeight="1" thickBot="1" x14ac:dyDescent="0.3">
      <c r="A1059" s="56">
        <v>2</v>
      </c>
      <c r="B1059" s="157">
        <v>2202</v>
      </c>
      <c r="C1059" s="130" t="str">
        <f t="shared" si="387"/>
        <v>E-2202</v>
      </c>
      <c r="D1059" s="130">
        <v>1009</v>
      </c>
      <c r="E1059" s="173" t="s">
        <v>69</v>
      </c>
      <c r="F1059" s="234" t="s">
        <v>845</v>
      </c>
      <c r="G1059" s="234">
        <f t="shared" ref="G1059:T1059" si="394">+G1060+G1062+G1065</f>
        <v>0</v>
      </c>
      <c r="H1059" s="234">
        <f t="shared" si="394"/>
        <v>949</v>
      </c>
      <c r="I1059" s="234">
        <f t="shared" si="394"/>
        <v>1114</v>
      </c>
      <c r="J1059" s="234">
        <f t="shared" si="394"/>
        <v>1684</v>
      </c>
      <c r="K1059" s="234">
        <f t="shared" si="394"/>
        <v>866</v>
      </c>
      <c r="L1059" s="234">
        <f t="shared" si="394"/>
        <v>866</v>
      </c>
      <c r="M1059" s="234">
        <f t="shared" si="394"/>
        <v>1431</v>
      </c>
      <c r="N1059" s="234">
        <f t="shared" si="394"/>
        <v>5386</v>
      </c>
      <c r="O1059" s="234">
        <f t="shared" si="394"/>
        <v>3126</v>
      </c>
      <c r="P1059" s="234">
        <f t="shared" si="394"/>
        <v>3126</v>
      </c>
      <c r="Q1059" s="234">
        <f t="shared" si="394"/>
        <v>3239</v>
      </c>
      <c r="R1059" s="234">
        <f t="shared" si="394"/>
        <v>3126</v>
      </c>
      <c r="S1059" s="234">
        <f t="shared" si="394"/>
        <v>0</v>
      </c>
      <c r="T1059" s="234">
        <f t="shared" si="394"/>
        <v>24913</v>
      </c>
      <c r="U1059"/>
      <c r="V1059">
        <f>+PRESUPUESTO22[[#This Row],[EJECUTADO ]]-SUM(PRESUPUESTO22[[#This Row],[   ENERO ]:[DIC]])</f>
        <v>0</v>
      </c>
    </row>
    <row r="1060" spans="1:22" ht="15.95" customHeight="1" x14ac:dyDescent="0.25">
      <c r="A1060" s="52">
        <v>1</v>
      </c>
      <c r="B1060" s="178">
        <v>220201</v>
      </c>
      <c r="C1060" s="130" t="str">
        <f t="shared" si="387"/>
        <v>E-220201</v>
      </c>
      <c r="D1060" s="130">
        <v>1010</v>
      </c>
      <c r="E1060" s="178" t="s">
        <v>69</v>
      </c>
      <c r="F1060" s="245" t="s">
        <v>846</v>
      </c>
      <c r="G1060" s="246">
        <f>SUM(G1061:G1061)</f>
        <v>0</v>
      </c>
      <c r="H1060" s="246">
        <f>SUM(H1061:H1061)</f>
        <v>0</v>
      </c>
      <c r="I1060" s="246">
        <f t="shared" ref="I1060:T1060" si="395">SUM(I1061:I1061)</f>
        <v>0</v>
      </c>
      <c r="J1060" s="246">
        <f t="shared" si="395"/>
        <v>0</v>
      </c>
      <c r="K1060" s="246">
        <f t="shared" si="395"/>
        <v>0</v>
      </c>
      <c r="L1060" s="246">
        <f t="shared" si="395"/>
        <v>0</v>
      </c>
      <c r="M1060" s="246">
        <f t="shared" si="395"/>
        <v>565</v>
      </c>
      <c r="N1060" s="246">
        <f t="shared" si="395"/>
        <v>4520</v>
      </c>
      <c r="O1060" s="246">
        <f t="shared" si="395"/>
        <v>2260</v>
      </c>
      <c r="P1060" s="246">
        <f t="shared" si="395"/>
        <v>2260</v>
      </c>
      <c r="Q1060" s="246">
        <f t="shared" si="395"/>
        <v>2373</v>
      </c>
      <c r="R1060" s="246">
        <f t="shared" si="395"/>
        <v>2260</v>
      </c>
      <c r="S1060" s="246">
        <f t="shared" si="395"/>
        <v>0</v>
      </c>
      <c r="T1060" s="246">
        <f t="shared" si="395"/>
        <v>14238</v>
      </c>
      <c r="U1060"/>
      <c r="V1060">
        <f>+PRESUPUESTO22[[#This Row],[EJECUTADO ]]-SUM(PRESUPUESTO22[[#This Row],[   ENERO ]:[DIC]])</f>
        <v>0</v>
      </c>
    </row>
    <row r="1061" spans="1:22" ht="15" customHeight="1" x14ac:dyDescent="0.25">
      <c r="A1061" s="52">
        <v>1</v>
      </c>
      <c r="B1061" s="177">
        <v>22020101</v>
      </c>
      <c r="C1061" s="130" t="str">
        <f t="shared" si="387"/>
        <v>E-22020101</v>
      </c>
      <c r="D1061" s="130">
        <v>1011</v>
      </c>
      <c r="E1061" s="177" t="s">
        <v>72</v>
      </c>
      <c r="F1061" s="244" t="s">
        <v>1436</v>
      </c>
      <c r="G1061" s="193">
        <v>0</v>
      </c>
      <c r="H1061" s="193">
        <v>0</v>
      </c>
      <c r="I1061" s="193">
        <v>0</v>
      </c>
      <c r="J1061" s="193">
        <v>0</v>
      </c>
      <c r="K1061" s="193">
        <v>0</v>
      </c>
      <c r="L1061" s="193">
        <v>0</v>
      </c>
      <c r="M1061" s="193">
        <v>565</v>
      </c>
      <c r="N1061" s="193">
        <f>2260+2260</f>
        <v>4520</v>
      </c>
      <c r="O1061" s="193">
        <v>2260</v>
      </c>
      <c r="P1061" s="193">
        <v>2260</v>
      </c>
      <c r="Q1061" s="193">
        <f>2260+112.5+0.5</f>
        <v>2373</v>
      </c>
      <c r="R1061" s="193">
        <v>2260</v>
      </c>
      <c r="S1061" s="193">
        <v>0</v>
      </c>
      <c r="T1061" s="193">
        <f>SUM(H1061:S1061)</f>
        <v>14238</v>
      </c>
      <c r="U1061"/>
      <c r="V1061">
        <f>+PRESUPUESTO22[[#This Row],[EJECUTADO ]]-SUM(PRESUPUESTO22[[#This Row],[   ENERO ]:[DIC]])</f>
        <v>0</v>
      </c>
    </row>
    <row r="1062" spans="1:22" ht="15.95" customHeight="1" x14ac:dyDescent="0.25">
      <c r="A1062" s="52">
        <v>2</v>
      </c>
      <c r="B1062" s="178">
        <v>220202</v>
      </c>
      <c r="C1062" s="130" t="str">
        <f t="shared" si="387"/>
        <v>E-220202</v>
      </c>
      <c r="D1062" s="130">
        <v>1012</v>
      </c>
      <c r="E1062" s="178" t="s">
        <v>69</v>
      </c>
      <c r="F1062" s="245" t="s">
        <v>847</v>
      </c>
      <c r="G1062" s="246">
        <f>+G1063</f>
        <v>0</v>
      </c>
      <c r="H1062" s="246">
        <f>SUM(H1063:H1064)</f>
        <v>83</v>
      </c>
      <c r="I1062" s="246">
        <f t="shared" ref="I1062:T1062" si="396">SUM(I1063:I1064)</f>
        <v>248</v>
      </c>
      <c r="J1062" s="246">
        <f t="shared" si="396"/>
        <v>818</v>
      </c>
      <c r="K1062" s="246">
        <f t="shared" si="396"/>
        <v>0</v>
      </c>
      <c r="L1062" s="246">
        <f t="shared" si="396"/>
        <v>0</v>
      </c>
      <c r="M1062" s="246">
        <f t="shared" si="396"/>
        <v>0</v>
      </c>
      <c r="N1062" s="246">
        <f t="shared" si="396"/>
        <v>0</v>
      </c>
      <c r="O1062" s="246">
        <f t="shared" si="396"/>
        <v>0</v>
      </c>
      <c r="P1062" s="246">
        <f t="shared" si="396"/>
        <v>0</v>
      </c>
      <c r="Q1062" s="246">
        <f t="shared" si="396"/>
        <v>0</v>
      </c>
      <c r="R1062" s="246">
        <f t="shared" si="396"/>
        <v>0</v>
      </c>
      <c r="S1062" s="246">
        <f t="shared" si="396"/>
        <v>0</v>
      </c>
      <c r="T1062" s="246">
        <f t="shared" si="396"/>
        <v>1149</v>
      </c>
      <c r="U1062"/>
      <c r="V1062">
        <f>+PRESUPUESTO22[[#This Row],[EJECUTADO ]]-SUM(PRESUPUESTO22[[#This Row],[   ENERO ]:[DIC]])</f>
        <v>0</v>
      </c>
    </row>
    <row r="1063" spans="1:22" ht="21" customHeight="1" x14ac:dyDescent="0.25">
      <c r="A1063" s="52">
        <v>1</v>
      </c>
      <c r="B1063" s="177">
        <v>22020201</v>
      </c>
      <c r="C1063" s="130" t="str">
        <f t="shared" si="387"/>
        <v>E-22020201</v>
      </c>
      <c r="D1063" s="130">
        <v>1013</v>
      </c>
      <c r="E1063" s="177" t="s">
        <v>72</v>
      </c>
      <c r="F1063" s="242" t="s">
        <v>848</v>
      </c>
      <c r="G1063" s="193">
        <v>0</v>
      </c>
      <c r="H1063" s="193">
        <v>83</v>
      </c>
      <c r="I1063" s="193">
        <f>247.5+0.5</f>
        <v>248</v>
      </c>
      <c r="J1063" s="193">
        <v>0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93">
        <v>0</v>
      </c>
      <c r="R1063" s="193">
        <v>0</v>
      </c>
      <c r="S1063" s="193">
        <v>0</v>
      </c>
      <c r="T1063" s="193">
        <f>SUM(H1063:S1063)</f>
        <v>331</v>
      </c>
      <c r="U1063"/>
      <c r="V1063">
        <f>+PRESUPUESTO22[[#This Row],[EJECUTADO ]]-SUM(PRESUPUESTO22[[#This Row],[   ENERO ]:[DIC]])</f>
        <v>0</v>
      </c>
    </row>
    <row r="1064" spans="1:22" ht="21" customHeight="1" x14ac:dyDescent="0.25">
      <c r="A1064" s="52"/>
      <c r="B1064" s="177">
        <v>22020202</v>
      </c>
      <c r="C1064" s="130" t="str">
        <f t="shared" si="387"/>
        <v>E-22020202</v>
      </c>
      <c r="D1064" s="130">
        <v>1014</v>
      </c>
      <c r="E1064" s="177" t="s">
        <v>72</v>
      </c>
      <c r="F1064" s="242" t="s">
        <v>849</v>
      </c>
      <c r="G1064" s="193">
        <v>0</v>
      </c>
      <c r="H1064" s="193">
        <v>0</v>
      </c>
      <c r="I1064" s="193">
        <v>0</v>
      </c>
      <c r="J1064" s="193">
        <f>817.75+0.25</f>
        <v>818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93">
        <v>0</v>
      </c>
      <c r="R1064" s="193">
        <v>0</v>
      </c>
      <c r="S1064" s="193">
        <v>0</v>
      </c>
      <c r="T1064" s="193">
        <f>SUM(H1064:S1064)</f>
        <v>818</v>
      </c>
      <c r="U1064"/>
      <c r="V1064">
        <f>+PRESUPUESTO22[[#This Row],[EJECUTADO ]]-SUM(PRESUPUESTO22[[#This Row],[   ENERO ]:[DIC]])</f>
        <v>0</v>
      </c>
    </row>
    <row r="1065" spans="1:22" ht="15.95" customHeight="1" x14ac:dyDescent="0.25">
      <c r="A1065" s="52"/>
      <c r="B1065" s="178">
        <v>220203</v>
      </c>
      <c r="C1065" s="130" t="str">
        <f t="shared" si="387"/>
        <v>E-220203</v>
      </c>
      <c r="D1065" s="130">
        <v>1015</v>
      </c>
      <c r="E1065" s="178" t="s">
        <v>69</v>
      </c>
      <c r="F1065" s="245" t="s">
        <v>850</v>
      </c>
      <c r="G1065" s="246">
        <f>SUM(G1066:G1068)</f>
        <v>0</v>
      </c>
      <c r="H1065" s="246">
        <f t="shared" ref="H1065:T1065" si="397">SUM(H1066:H1068)</f>
        <v>866</v>
      </c>
      <c r="I1065" s="246">
        <f t="shared" si="397"/>
        <v>866</v>
      </c>
      <c r="J1065" s="246">
        <f t="shared" si="397"/>
        <v>866</v>
      </c>
      <c r="K1065" s="246">
        <f t="shared" si="397"/>
        <v>866</v>
      </c>
      <c r="L1065" s="246">
        <f t="shared" si="397"/>
        <v>866</v>
      </c>
      <c r="M1065" s="246">
        <f t="shared" si="397"/>
        <v>866</v>
      </c>
      <c r="N1065" s="246">
        <f t="shared" si="397"/>
        <v>866</v>
      </c>
      <c r="O1065" s="246">
        <f t="shared" si="397"/>
        <v>866</v>
      </c>
      <c r="P1065" s="246">
        <f t="shared" si="397"/>
        <v>866</v>
      </c>
      <c r="Q1065" s="246">
        <f t="shared" si="397"/>
        <v>866</v>
      </c>
      <c r="R1065" s="246">
        <f t="shared" si="397"/>
        <v>866</v>
      </c>
      <c r="S1065" s="246">
        <f t="shared" si="397"/>
        <v>0</v>
      </c>
      <c r="T1065" s="246">
        <f t="shared" si="397"/>
        <v>9526</v>
      </c>
      <c r="U1065"/>
      <c r="V1065">
        <f>+PRESUPUESTO22[[#This Row],[EJECUTADO ]]-SUM(PRESUPUESTO22[[#This Row],[   ENERO ]:[DIC]])</f>
        <v>0</v>
      </c>
    </row>
    <row r="1066" spans="1:22" ht="15.95" customHeight="1" x14ac:dyDescent="0.25">
      <c r="A1066" s="52"/>
      <c r="B1066" s="177">
        <v>22020301</v>
      </c>
      <c r="C1066" s="130" t="str">
        <f t="shared" si="387"/>
        <v>E-22020301</v>
      </c>
      <c r="D1066" s="130">
        <v>1016</v>
      </c>
      <c r="E1066" s="177" t="s">
        <v>72</v>
      </c>
      <c r="F1066" s="244" t="s">
        <v>626</v>
      </c>
      <c r="G1066" s="193">
        <v>0</v>
      </c>
      <c r="H1066" s="193">
        <f t="shared" ref="H1066:R1066" si="398">740.74+0.26</f>
        <v>741</v>
      </c>
      <c r="I1066" s="193">
        <f t="shared" si="398"/>
        <v>741</v>
      </c>
      <c r="J1066" s="193">
        <f t="shared" si="398"/>
        <v>741</v>
      </c>
      <c r="K1066" s="193">
        <f t="shared" si="398"/>
        <v>741</v>
      </c>
      <c r="L1066" s="193">
        <f t="shared" si="398"/>
        <v>741</v>
      </c>
      <c r="M1066" s="193">
        <f t="shared" si="398"/>
        <v>741</v>
      </c>
      <c r="N1066" s="193">
        <f t="shared" si="398"/>
        <v>741</v>
      </c>
      <c r="O1066" s="193">
        <f t="shared" si="398"/>
        <v>741</v>
      </c>
      <c r="P1066" s="193">
        <f t="shared" si="398"/>
        <v>741</v>
      </c>
      <c r="Q1066" s="193">
        <f t="shared" si="398"/>
        <v>741</v>
      </c>
      <c r="R1066" s="193">
        <f t="shared" si="398"/>
        <v>741</v>
      </c>
      <c r="S1066" s="193">
        <v>0</v>
      </c>
      <c r="T1066" s="193">
        <f>SUM(H1066:S1066)</f>
        <v>8151</v>
      </c>
      <c r="U1066"/>
      <c r="V1066">
        <f>+PRESUPUESTO22[[#This Row],[EJECUTADO ]]-SUM(PRESUPUESTO22[[#This Row],[   ENERO ]:[DIC]])</f>
        <v>0</v>
      </c>
    </row>
    <row r="1067" spans="1:22" ht="15.95" customHeight="1" x14ac:dyDescent="0.25">
      <c r="A1067" s="52"/>
      <c r="B1067" s="177">
        <v>22020302</v>
      </c>
      <c r="C1067" s="130" t="str">
        <f t="shared" si="387"/>
        <v>E-22020302</v>
      </c>
      <c r="D1067" s="130">
        <v>1017</v>
      </c>
      <c r="E1067" s="177" t="s">
        <v>72</v>
      </c>
      <c r="F1067" s="244" t="s">
        <v>843</v>
      </c>
      <c r="G1067" s="193">
        <v>0</v>
      </c>
      <c r="H1067" s="193">
        <v>125</v>
      </c>
      <c r="I1067" s="193">
        <v>125</v>
      </c>
      <c r="J1067" s="193">
        <v>125</v>
      </c>
      <c r="K1067" s="193">
        <v>125</v>
      </c>
      <c r="L1067" s="193">
        <v>125</v>
      </c>
      <c r="M1067" s="193">
        <v>125</v>
      </c>
      <c r="N1067" s="193">
        <v>125</v>
      </c>
      <c r="O1067" s="193">
        <v>125</v>
      </c>
      <c r="P1067" s="193">
        <v>125</v>
      </c>
      <c r="Q1067" s="193">
        <v>125</v>
      </c>
      <c r="R1067" s="193">
        <v>125</v>
      </c>
      <c r="S1067" s="193">
        <v>0</v>
      </c>
      <c r="T1067" s="193">
        <f>SUM(H1067:S1067)</f>
        <v>1375</v>
      </c>
      <c r="U1067"/>
      <c r="V1067">
        <f>+PRESUPUESTO22[[#This Row],[EJECUTADO ]]-SUM(PRESUPUESTO22[[#This Row],[   ENERO ]:[DIC]])</f>
        <v>0</v>
      </c>
    </row>
    <row r="1068" spans="1:22" ht="15.75" customHeight="1" x14ac:dyDescent="0.25">
      <c r="A1068" s="52"/>
      <c r="B1068" s="177">
        <v>220303</v>
      </c>
      <c r="C1068" s="130" t="str">
        <f t="shared" si="387"/>
        <v>E-220303</v>
      </c>
      <c r="D1068" s="130">
        <v>1018</v>
      </c>
      <c r="E1068" s="177" t="s">
        <v>72</v>
      </c>
      <c r="F1068" s="244" t="s">
        <v>844</v>
      </c>
      <c r="G1068" s="193">
        <v>0</v>
      </c>
      <c r="H1068" s="193">
        <v>0</v>
      </c>
      <c r="I1068" s="193">
        <v>0</v>
      </c>
      <c r="J1068" s="193">
        <v>0</v>
      </c>
      <c r="K1068" s="193">
        <v>0</v>
      </c>
      <c r="L1068" s="193">
        <v>0</v>
      </c>
      <c r="M1068" s="193">
        <v>0</v>
      </c>
      <c r="N1068" s="193">
        <v>0</v>
      </c>
      <c r="O1068" s="193">
        <v>0</v>
      </c>
      <c r="P1068" s="193">
        <v>0</v>
      </c>
      <c r="Q1068" s="193">
        <v>0</v>
      </c>
      <c r="R1068" s="193">
        <v>0</v>
      </c>
      <c r="S1068" s="193">
        <v>0</v>
      </c>
      <c r="T1068" s="193">
        <f>SUM(H1068:S1068)</f>
        <v>0</v>
      </c>
      <c r="U1068"/>
      <c r="V1068">
        <f>+PRESUPUESTO22[[#This Row],[EJECUTADO ]]-SUM(PRESUPUESTO22[[#This Row],[   ENERO ]:[DIC]])</f>
        <v>0</v>
      </c>
    </row>
    <row r="1069" spans="1:22" ht="15.95" customHeight="1" x14ac:dyDescent="0.25">
      <c r="A1069" s="49">
        <v>23</v>
      </c>
      <c r="B1069" s="131">
        <v>23</v>
      </c>
      <c r="C1069" s="130" t="str">
        <f t="shared" si="387"/>
        <v>E-23</v>
      </c>
      <c r="D1069" s="130">
        <v>1019</v>
      </c>
      <c r="E1069" s="131" t="s">
        <v>67</v>
      </c>
      <c r="F1069" s="50" t="s">
        <v>47</v>
      </c>
      <c r="G1069" s="188">
        <v>100000</v>
      </c>
      <c r="H1069" s="188">
        <f t="shared" ref="H1069:T1069" si="399">+H1070+H1074+H1086+H1087+H1079</f>
        <v>4681</v>
      </c>
      <c r="I1069" s="188">
        <f t="shared" si="399"/>
        <v>9971</v>
      </c>
      <c r="J1069" s="188">
        <f t="shared" si="399"/>
        <v>15676</v>
      </c>
      <c r="K1069" s="188">
        <f t="shared" si="399"/>
        <v>9695</v>
      </c>
      <c r="L1069" s="188">
        <f t="shared" si="399"/>
        <v>6116</v>
      </c>
      <c r="M1069" s="188">
        <f t="shared" si="399"/>
        <v>7507</v>
      </c>
      <c r="N1069" s="188">
        <f t="shared" si="399"/>
        <v>9896</v>
      </c>
      <c r="O1069" s="188">
        <f t="shared" si="399"/>
        <v>5842</v>
      </c>
      <c r="P1069" s="188">
        <f t="shared" si="399"/>
        <v>11682</v>
      </c>
      <c r="Q1069" s="188">
        <f t="shared" si="399"/>
        <v>8830</v>
      </c>
      <c r="R1069" s="188">
        <f t="shared" si="399"/>
        <v>6442</v>
      </c>
      <c r="S1069" s="188">
        <f t="shared" si="399"/>
        <v>0</v>
      </c>
      <c r="T1069" s="188">
        <f t="shared" si="399"/>
        <v>96338</v>
      </c>
      <c r="U1069"/>
      <c r="V1069">
        <f>+PRESUPUESTO22[[#This Row],[EJECUTADO ]]-SUM(PRESUPUESTO22[[#This Row],[   ENERO ]:[DIC]])</f>
        <v>0</v>
      </c>
    </row>
    <row r="1070" spans="1:22" ht="15.95" customHeight="1" x14ac:dyDescent="0.25">
      <c r="A1070" s="52">
        <v>1</v>
      </c>
      <c r="B1070" s="157">
        <v>2301</v>
      </c>
      <c r="C1070" s="130" t="str">
        <f t="shared" si="387"/>
        <v>E-2301</v>
      </c>
      <c r="D1070" s="130">
        <v>1020</v>
      </c>
      <c r="E1070" s="173" t="s">
        <v>72</v>
      </c>
      <c r="F1070" s="234" t="s">
        <v>851</v>
      </c>
      <c r="G1070" s="234">
        <f t="shared" ref="G1070:T1070" si="400">SUM(G1071:G1073)</f>
        <v>0</v>
      </c>
      <c r="H1070" s="234">
        <f t="shared" si="400"/>
        <v>2754</v>
      </c>
      <c r="I1070" s="234">
        <f t="shared" si="400"/>
        <v>1577</v>
      </c>
      <c r="J1070" s="234">
        <f t="shared" si="400"/>
        <v>2143</v>
      </c>
      <c r="K1070" s="234">
        <f t="shared" si="400"/>
        <v>1779</v>
      </c>
      <c r="L1070" s="234">
        <f t="shared" si="400"/>
        <v>1811</v>
      </c>
      <c r="M1070" s="234">
        <f t="shared" si="400"/>
        <v>2590</v>
      </c>
      <c r="N1070" s="234">
        <f>SUM(N1071:N1073)</f>
        <v>4717</v>
      </c>
      <c r="O1070" s="234">
        <f t="shared" si="400"/>
        <v>1841</v>
      </c>
      <c r="P1070" s="234">
        <f t="shared" si="400"/>
        <v>1780</v>
      </c>
      <c r="Q1070" s="234">
        <f t="shared" si="400"/>
        <v>2241</v>
      </c>
      <c r="R1070" s="234">
        <f t="shared" si="400"/>
        <v>2418</v>
      </c>
      <c r="S1070" s="234">
        <f t="shared" si="400"/>
        <v>0</v>
      </c>
      <c r="T1070" s="234">
        <f t="shared" si="400"/>
        <v>25651</v>
      </c>
      <c r="U1070"/>
      <c r="V1070">
        <f>+PRESUPUESTO22[[#This Row],[EJECUTADO ]]-SUM(PRESUPUESTO22[[#This Row],[   ENERO ]:[DIC]])</f>
        <v>0</v>
      </c>
    </row>
    <row r="1071" spans="1:22" ht="15.95" customHeight="1" x14ac:dyDescent="0.25">
      <c r="A1071" s="52"/>
      <c r="B1071" s="177">
        <v>230101</v>
      </c>
      <c r="C1071" s="130" t="str">
        <f t="shared" si="387"/>
        <v>E-230101</v>
      </c>
      <c r="D1071" s="130">
        <v>1021</v>
      </c>
      <c r="E1071" s="177" t="s">
        <v>69</v>
      </c>
      <c r="F1071" s="242" t="s">
        <v>852</v>
      </c>
      <c r="G1071" s="193">
        <v>0</v>
      </c>
      <c r="H1071" s="193">
        <f>2273.6+0.4</f>
        <v>2274</v>
      </c>
      <c r="I1071" s="193">
        <f>1097.34-0.34</f>
        <v>1097</v>
      </c>
      <c r="J1071" s="193">
        <f>1662.87+0.13</f>
        <v>1663</v>
      </c>
      <c r="K1071" s="193">
        <f>1298.54+0.46</f>
        <v>1299</v>
      </c>
      <c r="L1071" s="193">
        <v>1331</v>
      </c>
      <c r="M1071" s="193">
        <f>2109.84+0.16</f>
        <v>2110</v>
      </c>
      <c r="N1071" s="193">
        <f>2354.34+1882.73-0.07</f>
        <v>4237</v>
      </c>
      <c r="O1071" s="193">
        <f>1361.14-0.14</f>
        <v>1361</v>
      </c>
      <c r="P1071" s="193">
        <v>1300</v>
      </c>
      <c r="Q1071" s="193">
        <f>1761.09-0.09</f>
        <v>1761</v>
      </c>
      <c r="R1071" s="193">
        <f>1938.49-0.49</f>
        <v>1938</v>
      </c>
      <c r="S1071" s="193">
        <v>0</v>
      </c>
      <c r="T1071" s="193">
        <f>SUM(H1071:S1071)</f>
        <v>20371</v>
      </c>
      <c r="U1071"/>
      <c r="V1071">
        <f>+PRESUPUESTO22[[#This Row],[EJECUTADO ]]-SUM(PRESUPUESTO22[[#This Row],[   ENERO ]:[DIC]])</f>
        <v>0</v>
      </c>
    </row>
    <row r="1072" spans="1:22" ht="15.95" customHeight="1" x14ac:dyDescent="0.25">
      <c r="A1072" s="52"/>
      <c r="B1072" s="177">
        <v>230102</v>
      </c>
      <c r="C1072" s="130" t="str">
        <f t="shared" si="387"/>
        <v>E-230102</v>
      </c>
      <c r="D1072" s="130">
        <v>1022</v>
      </c>
      <c r="E1072" s="177" t="s">
        <v>69</v>
      </c>
      <c r="F1072" s="242" t="s">
        <v>853</v>
      </c>
      <c r="G1072" s="193">
        <v>0</v>
      </c>
      <c r="H1072" s="193">
        <v>180</v>
      </c>
      <c r="I1072" s="193">
        <v>180</v>
      </c>
      <c r="J1072" s="193">
        <v>180</v>
      </c>
      <c r="K1072" s="193">
        <v>180</v>
      </c>
      <c r="L1072" s="193">
        <v>180</v>
      </c>
      <c r="M1072" s="193">
        <v>180</v>
      </c>
      <c r="N1072" s="193">
        <v>180</v>
      </c>
      <c r="O1072" s="193">
        <v>180</v>
      </c>
      <c r="P1072" s="193">
        <v>180</v>
      </c>
      <c r="Q1072" s="193">
        <v>180</v>
      </c>
      <c r="R1072" s="193">
        <v>180</v>
      </c>
      <c r="S1072" s="193">
        <v>0</v>
      </c>
      <c r="T1072" s="193">
        <f>SUM(H1072:S1072)</f>
        <v>1980</v>
      </c>
      <c r="U1072"/>
      <c r="V1072">
        <f>+PRESUPUESTO22[[#This Row],[EJECUTADO ]]-SUM(PRESUPUESTO22[[#This Row],[   ENERO ]:[DIC]])</f>
        <v>0</v>
      </c>
    </row>
    <row r="1073" spans="1:22" ht="15.95" customHeight="1" x14ac:dyDescent="0.25">
      <c r="A1073" s="52"/>
      <c r="B1073" s="177">
        <v>230103</v>
      </c>
      <c r="C1073" s="130" t="str">
        <f t="shared" si="387"/>
        <v>E-230103</v>
      </c>
      <c r="D1073" s="130">
        <v>1023</v>
      </c>
      <c r="E1073" s="177" t="s">
        <v>69</v>
      </c>
      <c r="F1073" s="242" t="s">
        <v>854</v>
      </c>
      <c r="G1073" s="193">
        <v>0</v>
      </c>
      <c r="H1073" s="193">
        <v>300</v>
      </c>
      <c r="I1073" s="193">
        <v>300</v>
      </c>
      <c r="J1073" s="193">
        <v>300</v>
      </c>
      <c r="K1073" s="193">
        <v>300</v>
      </c>
      <c r="L1073" s="193">
        <v>300</v>
      </c>
      <c r="M1073" s="193">
        <v>300</v>
      </c>
      <c r="N1073" s="193">
        <v>300</v>
      </c>
      <c r="O1073" s="193">
        <v>300</v>
      </c>
      <c r="P1073" s="193">
        <v>300</v>
      </c>
      <c r="Q1073" s="193">
        <v>300</v>
      </c>
      <c r="R1073" s="193">
        <v>300</v>
      </c>
      <c r="S1073" s="193">
        <v>0</v>
      </c>
      <c r="T1073" s="193">
        <f>SUM(H1073:S1073)</f>
        <v>3300</v>
      </c>
      <c r="U1073"/>
      <c r="V1073">
        <f>+PRESUPUESTO22[[#This Row],[EJECUTADO ]]-SUM(PRESUPUESTO22[[#This Row],[   ENERO ]:[DIC]])</f>
        <v>0</v>
      </c>
    </row>
    <row r="1074" spans="1:22" ht="15.95" customHeight="1" x14ac:dyDescent="0.25">
      <c r="A1074" s="52">
        <v>2</v>
      </c>
      <c r="B1074" s="157">
        <v>2302</v>
      </c>
      <c r="C1074" s="130" t="str">
        <f t="shared" si="387"/>
        <v>E-2302</v>
      </c>
      <c r="D1074" s="130">
        <v>1024</v>
      </c>
      <c r="E1074" s="173" t="s">
        <v>72</v>
      </c>
      <c r="F1074" s="234" t="s">
        <v>855</v>
      </c>
      <c r="G1074" s="234">
        <f t="shared" ref="G1074:T1074" si="401">SUM(G1075:G1078)</f>
        <v>0</v>
      </c>
      <c r="H1074" s="234">
        <f t="shared" si="401"/>
        <v>932.99999999999989</v>
      </c>
      <c r="I1074" s="234">
        <f t="shared" si="401"/>
        <v>7258</v>
      </c>
      <c r="J1074" s="234">
        <f t="shared" si="401"/>
        <v>8064</v>
      </c>
      <c r="K1074" s="234">
        <f t="shared" si="401"/>
        <v>3475</v>
      </c>
      <c r="L1074" s="234">
        <f t="shared" si="401"/>
        <v>1844.9999999999998</v>
      </c>
      <c r="M1074" s="234">
        <f t="shared" si="401"/>
        <v>3392</v>
      </c>
      <c r="N1074" s="234">
        <f t="shared" si="401"/>
        <v>0</v>
      </c>
      <c r="O1074" s="234">
        <f t="shared" si="401"/>
        <v>1857.9999999999998</v>
      </c>
      <c r="P1074" s="234">
        <f t="shared" si="401"/>
        <v>8834</v>
      </c>
      <c r="Q1074" s="234">
        <f t="shared" si="401"/>
        <v>5180</v>
      </c>
      <c r="R1074" s="234">
        <f t="shared" si="401"/>
        <v>3024</v>
      </c>
      <c r="S1074" s="234">
        <f t="shared" si="401"/>
        <v>0</v>
      </c>
      <c r="T1074" s="234">
        <f t="shared" si="401"/>
        <v>43863</v>
      </c>
      <c r="U1074"/>
      <c r="V1074">
        <f>+PRESUPUESTO22[[#This Row],[EJECUTADO ]]-SUM(PRESUPUESTO22[[#This Row],[   ENERO ]:[DIC]])</f>
        <v>0</v>
      </c>
    </row>
    <row r="1075" spans="1:22" ht="15.95" customHeight="1" x14ac:dyDescent="0.25">
      <c r="A1075" s="52"/>
      <c r="B1075" s="177">
        <v>230201</v>
      </c>
      <c r="C1075" s="130" t="str">
        <f t="shared" si="387"/>
        <v>E-230201</v>
      </c>
      <c r="D1075" s="130">
        <v>1025</v>
      </c>
      <c r="E1075" s="177" t="s">
        <v>69</v>
      </c>
      <c r="F1075" s="242" t="s">
        <v>154</v>
      </c>
      <c r="G1075" s="193">
        <v>0</v>
      </c>
      <c r="H1075" s="193">
        <v>0</v>
      </c>
      <c r="I1075" s="193">
        <v>0</v>
      </c>
      <c r="J1075" s="193">
        <f>599.85+3658.6-0.45</f>
        <v>4258</v>
      </c>
      <c r="K1075" s="193">
        <f>122.68+0.32</f>
        <v>123</v>
      </c>
      <c r="L1075" s="193">
        <v>0</v>
      </c>
      <c r="M1075" s="193">
        <f>2873.79+0.21</f>
        <v>2874</v>
      </c>
      <c r="N1075" s="193">
        <v>0</v>
      </c>
      <c r="O1075" s="193">
        <f>61.34+1735.36+0.3</f>
        <v>1796.9999999999998</v>
      </c>
      <c r="P1075" s="193">
        <f>2832.6+0.4</f>
        <v>2833</v>
      </c>
      <c r="Q1075" s="193">
        <f>174.62+2854.08+0.3</f>
        <v>3029</v>
      </c>
      <c r="R1075" s="193">
        <v>0</v>
      </c>
      <c r="S1075" s="193">
        <v>0</v>
      </c>
      <c r="T1075" s="193">
        <f>SUM(H1075:S1075)</f>
        <v>14914</v>
      </c>
      <c r="U1075"/>
      <c r="V1075">
        <f>+PRESUPUESTO22[[#This Row],[EJECUTADO ]]-SUM(PRESUPUESTO22[[#This Row],[   ENERO ]:[DIC]])</f>
        <v>0</v>
      </c>
    </row>
    <row r="1076" spans="1:22" ht="15.95" customHeight="1" x14ac:dyDescent="0.25">
      <c r="A1076" s="52"/>
      <c r="B1076" s="177">
        <v>230202</v>
      </c>
      <c r="C1076" s="130" t="str">
        <f t="shared" si="387"/>
        <v>E-230202</v>
      </c>
      <c r="D1076" s="130">
        <v>1026</v>
      </c>
      <c r="E1076" s="177" t="s">
        <v>69</v>
      </c>
      <c r="F1076" s="242" t="s">
        <v>856</v>
      </c>
      <c r="G1076" s="193">
        <v>0</v>
      </c>
      <c r="H1076" s="193">
        <f>819.06+114.02-0.08</f>
        <v>932.99999999999989</v>
      </c>
      <c r="I1076" s="193">
        <v>0</v>
      </c>
      <c r="J1076" s="193">
        <f>78.5+0.5</f>
        <v>79</v>
      </c>
      <c r="K1076" s="193">
        <f>2161.22+61.34+0.44</f>
        <v>2223</v>
      </c>
      <c r="L1076" s="193">
        <v>0</v>
      </c>
      <c r="M1076" s="193">
        <v>0</v>
      </c>
      <c r="N1076" s="193">
        <v>0</v>
      </c>
      <c r="O1076" s="193">
        <f>61.34-0.34</f>
        <v>61</v>
      </c>
      <c r="P1076" s="193">
        <f>1031.54+211+0.46</f>
        <v>1243</v>
      </c>
      <c r="Q1076" s="193">
        <f>98.92+35+2017.48-0.4</f>
        <v>2151</v>
      </c>
      <c r="R1076" s="193">
        <v>0</v>
      </c>
      <c r="S1076" s="193">
        <v>0</v>
      </c>
      <c r="T1076" s="193">
        <f>SUM(H1076:S1076)</f>
        <v>6690</v>
      </c>
      <c r="U1076"/>
      <c r="V1076">
        <f>+PRESUPUESTO22[[#This Row],[EJECUTADO ]]-SUM(PRESUPUESTO22[[#This Row],[   ENERO ]:[DIC]])</f>
        <v>0</v>
      </c>
    </row>
    <row r="1077" spans="1:22" ht="15.95" customHeight="1" x14ac:dyDescent="0.25">
      <c r="A1077" s="52"/>
      <c r="B1077" s="177">
        <v>230203</v>
      </c>
      <c r="C1077" s="130" t="str">
        <f t="shared" si="387"/>
        <v>E-230203</v>
      </c>
      <c r="D1077" s="130">
        <v>1027</v>
      </c>
      <c r="E1077" s="177" t="s">
        <v>69</v>
      </c>
      <c r="F1077" s="242" t="s">
        <v>857</v>
      </c>
      <c r="G1077" s="193">
        <v>0</v>
      </c>
      <c r="H1077" s="193">
        <v>0</v>
      </c>
      <c r="I1077" s="193">
        <f>2592.41+3087.8+298.18+1280-0.39</f>
        <v>7258</v>
      </c>
      <c r="J1077" s="193">
        <f>648.92+3077.73+0.35</f>
        <v>3727</v>
      </c>
      <c r="K1077" s="193">
        <f>1128.6+0.4</f>
        <v>1129</v>
      </c>
      <c r="L1077" s="193">
        <f>61.34+1784.1-0.44</f>
        <v>1844.9999999999998</v>
      </c>
      <c r="M1077" s="193">
        <f>517.81+0.19</f>
        <v>518</v>
      </c>
      <c r="N1077" s="193">
        <v>0</v>
      </c>
      <c r="O1077" s="193">
        <v>0</v>
      </c>
      <c r="P1077" s="193">
        <f>3921.88+836.37-0.25</f>
        <v>4758</v>
      </c>
      <c r="Q1077" s="193">
        <v>0</v>
      </c>
      <c r="R1077" s="193">
        <v>0</v>
      </c>
      <c r="S1077" s="193">
        <v>0</v>
      </c>
      <c r="T1077" s="193">
        <f>SUM(H1077:S1077)</f>
        <v>19235</v>
      </c>
      <c r="U1077"/>
      <c r="V1077">
        <f>+PRESUPUESTO22[[#This Row],[EJECUTADO ]]-SUM(PRESUPUESTO22[[#This Row],[   ENERO ]:[DIC]])</f>
        <v>0</v>
      </c>
    </row>
    <row r="1078" spans="1:22" ht="15.95" customHeight="1" x14ac:dyDescent="0.25">
      <c r="A1078" s="52"/>
      <c r="B1078" s="156">
        <v>230204</v>
      </c>
      <c r="C1078" s="130" t="str">
        <f>"E"&amp;"-0"&amp;B1078</f>
        <v>E-0230204</v>
      </c>
      <c r="D1078" s="130">
        <v>1028</v>
      </c>
      <c r="E1078" s="177" t="s">
        <v>69</v>
      </c>
      <c r="F1078" s="242" t="s">
        <v>1384</v>
      </c>
      <c r="G1078" s="193">
        <v>0</v>
      </c>
      <c r="H1078" s="193"/>
      <c r="I1078" s="193"/>
      <c r="J1078" s="193"/>
      <c r="K1078" s="193"/>
      <c r="L1078" s="193"/>
      <c r="M1078" s="193"/>
      <c r="N1078" s="193">
        <v>0</v>
      </c>
      <c r="O1078" s="193">
        <v>0</v>
      </c>
      <c r="P1078" s="193">
        <v>0</v>
      </c>
      <c r="Q1078" s="193">
        <v>0</v>
      </c>
      <c r="R1078" s="193">
        <v>3024</v>
      </c>
      <c r="S1078" s="193"/>
      <c r="T1078" s="193">
        <f>SUM(H1078:S1078)</f>
        <v>3024</v>
      </c>
      <c r="U1078"/>
      <c r="V1078">
        <f>+PRESUPUESTO22[[#This Row],[EJECUTADO ]]-SUM(PRESUPUESTO22[[#This Row],[   ENERO ]:[DIC]])</f>
        <v>0</v>
      </c>
    </row>
    <row r="1079" spans="1:22" ht="15.95" customHeight="1" x14ac:dyDescent="0.25">
      <c r="A1079" s="52">
        <v>3</v>
      </c>
      <c r="B1079" s="157">
        <v>2303</v>
      </c>
      <c r="C1079" s="130" t="str">
        <f t="shared" si="387"/>
        <v>E-2303</v>
      </c>
      <c r="D1079" s="130">
        <v>1029</v>
      </c>
      <c r="E1079" s="173" t="s">
        <v>72</v>
      </c>
      <c r="F1079" s="234" t="s">
        <v>858</v>
      </c>
      <c r="G1079" s="234">
        <f t="shared" ref="G1079:T1079" si="402">SUM(G1080:G1085)</f>
        <v>0</v>
      </c>
      <c r="H1079" s="234">
        <f t="shared" si="402"/>
        <v>0</v>
      </c>
      <c r="I1079" s="234">
        <f t="shared" si="402"/>
        <v>1000</v>
      </c>
      <c r="J1079" s="234">
        <f t="shared" si="402"/>
        <v>5390</v>
      </c>
      <c r="K1079" s="234">
        <f t="shared" si="402"/>
        <v>4280.9999999999991</v>
      </c>
      <c r="L1079" s="234">
        <f t="shared" si="402"/>
        <v>2345</v>
      </c>
      <c r="M1079" s="234">
        <f t="shared" si="402"/>
        <v>1437</v>
      </c>
      <c r="N1079" s="234">
        <f t="shared" si="402"/>
        <v>5179</v>
      </c>
      <c r="O1079" s="234">
        <f t="shared" si="402"/>
        <v>1397</v>
      </c>
      <c r="P1079" s="234">
        <f t="shared" si="402"/>
        <v>977</v>
      </c>
      <c r="Q1079" s="234">
        <f t="shared" si="402"/>
        <v>1188</v>
      </c>
      <c r="R1079" s="234">
        <f t="shared" si="402"/>
        <v>0</v>
      </c>
      <c r="S1079" s="234">
        <f t="shared" si="402"/>
        <v>0</v>
      </c>
      <c r="T1079" s="234">
        <f t="shared" si="402"/>
        <v>23194</v>
      </c>
      <c r="U1079"/>
      <c r="V1079">
        <f>+PRESUPUESTO22[[#This Row],[EJECUTADO ]]-SUM(PRESUPUESTO22[[#This Row],[   ENERO ]:[DIC]])</f>
        <v>0</v>
      </c>
    </row>
    <row r="1080" spans="1:22" ht="15.95" customHeight="1" x14ac:dyDescent="0.25">
      <c r="A1080" s="52"/>
      <c r="B1080" s="177">
        <v>230301</v>
      </c>
      <c r="C1080" s="130" t="str">
        <f t="shared" si="387"/>
        <v>E-230301</v>
      </c>
      <c r="D1080" s="130">
        <v>1030</v>
      </c>
      <c r="E1080" s="177" t="s">
        <v>69</v>
      </c>
      <c r="F1080" s="242" t="s">
        <v>859</v>
      </c>
      <c r="G1080" s="193">
        <v>0</v>
      </c>
      <c r="H1080" s="193">
        <v>0</v>
      </c>
      <c r="I1080" s="193">
        <v>0</v>
      </c>
      <c r="J1080" s="193">
        <f>824.25-0.25</f>
        <v>824</v>
      </c>
      <c r="K1080" s="193">
        <f>1800+30.67+2450.47-0.14</f>
        <v>4280.9999999999991</v>
      </c>
      <c r="L1080" s="193">
        <f>67.8+1339.72+0.48</f>
        <v>1408</v>
      </c>
      <c r="M1080" s="193">
        <f>1436.85+0.15</f>
        <v>1437</v>
      </c>
      <c r="N1080" s="193">
        <f>200+2400</f>
        <v>2600</v>
      </c>
      <c r="O1080" s="193">
        <f>909.2-0.2</f>
        <v>909</v>
      </c>
      <c r="P1080" s="193">
        <v>0</v>
      </c>
      <c r="Q1080" s="193">
        <f>1166.2-0.2</f>
        <v>1166</v>
      </c>
      <c r="R1080" s="193">
        <v>0</v>
      </c>
      <c r="S1080" s="193">
        <v>0</v>
      </c>
      <c r="T1080" s="193">
        <f t="shared" ref="T1080:T1086" si="403">SUM(H1080:S1080)</f>
        <v>12625</v>
      </c>
      <c r="U1080"/>
      <c r="V1080">
        <f>+PRESUPUESTO22[[#This Row],[EJECUTADO ]]-SUM(PRESUPUESTO22[[#This Row],[   ENERO ]:[DIC]])</f>
        <v>0</v>
      </c>
    </row>
    <row r="1081" spans="1:22" ht="15.95" customHeight="1" x14ac:dyDescent="0.25">
      <c r="A1081" s="52"/>
      <c r="B1081" s="177">
        <v>230302</v>
      </c>
      <c r="C1081" s="130" t="str">
        <f t="shared" si="387"/>
        <v>E-230302</v>
      </c>
      <c r="D1081" s="130">
        <v>1031</v>
      </c>
      <c r="E1081" s="177" t="s">
        <v>69</v>
      </c>
      <c r="F1081" s="242" t="s">
        <v>860</v>
      </c>
      <c r="G1081" s="193">
        <v>0</v>
      </c>
      <c r="H1081" s="193">
        <v>0</v>
      </c>
      <c r="I1081" s="193">
        <v>0</v>
      </c>
      <c r="J1081" s="193">
        <v>0</v>
      </c>
      <c r="K1081" s="193">
        <v>0</v>
      </c>
      <c r="L1081" s="193">
        <v>0</v>
      </c>
      <c r="M1081" s="193">
        <v>0</v>
      </c>
      <c r="N1081" s="193">
        <f>2081.25+497.34+0.41</f>
        <v>2579</v>
      </c>
      <c r="O1081" s="193">
        <f>488.11-0.11</f>
        <v>488</v>
      </c>
      <c r="P1081" s="193">
        <f>977.3-0.3</f>
        <v>977</v>
      </c>
      <c r="Q1081" s="193">
        <v>0</v>
      </c>
      <c r="R1081" s="193">
        <v>0</v>
      </c>
      <c r="S1081" s="193">
        <v>0</v>
      </c>
      <c r="T1081" s="193">
        <f t="shared" si="403"/>
        <v>4044</v>
      </c>
      <c r="U1081"/>
      <c r="V1081">
        <f>+PRESUPUESTO22[[#This Row],[EJECUTADO ]]-SUM(PRESUPUESTO22[[#This Row],[   ENERO ]:[DIC]])</f>
        <v>0</v>
      </c>
    </row>
    <row r="1082" spans="1:22" ht="15.95" customHeight="1" x14ac:dyDescent="0.25">
      <c r="A1082" s="52"/>
      <c r="B1082" s="177">
        <v>230303</v>
      </c>
      <c r="C1082" s="130" t="str">
        <f t="shared" si="387"/>
        <v>E-230303</v>
      </c>
      <c r="D1082" s="130">
        <v>1032</v>
      </c>
      <c r="E1082" s="177" t="s">
        <v>69</v>
      </c>
      <c r="F1082" s="242" t="s">
        <v>861</v>
      </c>
      <c r="G1082" s="193">
        <v>0</v>
      </c>
      <c r="H1082" s="193">
        <v>0</v>
      </c>
      <c r="I1082" s="193">
        <v>0</v>
      </c>
      <c r="J1082" s="193">
        <f>539.49-0.49</f>
        <v>539</v>
      </c>
      <c r="K1082" s="193">
        <v>0</v>
      </c>
      <c r="L1082" s="193">
        <v>197</v>
      </c>
      <c r="M1082" s="193">
        <v>0</v>
      </c>
      <c r="N1082" s="193">
        <v>0</v>
      </c>
      <c r="O1082" s="193">
        <v>0</v>
      </c>
      <c r="P1082" s="193">
        <v>0</v>
      </c>
      <c r="Q1082" s="193">
        <f>21.6+0.4</f>
        <v>22</v>
      </c>
      <c r="R1082" s="193">
        <v>0</v>
      </c>
      <c r="S1082" s="193">
        <v>0</v>
      </c>
      <c r="T1082" s="193">
        <f t="shared" si="403"/>
        <v>758</v>
      </c>
      <c r="U1082"/>
      <c r="V1082">
        <f>+PRESUPUESTO22[[#This Row],[EJECUTADO ]]-SUM(PRESUPUESTO22[[#This Row],[   ENERO ]:[DIC]])</f>
        <v>0</v>
      </c>
    </row>
    <row r="1083" spans="1:22" ht="15.95" customHeight="1" x14ac:dyDescent="0.25">
      <c r="A1083" s="52"/>
      <c r="B1083" s="177">
        <v>230304</v>
      </c>
      <c r="C1083" s="130" t="str">
        <f t="shared" si="387"/>
        <v>E-230304</v>
      </c>
      <c r="D1083" s="130">
        <v>1033</v>
      </c>
      <c r="E1083" s="177" t="s">
        <v>69</v>
      </c>
      <c r="F1083" s="242" t="s">
        <v>862</v>
      </c>
      <c r="G1083" s="193">
        <v>0</v>
      </c>
      <c r="H1083" s="193">
        <v>0</v>
      </c>
      <c r="I1083" s="193">
        <v>0</v>
      </c>
      <c r="J1083" s="193">
        <f>1518.57+0.43</f>
        <v>1519</v>
      </c>
      <c r="K1083" s="193">
        <v>0</v>
      </c>
      <c r="L1083" s="193">
        <v>0</v>
      </c>
      <c r="M1083" s="193">
        <v>0</v>
      </c>
      <c r="N1083" s="193">
        <v>0</v>
      </c>
      <c r="O1083" s="193">
        <v>0</v>
      </c>
      <c r="P1083" s="193">
        <v>0</v>
      </c>
      <c r="Q1083" s="193">
        <v>0</v>
      </c>
      <c r="R1083" s="193">
        <v>0</v>
      </c>
      <c r="S1083" s="193">
        <v>0</v>
      </c>
      <c r="T1083" s="193">
        <f t="shared" si="403"/>
        <v>1519</v>
      </c>
      <c r="U1083"/>
      <c r="V1083">
        <f>+PRESUPUESTO22[[#This Row],[EJECUTADO ]]-SUM(PRESUPUESTO22[[#This Row],[   ENERO ]:[DIC]])</f>
        <v>0</v>
      </c>
    </row>
    <row r="1084" spans="1:22" ht="15.95" customHeight="1" x14ac:dyDescent="0.25">
      <c r="A1084" s="52"/>
      <c r="B1084" s="177">
        <v>230305</v>
      </c>
      <c r="C1084" s="130" t="str">
        <f t="shared" si="387"/>
        <v>E-230305</v>
      </c>
      <c r="D1084" s="130">
        <v>1034</v>
      </c>
      <c r="E1084" s="177" t="s">
        <v>69</v>
      </c>
      <c r="F1084" s="242" t="s">
        <v>863</v>
      </c>
      <c r="G1084" s="193">
        <v>0</v>
      </c>
      <c r="H1084" s="193">
        <v>0</v>
      </c>
      <c r="I1084" s="193">
        <v>1000</v>
      </c>
      <c r="J1084" s="193">
        <f>2508.02-0.02</f>
        <v>2508</v>
      </c>
      <c r="K1084" s="193">
        <v>0</v>
      </c>
      <c r="L1084" s="193">
        <v>0</v>
      </c>
      <c r="M1084" s="193">
        <v>0</v>
      </c>
      <c r="N1084" s="193">
        <v>0</v>
      </c>
      <c r="O1084" s="193">
        <v>0</v>
      </c>
      <c r="P1084" s="193">
        <v>0</v>
      </c>
      <c r="Q1084" s="193">
        <v>0</v>
      </c>
      <c r="R1084" s="193">
        <v>0</v>
      </c>
      <c r="S1084" s="193">
        <v>0</v>
      </c>
      <c r="T1084" s="193">
        <f t="shared" si="403"/>
        <v>3508</v>
      </c>
      <c r="U1084"/>
      <c r="V1084">
        <f>+PRESUPUESTO22[[#This Row],[EJECUTADO ]]-SUM(PRESUPUESTO22[[#This Row],[   ENERO ]:[DIC]])</f>
        <v>0</v>
      </c>
    </row>
    <row r="1085" spans="1:22" ht="15.95" customHeight="1" x14ac:dyDescent="0.25">
      <c r="A1085" s="52"/>
      <c r="B1085" s="177">
        <v>230306</v>
      </c>
      <c r="C1085" s="130" t="str">
        <f t="shared" si="387"/>
        <v>E-230306</v>
      </c>
      <c r="D1085" s="130">
        <v>1035</v>
      </c>
      <c r="E1085" s="177" t="s">
        <v>69</v>
      </c>
      <c r="F1085" s="242" t="s">
        <v>864</v>
      </c>
      <c r="G1085" s="193">
        <v>0</v>
      </c>
      <c r="H1085" s="193">
        <v>0</v>
      </c>
      <c r="I1085" s="193">
        <v>0</v>
      </c>
      <c r="J1085" s="193">
        <v>0</v>
      </c>
      <c r="K1085" s="193">
        <v>0</v>
      </c>
      <c r="L1085" s="193">
        <v>740</v>
      </c>
      <c r="M1085" s="193">
        <v>0</v>
      </c>
      <c r="N1085" s="193">
        <v>0</v>
      </c>
      <c r="O1085" s="193">
        <v>0</v>
      </c>
      <c r="P1085" s="193">
        <v>0</v>
      </c>
      <c r="Q1085" s="193">
        <v>0</v>
      </c>
      <c r="R1085" s="193">
        <v>0</v>
      </c>
      <c r="S1085" s="193">
        <v>0</v>
      </c>
      <c r="T1085" s="193">
        <f t="shared" si="403"/>
        <v>740</v>
      </c>
      <c r="U1085"/>
      <c r="V1085">
        <f>+PRESUPUESTO22[[#This Row],[EJECUTADO ]]-SUM(PRESUPUESTO22[[#This Row],[   ENERO ]:[DIC]])</f>
        <v>0</v>
      </c>
    </row>
    <row r="1086" spans="1:22" ht="15.95" customHeight="1" x14ac:dyDescent="0.25">
      <c r="A1086" s="52">
        <v>5</v>
      </c>
      <c r="B1086" s="157">
        <v>2304</v>
      </c>
      <c r="C1086" s="130" t="str">
        <f t="shared" si="387"/>
        <v>E-2304</v>
      </c>
      <c r="D1086" s="130">
        <v>1036</v>
      </c>
      <c r="E1086" s="173" t="s">
        <v>72</v>
      </c>
      <c r="F1086" s="234" t="s">
        <v>865</v>
      </c>
      <c r="G1086" s="234">
        <v>0</v>
      </c>
      <c r="H1086" s="234">
        <v>0</v>
      </c>
      <c r="I1086" s="234">
        <v>0</v>
      </c>
      <c r="J1086" s="234">
        <v>0</v>
      </c>
      <c r="K1086" s="234">
        <v>0</v>
      </c>
      <c r="L1086" s="234">
        <v>0</v>
      </c>
      <c r="M1086" s="234">
        <v>0</v>
      </c>
      <c r="N1086" s="234">
        <v>0</v>
      </c>
      <c r="O1086" s="234">
        <v>0</v>
      </c>
      <c r="P1086" s="234">
        <v>0</v>
      </c>
      <c r="Q1086" s="234">
        <v>0</v>
      </c>
      <c r="R1086" s="234">
        <v>0</v>
      </c>
      <c r="S1086" s="234">
        <v>0</v>
      </c>
      <c r="T1086" s="234">
        <f t="shared" si="403"/>
        <v>0</v>
      </c>
      <c r="U1086"/>
      <c r="V1086">
        <f>+PRESUPUESTO22[[#This Row],[EJECUTADO ]]-SUM(PRESUPUESTO22[[#This Row],[   ENERO ]:[DIC]])</f>
        <v>0</v>
      </c>
    </row>
    <row r="1087" spans="1:22" ht="15.95" customHeight="1" x14ac:dyDescent="0.25">
      <c r="A1087" s="52">
        <v>6</v>
      </c>
      <c r="B1087" s="157">
        <v>2305</v>
      </c>
      <c r="C1087" s="130" t="str">
        <f t="shared" si="387"/>
        <v>E-2305</v>
      </c>
      <c r="D1087" s="130">
        <v>1037</v>
      </c>
      <c r="E1087" s="173" t="s">
        <v>72</v>
      </c>
      <c r="F1087" s="234" t="s">
        <v>866</v>
      </c>
      <c r="G1087" s="234">
        <f t="shared" ref="G1087:T1087" si="404">SUM(G1088:G1094)</f>
        <v>0</v>
      </c>
      <c r="H1087" s="234">
        <f t="shared" si="404"/>
        <v>994</v>
      </c>
      <c r="I1087" s="234">
        <f t="shared" si="404"/>
        <v>136</v>
      </c>
      <c r="J1087" s="234">
        <f t="shared" si="404"/>
        <v>79</v>
      </c>
      <c r="K1087" s="234">
        <f t="shared" si="404"/>
        <v>160</v>
      </c>
      <c r="L1087" s="234">
        <f t="shared" si="404"/>
        <v>115</v>
      </c>
      <c r="M1087" s="234">
        <f t="shared" si="404"/>
        <v>88</v>
      </c>
      <c r="N1087" s="234">
        <f t="shared" si="404"/>
        <v>0</v>
      </c>
      <c r="O1087" s="234">
        <f t="shared" si="404"/>
        <v>746</v>
      </c>
      <c r="P1087" s="234">
        <f t="shared" si="404"/>
        <v>91</v>
      </c>
      <c r="Q1087" s="234">
        <f t="shared" si="404"/>
        <v>221</v>
      </c>
      <c r="R1087" s="234">
        <f t="shared" si="404"/>
        <v>1000</v>
      </c>
      <c r="S1087" s="234">
        <f t="shared" si="404"/>
        <v>0</v>
      </c>
      <c r="T1087" s="234">
        <f t="shared" si="404"/>
        <v>3630</v>
      </c>
      <c r="U1087"/>
      <c r="V1087">
        <f>+PRESUPUESTO22[[#This Row],[EJECUTADO ]]-SUM(PRESUPUESTO22[[#This Row],[   ENERO ]:[DIC]])</f>
        <v>0</v>
      </c>
    </row>
    <row r="1088" spans="1:22" ht="15.95" customHeight="1" x14ac:dyDescent="0.25">
      <c r="A1088" s="52"/>
      <c r="B1088" s="177">
        <v>230501</v>
      </c>
      <c r="C1088" s="130" t="str">
        <f t="shared" si="387"/>
        <v>E-230501</v>
      </c>
      <c r="D1088" s="130">
        <v>1038</v>
      </c>
      <c r="E1088" s="177" t="s">
        <v>69</v>
      </c>
      <c r="F1088" s="242" t="s">
        <v>867</v>
      </c>
      <c r="G1088" s="193">
        <v>0</v>
      </c>
      <c r="H1088" s="193">
        <v>0</v>
      </c>
      <c r="I1088" s="193">
        <v>70</v>
      </c>
      <c r="J1088" s="193">
        <v>0</v>
      </c>
      <c r="K1088" s="193">
        <v>0</v>
      </c>
      <c r="L1088" s="193">
        <v>0</v>
      </c>
      <c r="M1088" s="193">
        <v>15</v>
      </c>
      <c r="N1088" s="193">
        <v>0</v>
      </c>
      <c r="O1088" s="193">
        <v>0</v>
      </c>
      <c r="P1088" s="193">
        <v>0</v>
      </c>
      <c r="Q1088" s="193">
        <v>0</v>
      </c>
      <c r="R1088" s="193">
        <v>0</v>
      </c>
      <c r="S1088" s="193">
        <v>0</v>
      </c>
      <c r="T1088" s="193">
        <f t="shared" ref="T1088:T1094" si="405">SUM(H1088:S1088)</f>
        <v>85</v>
      </c>
      <c r="U1088"/>
      <c r="V1088">
        <f>+PRESUPUESTO22[[#This Row],[EJECUTADO ]]-SUM(PRESUPUESTO22[[#This Row],[   ENERO ]:[DIC]])</f>
        <v>0</v>
      </c>
    </row>
    <row r="1089" spans="1:23" ht="15.95" customHeight="1" x14ac:dyDescent="0.25">
      <c r="A1089" s="52"/>
      <c r="B1089" s="156">
        <v>230502</v>
      </c>
      <c r="C1089" s="130" t="str">
        <f t="shared" si="387"/>
        <v>E-230502</v>
      </c>
      <c r="D1089" s="130">
        <v>1039</v>
      </c>
      <c r="E1089" s="156" t="s">
        <v>69</v>
      </c>
      <c r="F1089" s="216" t="s">
        <v>868</v>
      </c>
      <c r="G1089" s="193">
        <v>0</v>
      </c>
      <c r="H1089" s="193">
        <v>240</v>
      </c>
      <c r="I1089" s="193">
        <v>0</v>
      </c>
      <c r="J1089" s="193">
        <v>0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93">
        <v>0</v>
      </c>
      <c r="R1089" s="193">
        <v>0</v>
      </c>
      <c r="S1089" s="193">
        <v>0</v>
      </c>
      <c r="T1089" s="193">
        <f t="shared" si="405"/>
        <v>240</v>
      </c>
      <c r="U1089"/>
      <c r="V1089">
        <f>+PRESUPUESTO22[[#This Row],[EJECUTADO ]]-SUM(PRESUPUESTO22[[#This Row],[   ENERO ]:[DIC]])</f>
        <v>0</v>
      </c>
    </row>
    <row r="1090" spans="1:23" ht="15.95" customHeight="1" x14ac:dyDescent="0.25">
      <c r="A1090" s="52"/>
      <c r="B1090" s="156">
        <v>230503</v>
      </c>
      <c r="C1090" s="130" t="str">
        <f t="shared" si="387"/>
        <v>E-230503</v>
      </c>
      <c r="D1090" s="130">
        <v>1040</v>
      </c>
      <c r="E1090" s="156" t="s">
        <v>69</v>
      </c>
      <c r="F1090" s="216" t="s">
        <v>869</v>
      </c>
      <c r="G1090" s="193">
        <v>0</v>
      </c>
      <c r="H1090" s="193">
        <f>626.5+0.5</f>
        <v>627</v>
      </c>
      <c r="I1090" s="193">
        <v>0</v>
      </c>
      <c r="J1090" s="193">
        <v>0</v>
      </c>
      <c r="K1090" s="193">
        <v>0</v>
      </c>
      <c r="L1090" s="193">
        <v>0</v>
      </c>
      <c r="M1090" s="193">
        <v>0</v>
      </c>
      <c r="N1090" s="193">
        <v>0</v>
      </c>
      <c r="O1090" s="193">
        <v>530</v>
      </c>
      <c r="P1090" s="193">
        <v>0</v>
      </c>
      <c r="Q1090" s="193">
        <v>0</v>
      </c>
      <c r="R1090" s="193">
        <v>0</v>
      </c>
      <c r="S1090" s="193">
        <v>0</v>
      </c>
      <c r="T1090" s="193">
        <f t="shared" si="405"/>
        <v>1157</v>
      </c>
      <c r="U1090"/>
      <c r="V1090">
        <f>+PRESUPUESTO22[[#This Row],[EJECUTADO ]]-SUM(PRESUPUESTO22[[#This Row],[   ENERO ]:[DIC]])</f>
        <v>0</v>
      </c>
    </row>
    <row r="1091" spans="1:23" ht="15.95" customHeight="1" x14ac:dyDescent="0.25">
      <c r="A1091" s="52"/>
      <c r="B1091" s="156">
        <v>230504</v>
      </c>
      <c r="C1091" s="130" t="str">
        <f t="shared" si="387"/>
        <v>E-230504</v>
      </c>
      <c r="D1091" s="130">
        <v>1041</v>
      </c>
      <c r="E1091" s="156" t="s">
        <v>69</v>
      </c>
      <c r="F1091" s="216" t="s">
        <v>870</v>
      </c>
      <c r="G1091" s="193">
        <v>0</v>
      </c>
      <c r="H1091" s="193">
        <f>61+66</f>
        <v>127</v>
      </c>
      <c r="I1091" s="193">
        <v>66</v>
      </c>
      <c r="J1091" s="193">
        <f>78.5+0.5</f>
        <v>79</v>
      </c>
      <c r="K1091" s="193">
        <v>143</v>
      </c>
      <c r="L1091" s="193">
        <f>28+28.25+58.5+0.25</f>
        <v>115</v>
      </c>
      <c r="M1091" s="193">
        <f>72.77+0.23</f>
        <v>73</v>
      </c>
      <c r="N1091" s="193">
        <v>0</v>
      </c>
      <c r="O1091" s="193">
        <v>216</v>
      </c>
      <c r="P1091" s="193">
        <v>0</v>
      </c>
      <c r="Q1091" s="193">
        <v>120</v>
      </c>
      <c r="R1091" s="193">
        <f>111+172.6+0.4</f>
        <v>284</v>
      </c>
      <c r="S1091" s="193">
        <v>0</v>
      </c>
      <c r="T1091" s="193">
        <f t="shared" si="405"/>
        <v>1223</v>
      </c>
      <c r="U1091"/>
      <c r="V1091">
        <f>+PRESUPUESTO22[[#This Row],[EJECUTADO ]]-SUM(PRESUPUESTO22[[#This Row],[   ENERO ]:[DIC]])</f>
        <v>0</v>
      </c>
    </row>
    <row r="1092" spans="1:23" ht="15.95" customHeight="1" x14ac:dyDescent="0.25">
      <c r="A1092" s="52"/>
      <c r="B1092" s="156">
        <v>230506</v>
      </c>
      <c r="C1092" s="130" t="str">
        <f>"E"&amp;"-0"&amp;B1092</f>
        <v>E-0230506</v>
      </c>
      <c r="D1092" s="130">
        <v>1042</v>
      </c>
      <c r="E1092" s="156" t="s">
        <v>69</v>
      </c>
      <c r="F1092" s="216" t="s">
        <v>1437</v>
      </c>
      <c r="G1092" s="193">
        <v>0</v>
      </c>
      <c r="H1092" s="193">
        <v>0</v>
      </c>
      <c r="I1092" s="193">
        <v>0</v>
      </c>
      <c r="J1092" s="193">
        <v>0</v>
      </c>
      <c r="K1092" s="193">
        <v>0</v>
      </c>
      <c r="L1092" s="193">
        <v>0</v>
      </c>
      <c r="M1092" s="193">
        <v>0</v>
      </c>
      <c r="N1092" s="193">
        <v>0</v>
      </c>
      <c r="O1092" s="193">
        <v>0</v>
      </c>
      <c r="P1092" s="193">
        <v>0</v>
      </c>
      <c r="Q1092" s="193">
        <v>40</v>
      </c>
      <c r="R1092" s="193">
        <v>0</v>
      </c>
      <c r="S1092" s="193"/>
      <c r="T1092" s="193">
        <f t="shared" si="405"/>
        <v>40</v>
      </c>
      <c r="U1092"/>
      <c r="V1092">
        <f>+PRESUPUESTO22[[#This Row],[EJECUTADO ]]-SUM(PRESUPUESTO22[[#This Row],[   ENERO ]:[DIC]])</f>
        <v>0</v>
      </c>
    </row>
    <row r="1093" spans="1:23" ht="15.95" customHeight="1" x14ac:dyDescent="0.25">
      <c r="A1093" s="52"/>
      <c r="B1093" s="156">
        <v>230505</v>
      </c>
      <c r="C1093" s="130" t="str">
        <f t="shared" si="387"/>
        <v>E-230505</v>
      </c>
      <c r="D1093" s="130">
        <v>1043</v>
      </c>
      <c r="E1093" s="156" t="s">
        <v>69</v>
      </c>
      <c r="F1093" s="216" t="s">
        <v>871</v>
      </c>
      <c r="G1093" s="193">
        <v>0</v>
      </c>
      <c r="H1093" s="193">
        <v>0</v>
      </c>
      <c r="I1093" s="193">
        <v>0</v>
      </c>
      <c r="J1093" s="193">
        <v>0</v>
      </c>
      <c r="K1093" s="193">
        <f>16.6+0.4</f>
        <v>17</v>
      </c>
      <c r="L1093" s="193">
        <v>0</v>
      </c>
      <c r="M1093" s="193">
        <v>0</v>
      </c>
      <c r="N1093" s="193">
        <v>0</v>
      </c>
      <c r="O1093" s="193">
        <v>0</v>
      </c>
      <c r="P1093" s="193">
        <f>62.22+28.53+0.25</f>
        <v>91</v>
      </c>
      <c r="Q1093" s="193">
        <f>16+45</f>
        <v>61</v>
      </c>
      <c r="R1093" s="193">
        <v>30</v>
      </c>
      <c r="S1093" s="193">
        <v>0</v>
      </c>
      <c r="T1093" s="193">
        <f t="shared" si="405"/>
        <v>199</v>
      </c>
      <c r="U1093"/>
      <c r="V1093">
        <f>+PRESUPUESTO22[[#This Row],[EJECUTADO ]]-SUM(PRESUPUESTO22[[#This Row],[   ENERO ]:[DIC]])</f>
        <v>0</v>
      </c>
    </row>
    <row r="1094" spans="1:23" ht="15.95" customHeight="1" x14ac:dyDescent="0.25">
      <c r="A1094" s="52"/>
      <c r="B1094" s="156">
        <v>230507</v>
      </c>
      <c r="C1094" s="130" t="str">
        <f>"E"&amp;"-0"&amp;B1094</f>
        <v>E-0230507</v>
      </c>
      <c r="D1094" s="130">
        <v>1044</v>
      </c>
      <c r="E1094" s="156" t="s">
        <v>69</v>
      </c>
      <c r="F1094" s="216" t="s">
        <v>1438</v>
      </c>
      <c r="G1094" s="193">
        <v>0</v>
      </c>
      <c r="H1094" s="193"/>
      <c r="I1094" s="193"/>
      <c r="J1094" s="193"/>
      <c r="K1094" s="193"/>
      <c r="L1094" s="193"/>
      <c r="M1094" s="193"/>
      <c r="N1094" s="193">
        <v>0</v>
      </c>
      <c r="O1094" s="193">
        <v>0</v>
      </c>
      <c r="P1094" s="193">
        <v>0</v>
      </c>
      <c r="Q1094" s="193">
        <v>0</v>
      </c>
      <c r="R1094" s="193">
        <f>70+616.3-0.3</f>
        <v>686</v>
      </c>
      <c r="S1094" s="193"/>
      <c r="T1094" s="193">
        <f t="shared" si="405"/>
        <v>686</v>
      </c>
      <c r="U1094"/>
      <c r="V1094">
        <f>+PRESUPUESTO22[[#This Row],[EJECUTADO ]]-SUM(PRESUPUESTO22[[#This Row],[   ENERO ]:[DIC]])</f>
        <v>0</v>
      </c>
    </row>
    <row r="1095" spans="1:23" ht="15.95" customHeight="1" x14ac:dyDescent="0.25">
      <c r="A1095" s="49">
        <v>24</v>
      </c>
      <c r="B1095" s="131">
        <v>24</v>
      </c>
      <c r="C1095" s="130" t="str">
        <f t="shared" si="387"/>
        <v>E-24</v>
      </c>
      <c r="D1095" s="130">
        <v>1045</v>
      </c>
      <c r="E1095" s="131" t="s">
        <v>67</v>
      </c>
      <c r="F1095" s="50" t="s">
        <v>252</v>
      </c>
      <c r="G1095" s="188">
        <v>400000</v>
      </c>
      <c r="H1095" s="188">
        <f t="shared" ref="H1095:T1095" si="406">+H1096+H1103++H1112+H1131+H1161++H1175+H1184</f>
        <v>35133</v>
      </c>
      <c r="I1095" s="188">
        <f t="shared" si="406"/>
        <v>29202</v>
      </c>
      <c r="J1095" s="188">
        <f t="shared" si="406"/>
        <v>28758</v>
      </c>
      <c r="K1095" s="188">
        <f t="shared" si="406"/>
        <v>25174</v>
      </c>
      <c r="L1095" s="188">
        <f t="shared" si="406"/>
        <v>28597</v>
      </c>
      <c r="M1095" s="188">
        <f t="shared" si="406"/>
        <v>43634</v>
      </c>
      <c r="N1095" s="188">
        <f t="shared" si="406"/>
        <v>36410</v>
      </c>
      <c r="O1095" s="188">
        <f t="shared" si="406"/>
        <v>37545</v>
      </c>
      <c r="P1095" s="188">
        <f t="shared" si="406"/>
        <v>41715</v>
      </c>
      <c r="Q1095" s="188">
        <f t="shared" si="406"/>
        <v>21394</v>
      </c>
      <c r="R1095" s="188">
        <f t="shared" si="406"/>
        <v>37617</v>
      </c>
      <c r="S1095" s="188">
        <f t="shared" si="406"/>
        <v>0</v>
      </c>
      <c r="T1095" s="188">
        <f t="shared" si="406"/>
        <v>365179</v>
      </c>
      <c r="U1095"/>
      <c r="V1095">
        <f>+PRESUPUESTO22[[#This Row],[EJECUTADO ]]-SUM(PRESUPUESTO22[[#This Row],[   ENERO ]:[DIC]])</f>
        <v>0</v>
      </c>
    </row>
    <row r="1096" spans="1:23" ht="15.95" customHeight="1" x14ac:dyDescent="0.25">
      <c r="A1096" s="49">
        <v>1</v>
      </c>
      <c r="B1096" s="157">
        <v>2401</v>
      </c>
      <c r="C1096" s="130" t="str">
        <f t="shared" si="387"/>
        <v>E-2401</v>
      </c>
      <c r="D1096" s="130">
        <v>1046</v>
      </c>
      <c r="E1096" s="157" t="s">
        <v>69</v>
      </c>
      <c r="F1096" s="219" t="s">
        <v>872</v>
      </c>
      <c r="G1096" s="234">
        <f>SUM(G1097:G1102)-36720</f>
        <v>28500</v>
      </c>
      <c r="H1096" s="234">
        <f>SUM(H1097:H1102)</f>
        <v>4893</v>
      </c>
      <c r="I1096" s="234">
        <f t="shared" ref="I1096:T1096" si="407">SUM(I1097:I1102)</f>
        <v>5315</v>
      </c>
      <c r="J1096" s="234">
        <f t="shared" si="407"/>
        <v>4169</v>
      </c>
      <c r="K1096" s="234">
        <f t="shared" si="407"/>
        <v>3090</v>
      </c>
      <c r="L1096" s="234">
        <f t="shared" si="407"/>
        <v>3080</v>
      </c>
      <c r="M1096" s="234">
        <f t="shared" si="407"/>
        <v>3070</v>
      </c>
      <c r="N1096" s="234">
        <f t="shared" si="407"/>
        <v>7489</v>
      </c>
      <c r="O1096" s="234">
        <f t="shared" si="407"/>
        <v>3111</v>
      </c>
      <c r="P1096" s="234">
        <f t="shared" si="407"/>
        <v>3438</v>
      </c>
      <c r="Q1096" s="234">
        <f t="shared" si="407"/>
        <v>2943</v>
      </c>
      <c r="R1096" s="234">
        <f t="shared" si="407"/>
        <v>3972</v>
      </c>
      <c r="S1096" s="234">
        <f t="shared" si="407"/>
        <v>0</v>
      </c>
      <c r="T1096" s="234">
        <f t="shared" si="407"/>
        <v>44570</v>
      </c>
      <c r="U1096"/>
      <c r="V1096">
        <f>+PRESUPUESTO22[[#This Row],[EJECUTADO ]]-SUM(PRESUPUESTO22[[#This Row],[   ENERO ]:[DIC]])</f>
        <v>0</v>
      </c>
    </row>
    <row r="1097" spans="1:23" ht="15.95" customHeight="1" x14ac:dyDescent="0.25">
      <c r="A1097" s="52"/>
      <c r="B1097" s="156">
        <v>240101</v>
      </c>
      <c r="C1097" s="130" t="str">
        <f t="shared" si="387"/>
        <v>E-240101</v>
      </c>
      <c r="D1097" s="130">
        <v>1047</v>
      </c>
      <c r="E1097" s="156" t="s">
        <v>72</v>
      </c>
      <c r="F1097" s="216" t="s">
        <v>873</v>
      </c>
      <c r="G1097" s="193">
        <v>2000</v>
      </c>
      <c r="H1097" s="193">
        <v>0</v>
      </c>
      <c r="I1097" s="193">
        <v>0</v>
      </c>
      <c r="J1097" s="193">
        <v>0</v>
      </c>
      <c r="K1097" s="193">
        <v>0</v>
      </c>
      <c r="L1097" s="193">
        <v>0</v>
      </c>
      <c r="M1097" s="193">
        <v>0</v>
      </c>
      <c r="N1097" s="193">
        <v>0</v>
      </c>
      <c r="O1097" s="193">
        <v>0</v>
      </c>
      <c r="P1097" s="193">
        <v>0</v>
      </c>
      <c r="Q1097" s="193">
        <v>0</v>
      </c>
      <c r="R1097" s="193">
        <v>0</v>
      </c>
      <c r="S1097" s="193">
        <v>0</v>
      </c>
      <c r="T1097" s="193">
        <f t="shared" ref="T1097:T1102" si="408">SUM(H1097:S1097)</f>
        <v>0</v>
      </c>
      <c r="U1097"/>
      <c r="V1097">
        <f>+PRESUPUESTO22[[#This Row],[EJECUTADO ]]-SUM(PRESUPUESTO22[[#This Row],[   ENERO ]:[DIC]])</f>
        <v>0</v>
      </c>
    </row>
    <row r="1098" spans="1:23" ht="15.95" customHeight="1" x14ac:dyDescent="0.25">
      <c r="A1098" s="52"/>
      <c r="B1098" s="156">
        <v>240102</v>
      </c>
      <c r="C1098" s="130" t="str">
        <f t="shared" si="387"/>
        <v>E-240102</v>
      </c>
      <c r="D1098" s="130">
        <v>1048</v>
      </c>
      <c r="E1098" s="156" t="s">
        <v>72</v>
      </c>
      <c r="F1098" s="216" t="s">
        <v>874</v>
      </c>
      <c r="G1098" s="193">
        <v>1000</v>
      </c>
      <c r="H1098" s="193">
        <f>94.82+0.18</f>
        <v>95</v>
      </c>
      <c r="I1098" s="193">
        <v>0</v>
      </c>
      <c r="J1098" s="193">
        <v>0</v>
      </c>
      <c r="K1098" s="193">
        <v>20</v>
      </c>
      <c r="L1098" s="193">
        <v>20</v>
      </c>
      <c r="M1098" s="193">
        <v>0</v>
      </c>
      <c r="N1098" s="193">
        <v>0</v>
      </c>
      <c r="O1098" s="193">
        <v>0</v>
      </c>
      <c r="P1098" s="193">
        <v>40</v>
      </c>
      <c r="Q1098" s="193">
        <v>0</v>
      </c>
      <c r="R1098" s="193">
        <v>0</v>
      </c>
      <c r="S1098" s="193">
        <v>0</v>
      </c>
      <c r="T1098" s="193">
        <f t="shared" si="408"/>
        <v>175</v>
      </c>
      <c r="U1098"/>
      <c r="V1098">
        <f>+PRESUPUESTO22[[#This Row],[EJECUTADO ]]-SUM(PRESUPUESTO22[[#This Row],[   ENERO ]:[DIC]])</f>
        <v>0</v>
      </c>
    </row>
    <row r="1099" spans="1:23" ht="18" customHeight="1" x14ac:dyDescent="0.25">
      <c r="A1099" s="52"/>
      <c r="B1099" s="156">
        <v>240103</v>
      </c>
      <c r="C1099" s="130" t="str">
        <f t="shared" si="387"/>
        <v>E-240103</v>
      </c>
      <c r="D1099" s="130">
        <v>1049</v>
      </c>
      <c r="E1099" s="156" t="s">
        <v>72</v>
      </c>
      <c r="F1099" s="216" t="s">
        <v>875</v>
      </c>
      <c r="G1099" s="193">
        <v>13000</v>
      </c>
      <c r="H1099" s="193">
        <v>0</v>
      </c>
      <c r="I1099" s="193">
        <v>2255</v>
      </c>
      <c r="J1099" s="193">
        <v>0</v>
      </c>
      <c r="K1099" s="193">
        <v>10</v>
      </c>
      <c r="L1099" s="193">
        <v>0</v>
      </c>
      <c r="M1099" s="193">
        <f>9.98+0.02</f>
        <v>10</v>
      </c>
      <c r="N1099" s="193">
        <v>3547</v>
      </c>
      <c r="O1099" s="193">
        <f>50.78+0.22</f>
        <v>51</v>
      </c>
      <c r="P1099" s="193">
        <v>0</v>
      </c>
      <c r="Q1099" s="193">
        <v>0</v>
      </c>
      <c r="R1099" s="193">
        <v>0</v>
      </c>
      <c r="S1099" s="193">
        <v>0</v>
      </c>
      <c r="T1099" s="193">
        <f t="shared" si="408"/>
        <v>5873</v>
      </c>
      <c r="U1099"/>
      <c r="V1099">
        <f>+PRESUPUESTO22[[#This Row],[EJECUTADO ]]-SUM(PRESUPUESTO22[[#This Row],[   ENERO ]:[DIC]])</f>
        <v>0</v>
      </c>
    </row>
    <row r="1100" spans="1:23" ht="15.95" customHeight="1" x14ac:dyDescent="0.25">
      <c r="A1100" s="52"/>
      <c r="B1100" s="156">
        <v>240104</v>
      </c>
      <c r="C1100" s="130" t="str">
        <f t="shared" si="387"/>
        <v>E-240104</v>
      </c>
      <c r="D1100" s="130">
        <v>1050</v>
      </c>
      <c r="E1100" s="156" t="s">
        <v>72</v>
      </c>
      <c r="F1100" s="216" t="s">
        <v>876</v>
      </c>
      <c r="G1100" s="193">
        <v>2500</v>
      </c>
      <c r="H1100" s="193">
        <v>0</v>
      </c>
      <c r="I1100" s="193">
        <v>0</v>
      </c>
      <c r="J1100" s="193">
        <v>0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93">
        <v>0</v>
      </c>
      <c r="R1100" s="193">
        <v>0</v>
      </c>
      <c r="S1100" s="193">
        <v>0</v>
      </c>
      <c r="T1100" s="193">
        <f t="shared" si="408"/>
        <v>0</v>
      </c>
      <c r="U1100"/>
      <c r="V1100">
        <f>+PRESUPUESTO22[[#This Row],[EJECUTADO ]]-SUM(PRESUPUESTO22[[#This Row],[   ENERO ]:[DIC]])</f>
        <v>0</v>
      </c>
    </row>
    <row r="1101" spans="1:23" ht="15.95" customHeight="1" x14ac:dyDescent="0.25">
      <c r="A1101" s="52"/>
      <c r="B1101" s="156">
        <v>240105</v>
      </c>
      <c r="C1101" s="130" t="str">
        <f t="shared" si="387"/>
        <v>E-240105</v>
      </c>
      <c r="D1101" s="130">
        <v>1051</v>
      </c>
      <c r="E1101" s="156" t="s">
        <v>72</v>
      </c>
      <c r="F1101" s="216" t="s">
        <v>877</v>
      </c>
      <c r="G1101" s="193">
        <f>3060*12</f>
        <v>36720</v>
      </c>
      <c r="H1101" s="193">
        <v>3060</v>
      </c>
      <c r="I1101" s="193">
        <v>3060</v>
      </c>
      <c r="J1101" s="193">
        <v>3060</v>
      </c>
      <c r="K1101" s="193">
        <v>3060</v>
      </c>
      <c r="L1101" s="193">
        <v>3060</v>
      </c>
      <c r="M1101" s="193">
        <v>3060</v>
      </c>
      <c r="N1101" s="193">
        <v>3060</v>
      </c>
      <c r="O1101" s="193">
        <v>3060</v>
      </c>
      <c r="P1101" s="193">
        <v>2900</v>
      </c>
      <c r="Q1101" s="193">
        <v>2900</v>
      </c>
      <c r="R1101" s="193">
        <v>2900</v>
      </c>
      <c r="S1101" s="193">
        <v>0</v>
      </c>
      <c r="T1101" s="193">
        <f t="shared" si="408"/>
        <v>33180</v>
      </c>
      <c r="U1101"/>
      <c r="V1101">
        <f>+PRESUPUESTO22[[#This Row],[EJECUTADO ]]-SUM(PRESUPUESTO22[[#This Row],[   ENERO ]:[DIC]])</f>
        <v>0</v>
      </c>
    </row>
    <row r="1102" spans="1:23" ht="15.95" customHeight="1" x14ac:dyDescent="0.25">
      <c r="A1102" s="52"/>
      <c r="B1102" s="156">
        <v>240106</v>
      </c>
      <c r="C1102" s="130" t="str">
        <f t="shared" si="387"/>
        <v>E-240106</v>
      </c>
      <c r="D1102" s="130">
        <v>1052</v>
      </c>
      <c r="E1102" s="156" t="s">
        <v>72</v>
      </c>
      <c r="F1102" s="216" t="s">
        <v>878</v>
      </c>
      <c r="G1102" s="193">
        <v>10000</v>
      </c>
      <c r="H1102" s="193">
        <f>241.53+1496.35+0.12</f>
        <v>1737.9999999999998</v>
      </c>
      <c r="I1102" s="193">
        <v>0</v>
      </c>
      <c r="J1102" s="193">
        <f>582.49+526.5+0.01</f>
        <v>1109</v>
      </c>
      <c r="K1102" s="193">
        <v>0</v>
      </c>
      <c r="L1102" s="193">
        <v>0</v>
      </c>
      <c r="M1102" s="193">
        <v>0</v>
      </c>
      <c r="N1102" s="193">
        <f>754.18+128.25-0.43</f>
        <v>882</v>
      </c>
      <c r="O1102" s="193">
        <v>0</v>
      </c>
      <c r="P1102" s="193">
        <f>425.25+72.82-0.07</f>
        <v>498</v>
      </c>
      <c r="Q1102" s="193">
        <f>42.75+0.25</f>
        <v>43</v>
      </c>
      <c r="R1102" s="193">
        <f>369.66+702.07+0.27</f>
        <v>1072</v>
      </c>
      <c r="S1102" s="193">
        <v>0</v>
      </c>
      <c r="T1102" s="193">
        <f t="shared" si="408"/>
        <v>5342</v>
      </c>
      <c r="U1102"/>
      <c r="V1102">
        <f>+PRESUPUESTO22[[#This Row],[EJECUTADO ]]-SUM(PRESUPUESTO22[[#This Row],[   ENERO ]:[DIC]])</f>
        <v>0</v>
      </c>
    </row>
    <row r="1103" spans="1:23" ht="15.95" customHeight="1" x14ac:dyDescent="0.25">
      <c r="A1103" s="49">
        <v>2</v>
      </c>
      <c r="B1103" s="157">
        <v>2402</v>
      </c>
      <c r="C1103" s="130" t="str">
        <f t="shared" si="387"/>
        <v>E-2402</v>
      </c>
      <c r="D1103" s="130">
        <v>1053</v>
      </c>
      <c r="E1103" s="157" t="s">
        <v>69</v>
      </c>
      <c r="F1103" s="219" t="s">
        <v>879</v>
      </c>
      <c r="G1103" s="234">
        <f t="shared" ref="G1103:T1103" si="409">SUM(G1104:G1111)</f>
        <v>54327</v>
      </c>
      <c r="H1103" s="234">
        <f t="shared" si="409"/>
        <v>1665</v>
      </c>
      <c r="I1103" s="234">
        <f t="shared" si="409"/>
        <v>3317.0000000000005</v>
      </c>
      <c r="J1103" s="234">
        <f t="shared" si="409"/>
        <v>3539</v>
      </c>
      <c r="K1103" s="234">
        <f t="shared" si="409"/>
        <v>685</v>
      </c>
      <c r="L1103" s="234">
        <f t="shared" si="409"/>
        <v>909</v>
      </c>
      <c r="M1103" s="234">
        <f t="shared" si="409"/>
        <v>6283</v>
      </c>
      <c r="N1103" s="234">
        <f t="shared" si="409"/>
        <v>4030</v>
      </c>
      <c r="O1103" s="234">
        <f t="shared" si="409"/>
        <v>4362</v>
      </c>
      <c r="P1103" s="234">
        <f t="shared" si="409"/>
        <v>5071</v>
      </c>
      <c r="Q1103" s="234">
        <f t="shared" si="409"/>
        <v>935</v>
      </c>
      <c r="R1103" s="234">
        <f t="shared" si="409"/>
        <v>2678</v>
      </c>
      <c r="S1103" s="234">
        <f t="shared" si="409"/>
        <v>0</v>
      </c>
      <c r="T1103" s="234">
        <f t="shared" si="409"/>
        <v>33474</v>
      </c>
      <c r="U1103"/>
      <c r="V1103">
        <f>+PRESUPUESTO22[[#This Row],[EJECUTADO ]]-SUM(PRESUPUESTO22[[#This Row],[   ENERO ]:[DIC]])</f>
        <v>0</v>
      </c>
      <c r="W1103"/>
    </row>
    <row r="1104" spans="1:23" ht="25.5" customHeight="1" x14ac:dyDescent="0.25">
      <c r="A1104" s="52">
        <v>1</v>
      </c>
      <c r="B1104" s="156">
        <v>240201</v>
      </c>
      <c r="C1104" s="130" t="str">
        <f t="shared" si="387"/>
        <v>E-240201</v>
      </c>
      <c r="D1104" s="130">
        <v>1054</v>
      </c>
      <c r="E1104" s="156" t="s">
        <v>72</v>
      </c>
      <c r="F1104" s="216" t="s">
        <v>880</v>
      </c>
      <c r="G1104" s="193">
        <v>15000</v>
      </c>
      <c r="H1104" s="193">
        <v>0</v>
      </c>
      <c r="I1104" s="193">
        <v>0</v>
      </c>
      <c r="J1104" s="193">
        <v>0</v>
      </c>
      <c r="K1104" s="193">
        <v>0</v>
      </c>
      <c r="L1104" s="193">
        <v>0</v>
      </c>
      <c r="M1104" s="193">
        <f>2000+1400+1977.5+0.5</f>
        <v>5378</v>
      </c>
      <c r="N1104" s="193">
        <v>0</v>
      </c>
      <c r="O1104" s="193">
        <v>0</v>
      </c>
      <c r="P1104" s="193">
        <v>0</v>
      </c>
      <c r="Q1104" s="193">
        <v>0</v>
      </c>
      <c r="R1104" s="193">
        <f>1124.35-0.35</f>
        <v>1124</v>
      </c>
      <c r="S1104" s="193">
        <v>0</v>
      </c>
      <c r="T1104" s="193">
        <f t="shared" ref="T1104:T1111" si="410">SUM(H1104:S1104)</f>
        <v>6502</v>
      </c>
      <c r="U1104"/>
      <c r="V1104">
        <f>+PRESUPUESTO22[[#This Row],[EJECUTADO ]]-SUM(PRESUPUESTO22[[#This Row],[   ENERO ]:[DIC]])</f>
        <v>0</v>
      </c>
      <c r="W1104"/>
    </row>
    <row r="1105" spans="1:23" ht="15.95" customHeight="1" x14ac:dyDescent="0.25">
      <c r="A1105" s="52">
        <f>+A1104+1</f>
        <v>2</v>
      </c>
      <c r="B1105" s="156">
        <v>240202</v>
      </c>
      <c r="C1105" s="130" t="str">
        <f t="shared" si="387"/>
        <v>E-240202</v>
      </c>
      <c r="D1105" s="130">
        <v>1055</v>
      </c>
      <c r="E1105" s="156" t="s">
        <v>72</v>
      </c>
      <c r="F1105" s="216" t="s">
        <v>881</v>
      </c>
      <c r="G1105" s="193">
        <v>20000</v>
      </c>
      <c r="H1105" s="193">
        <f>360.61+619.1+0.29</f>
        <v>980</v>
      </c>
      <c r="I1105" s="193">
        <f>2585.9+46.53-0.43</f>
        <v>2632.0000000000005</v>
      </c>
      <c r="J1105" s="193">
        <f>2853.89+0.11</f>
        <v>2854</v>
      </c>
      <c r="K1105" s="193">
        <v>0</v>
      </c>
      <c r="L1105" s="193">
        <f>191.31-0.31</f>
        <v>191</v>
      </c>
      <c r="M1105" s="193">
        <f>164.64+0.36</f>
        <v>165</v>
      </c>
      <c r="N1105" s="193">
        <f>1744.82+0.18</f>
        <v>1745</v>
      </c>
      <c r="O1105" s="193">
        <f>3677.11-0.11</f>
        <v>3677</v>
      </c>
      <c r="P1105" s="193">
        <f>4017.6+368.39+0.01</f>
        <v>4386</v>
      </c>
      <c r="Q1105" s="193">
        <f>250.03-0.03</f>
        <v>250</v>
      </c>
      <c r="R1105" s="193">
        <f>832.97+36.3-0.27</f>
        <v>869</v>
      </c>
      <c r="S1105" s="193">
        <v>0</v>
      </c>
      <c r="T1105" s="193">
        <f t="shared" si="410"/>
        <v>17749</v>
      </c>
      <c r="U1105"/>
      <c r="V1105">
        <f>+PRESUPUESTO22[[#This Row],[EJECUTADO ]]-SUM(PRESUPUESTO22[[#This Row],[   ENERO ]:[DIC]])</f>
        <v>0</v>
      </c>
      <c r="W1105"/>
    </row>
    <row r="1106" spans="1:23" ht="15.95" customHeight="1" x14ac:dyDescent="0.25">
      <c r="A1106" s="52">
        <f>+A1105+1</f>
        <v>3</v>
      </c>
      <c r="B1106" s="156">
        <v>240203</v>
      </c>
      <c r="C1106" s="130" t="str">
        <f t="shared" si="387"/>
        <v>E-240203</v>
      </c>
      <c r="D1106" s="130">
        <v>1056</v>
      </c>
      <c r="E1106" s="156" t="s">
        <v>72</v>
      </c>
      <c r="F1106" s="216" t="s">
        <v>882</v>
      </c>
      <c r="G1106" s="193">
        <v>3000</v>
      </c>
      <c r="H1106" s="193">
        <v>0</v>
      </c>
      <c r="I1106" s="193">
        <v>0</v>
      </c>
      <c r="J1106" s="193">
        <v>0</v>
      </c>
      <c r="K1106" s="193">
        <v>0</v>
      </c>
      <c r="L1106" s="193">
        <v>33</v>
      </c>
      <c r="M1106" s="193">
        <v>55</v>
      </c>
      <c r="N1106" s="193">
        <v>0</v>
      </c>
      <c r="O1106" s="193">
        <v>0</v>
      </c>
      <c r="P1106" s="193">
        <v>0</v>
      </c>
      <c r="Q1106" s="193">
        <v>0</v>
      </c>
      <c r="R1106" s="193">
        <v>0</v>
      </c>
      <c r="S1106" s="193">
        <v>0</v>
      </c>
      <c r="T1106" s="193">
        <f t="shared" si="410"/>
        <v>88</v>
      </c>
      <c r="U1106"/>
      <c r="V1106">
        <f>+PRESUPUESTO22[[#This Row],[EJECUTADO ]]-SUM(PRESUPUESTO22[[#This Row],[   ENERO ]:[DIC]])</f>
        <v>0</v>
      </c>
      <c r="W1106"/>
    </row>
    <row r="1107" spans="1:23" ht="15.95" customHeight="1" x14ac:dyDescent="0.25">
      <c r="A1107" s="52">
        <f>+A1106+1</f>
        <v>4</v>
      </c>
      <c r="B1107" s="156">
        <v>240204</v>
      </c>
      <c r="C1107" s="130" t="str">
        <f t="shared" si="387"/>
        <v>E-240204</v>
      </c>
      <c r="D1107" s="130">
        <v>1057</v>
      </c>
      <c r="E1107" s="156" t="s">
        <v>72</v>
      </c>
      <c r="F1107" s="216" t="s">
        <v>883</v>
      </c>
      <c r="G1107" s="193">
        <v>5000</v>
      </c>
      <c r="H1107" s="193">
        <v>0</v>
      </c>
      <c r="I1107" s="193">
        <v>0</v>
      </c>
      <c r="J1107" s="193">
        <v>0</v>
      </c>
      <c r="K1107" s="193">
        <v>0</v>
      </c>
      <c r="L1107" s="193">
        <v>0</v>
      </c>
      <c r="M1107" s="193">
        <v>0</v>
      </c>
      <c r="N1107" s="193">
        <v>1600</v>
      </c>
      <c r="O1107" s="193">
        <v>0</v>
      </c>
      <c r="P1107" s="193">
        <v>0</v>
      </c>
      <c r="Q1107" s="193">
        <v>0</v>
      </c>
      <c r="R1107" s="193">
        <v>0</v>
      </c>
      <c r="S1107" s="193">
        <v>0</v>
      </c>
      <c r="T1107" s="193">
        <f t="shared" si="410"/>
        <v>1600</v>
      </c>
      <c r="U1107"/>
      <c r="V1107">
        <f>+PRESUPUESTO22[[#This Row],[EJECUTADO ]]-SUM(PRESUPUESTO22[[#This Row],[   ENERO ]:[DIC]])</f>
        <v>0</v>
      </c>
      <c r="W1107"/>
    </row>
    <row r="1108" spans="1:23" ht="15.95" customHeight="1" x14ac:dyDescent="0.25">
      <c r="A1108" s="52">
        <f t="shared" ref="A1108:A1111" si="411">+A1107+1</f>
        <v>5</v>
      </c>
      <c r="B1108" s="156">
        <v>240205</v>
      </c>
      <c r="C1108" s="130" t="str">
        <f t="shared" si="387"/>
        <v>E-240205</v>
      </c>
      <c r="D1108" s="130">
        <v>1058</v>
      </c>
      <c r="E1108" s="156" t="s">
        <v>72</v>
      </c>
      <c r="F1108" s="216" t="s">
        <v>884</v>
      </c>
      <c r="G1108" s="193">
        <v>3000</v>
      </c>
      <c r="H1108" s="193">
        <v>0</v>
      </c>
      <c r="I1108" s="193">
        <v>0</v>
      </c>
      <c r="J1108" s="193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>
        <v>0</v>
      </c>
      <c r="P1108" s="193">
        <v>0</v>
      </c>
      <c r="Q1108" s="193">
        <v>0</v>
      </c>
      <c r="R1108" s="193">
        <v>0</v>
      </c>
      <c r="S1108" s="193">
        <v>0</v>
      </c>
      <c r="T1108" s="193">
        <f t="shared" si="410"/>
        <v>0</v>
      </c>
      <c r="U1108"/>
      <c r="V1108">
        <f>+PRESUPUESTO22[[#This Row],[EJECUTADO ]]-SUM(PRESUPUESTO22[[#This Row],[   ENERO ]:[DIC]])</f>
        <v>0</v>
      </c>
      <c r="W1108"/>
    </row>
    <row r="1109" spans="1:23" ht="15.95" customHeight="1" x14ac:dyDescent="0.25">
      <c r="A1109" s="52">
        <f t="shared" si="411"/>
        <v>6</v>
      </c>
      <c r="B1109" s="156">
        <v>240206</v>
      </c>
      <c r="C1109" s="130" t="str">
        <f t="shared" si="387"/>
        <v>E-240206</v>
      </c>
      <c r="D1109" s="130">
        <v>1059</v>
      </c>
      <c r="E1109" s="156" t="s">
        <v>72</v>
      </c>
      <c r="F1109" s="216" t="s">
        <v>885</v>
      </c>
      <c r="G1109" s="193">
        <v>7680</v>
      </c>
      <c r="H1109" s="193">
        <v>640</v>
      </c>
      <c r="I1109" s="193">
        <v>640</v>
      </c>
      <c r="J1109" s="193">
        <v>640</v>
      </c>
      <c r="K1109" s="193">
        <v>640</v>
      </c>
      <c r="L1109" s="193">
        <v>640</v>
      </c>
      <c r="M1109" s="193">
        <v>640</v>
      </c>
      <c r="N1109" s="193">
        <v>640</v>
      </c>
      <c r="O1109" s="193">
        <v>640</v>
      </c>
      <c r="P1109" s="193">
        <v>640</v>
      </c>
      <c r="Q1109" s="193">
        <v>640</v>
      </c>
      <c r="R1109" s="193">
        <v>640</v>
      </c>
      <c r="S1109" s="193">
        <v>0</v>
      </c>
      <c r="T1109" s="193">
        <f t="shared" si="410"/>
        <v>7040</v>
      </c>
      <c r="U1109"/>
      <c r="V1109">
        <f>+PRESUPUESTO22[[#This Row],[EJECUTADO ]]-SUM(PRESUPUESTO22[[#This Row],[   ENERO ]:[DIC]])</f>
        <v>0</v>
      </c>
      <c r="W1109"/>
    </row>
    <row r="1110" spans="1:23" ht="15.95" customHeight="1" x14ac:dyDescent="0.25">
      <c r="A1110" s="52">
        <f t="shared" si="411"/>
        <v>7</v>
      </c>
      <c r="B1110" s="156">
        <v>240207</v>
      </c>
      <c r="C1110" s="130" t="str">
        <f t="shared" si="387"/>
        <v>E-240207</v>
      </c>
      <c r="D1110" s="130">
        <v>1060</v>
      </c>
      <c r="E1110" s="156" t="s">
        <v>72</v>
      </c>
      <c r="F1110" s="216" t="s">
        <v>886</v>
      </c>
      <c r="G1110" s="193">
        <v>107</v>
      </c>
      <c r="H1110" s="193">
        <v>0</v>
      </c>
      <c r="I1110" s="193">
        <v>0</v>
      </c>
      <c r="J1110" s="193">
        <v>0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93">
        <v>0</v>
      </c>
      <c r="R1110" s="193">
        <v>0</v>
      </c>
      <c r="S1110" s="193">
        <v>0</v>
      </c>
      <c r="T1110" s="193">
        <f t="shared" si="410"/>
        <v>0</v>
      </c>
      <c r="U1110"/>
      <c r="V1110">
        <f>+PRESUPUESTO22[[#This Row],[EJECUTADO ]]-SUM(PRESUPUESTO22[[#This Row],[   ENERO ]:[DIC]])</f>
        <v>0</v>
      </c>
      <c r="W1110"/>
    </row>
    <row r="1111" spans="1:23" ht="15.95" customHeight="1" x14ac:dyDescent="0.25">
      <c r="A1111" s="52">
        <f t="shared" si="411"/>
        <v>8</v>
      </c>
      <c r="B1111" s="156">
        <v>240208</v>
      </c>
      <c r="C1111" s="130" t="str">
        <f t="shared" si="387"/>
        <v>E-240208</v>
      </c>
      <c r="D1111" s="130">
        <v>1061</v>
      </c>
      <c r="E1111" s="156" t="s">
        <v>72</v>
      </c>
      <c r="F1111" s="216" t="s">
        <v>887</v>
      </c>
      <c r="G1111" s="193">
        <f>45*12</f>
        <v>540</v>
      </c>
      <c r="H1111" s="193">
        <v>45</v>
      </c>
      <c r="I1111" s="193">
        <v>45</v>
      </c>
      <c r="J1111" s="193">
        <v>45</v>
      </c>
      <c r="K1111" s="193">
        <v>45</v>
      </c>
      <c r="L1111" s="193">
        <v>45</v>
      </c>
      <c r="M1111" s="193">
        <v>45</v>
      </c>
      <c r="N1111" s="193">
        <v>45</v>
      </c>
      <c r="O1111" s="193">
        <v>45</v>
      </c>
      <c r="P1111" s="193">
        <v>45</v>
      </c>
      <c r="Q1111" s="193">
        <v>45</v>
      </c>
      <c r="R1111" s="193">
        <v>45</v>
      </c>
      <c r="S1111" s="193">
        <v>0</v>
      </c>
      <c r="T1111" s="193">
        <f t="shared" si="410"/>
        <v>495</v>
      </c>
      <c r="U1111"/>
      <c r="V1111">
        <f>+PRESUPUESTO22[[#This Row],[EJECUTADO ]]-SUM(PRESUPUESTO22[[#This Row],[   ENERO ]:[DIC]])</f>
        <v>0</v>
      </c>
      <c r="W1111"/>
    </row>
    <row r="1112" spans="1:23" ht="15.95" customHeight="1" x14ac:dyDescent="0.25">
      <c r="A1112" s="49">
        <v>3</v>
      </c>
      <c r="B1112" s="157">
        <v>2403</v>
      </c>
      <c r="C1112" s="130" t="str">
        <f t="shared" si="387"/>
        <v>E-2403</v>
      </c>
      <c r="D1112" s="130">
        <v>1062</v>
      </c>
      <c r="E1112" s="157" t="s">
        <v>69</v>
      </c>
      <c r="F1112" s="219" t="s">
        <v>888</v>
      </c>
      <c r="G1112" s="234">
        <f t="shared" ref="G1112:T1112" si="412">+G1113+G1116+G1119+G1124</f>
        <v>69700</v>
      </c>
      <c r="H1112" s="234">
        <f t="shared" si="412"/>
        <v>367</v>
      </c>
      <c r="I1112" s="234">
        <f t="shared" si="412"/>
        <v>0</v>
      </c>
      <c r="J1112" s="234">
        <f t="shared" si="412"/>
        <v>0</v>
      </c>
      <c r="K1112" s="234">
        <f t="shared" si="412"/>
        <v>0</v>
      </c>
      <c r="L1112" s="234">
        <f t="shared" si="412"/>
        <v>0</v>
      </c>
      <c r="M1112" s="234">
        <f t="shared" si="412"/>
        <v>5305</v>
      </c>
      <c r="N1112" s="234">
        <f t="shared" si="412"/>
        <v>0</v>
      </c>
      <c r="O1112" s="234">
        <f t="shared" si="412"/>
        <v>3390</v>
      </c>
      <c r="P1112" s="234">
        <f t="shared" si="412"/>
        <v>0</v>
      </c>
      <c r="Q1112" s="234">
        <f t="shared" si="412"/>
        <v>0</v>
      </c>
      <c r="R1112" s="234">
        <f t="shared" si="412"/>
        <v>9966</v>
      </c>
      <c r="S1112" s="234">
        <f t="shared" si="412"/>
        <v>0</v>
      </c>
      <c r="T1112" s="234">
        <f t="shared" si="412"/>
        <v>19028</v>
      </c>
      <c r="U1112"/>
      <c r="V1112">
        <f>+PRESUPUESTO22[[#This Row],[EJECUTADO ]]-SUM(PRESUPUESTO22[[#This Row],[   ENERO ]:[DIC]])</f>
        <v>0</v>
      </c>
    </row>
    <row r="1113" spans="1:23" ht="15.95" customHeight="1" x14ac:dyDescent="0.25">
      <c r="A1113" s="52" t="s">
        <v>1</v>
      </c>
      <c r="B1113" s="151">
        <v>240301</v>
      </c>
      <c r="C1113" s="130" t="str">
        <f t="shared" si="387"/>
        <v>E-240301</v>
      </c>
      <c r="D1113" s="130">
        <v>1063</v>
      </c>
      <c r="E1113" s="151" t="s">
        <v>69</v>
      </c>
      <c r="F1113" s="247" t="s">
        <v>889</v>
      </c>
      <c r="G1113" s="192">
        <f>SUM(G1114:G1115)</f>
        <v>6000</v>
      </c>
      <c r="H1113" s="192">
        <f>SUM(H1114:H1115)</f>
        <v>0</v>
      </c>
      <c r="I1113" s="192">
        <f t="shared" ref="I1113:T1113" si="413">SUM(I1114:I1115)</f>
        <v>0</v>
      </c>
      <c r="J1113" s="192">
        <f t="shared" si="413"/>
        <v>0</v>
      </c>
      <c r="K1113" s="192">
        <f t="shared" si="413"/>
        <v>0</v>
      </c>
      <c r="L1113" s="192">
        <f t="shared" si="413"/>
        <v>0</v>
      </c>
      <c r="M1113" s="192">
        <f t="shared" si="413"/>
        <v>997</v>
      </c>
      <c r="N1113" s="192">
        <f t="shared" si="413"/>
        <v>0</v>
      </c>
      <c r="O1113" s="192">
        <f t="shared" si="413"/>
        <v>0</v>
      </c>
      <c r="P1113" s="192">
        <f t="shared" si="413"/>
        <v>0</v>
      </c>
      <c r="Q1113" s="192">
        <f t="shared" si="413"/>
        <v>0</v>
      </c>
      <c r="R1113" s="192">
        <f t="shared" si="413"/>
        <v>0</v>
      </c>
      <c r="S1113" s="192">
        <f t="shared" si="413"/>
        <v>0</v>
      </c>
      <c r="T1113" s="192">
        <f t="shared" si="413"/>
        <v>997</v>
      </c>
      <c r="U1113"/>
      <c r="V1113">
        <f>+PRESUPUESTO22[[#This Row],[EJECUTADO ]]-SUM(PRESUPUESTO22[[#This Row],[   ENERO ]:[DIC]])</f>
        <v>0</v>
      </c>
    </row>
    <row r="1114" spans="1:23" ht="19.5" customHeight="1" x14ac:dyDescent="0.25">
      <c r="A1114" s="52"/>
      <c r="B1114" s="156">
        <v>24030101</v>
      </c>
      <c r="C1114" s="130" t="str">
        <f t="shared" si="387"/>
        <v>E-24030101</v>
      </c>
      <c r="D1114" s="130">
        <v>1064</v>
      </c>
      <c r="E1114" s="156" t="s">
        <v>72</v>
      </c>
      <c r="F1114" s="216" t="s">
        <v>890</v>
      </c>
      <c r="G1114" s="193">
        <v>5000</v>
      </c>
      <c r="H1114" s="193">
        <v>0</v>
      </c>
      <c r="I1114" s="193">
        <v>0</v>
      </c>
      <c r="J1114" s="193">
        <v>0</v>
      </c>
      <c r="K1114" s="193">
        <v>0</v>
      </c>
      <c r="L1114" s="193">
        <v>0</v>
      </c>
      <c r="M1114" s="193">
        <f>996.89+0.11</f>
        <v>997</v>
      </c>
      <c r="N1114" s="193">
        <v>0</v>
      </c>
      <c r="O1114" s="193">
        <v>0</v>
      </c>
      <c r="P1114" s="193">
        <v>0</v>
      </c>
      <c r="Q1114" s="193">
        <v>0</v>
      </c>
      <c r="R1114" s="193">
        <v>0</v>
      </c>
      <c r="S1114" s="193">
        <v>0</v>
      </c>
      <c r="T1114" s="193">
        <f>SUM(H1114:S1114)</f>
        <v>997</v>
      </c>
      <c r="U1114"/>
      <c r="V1114">
        <f>+PRESUPUESTO22[[#This Row],[EJECUTADO ]]-SUM(PRESUPUESTO22[[#This Row],[   ENERO ]:[DIC]])</f>
        <v>0</v>
      </c>
    </row>
    <row r="1115" spans="1:23" ht="18.75" customHeight="1" x14ac:dyDescent="0.25">
      <c r="A1115" s="52"/>
      <c r="B1115" s="156">
        <v>24030102</v>
      </c>
      <c r="C1115" s="130" t="str">
        <f t="shared" si="387"/>
        <v>E-24030102</v>
      </c>
      <c r="D1115" s="130">
        <v>1065</v>
      </c>
      <c r="E1115" s="156" t="s">
        <v>72</v>
      </c>
      <c r="F1115" s="216" t="s">
        <v>891</v>
      </c>
      <c r="G1115" s="193">
        <v>1000</v>
      </c>
      <c r="H1115" s="193">
        <v>0</v>
      </c>
      <c r="I1115" s="193">
        <v>0</v>
      </c>
      <c r="J1115" s="193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>
        <v>0</v>
      </c>
      <c r="P1115" s="193">
        <v>0</v>
      </c>
      <c r="Q1115" s="193">
        <v>0</v>
      </c>
      <c r="R1115" s="193">
        <v>0</v>
      </c>
      <c r="S1115" s="193">
        <v>0</v>
      </c>
      <c r="T1115" s="193">
        <f>SUM(H1115:S1115)</f>
        <v>0</v>
      </c>
      <c r="U1115"/>
      <c r="V1115">
        <f>+PRESUPUESTO22[[#This Row],[EJECUTADO ]]-SUM(PRESUPUESTO22[[#This Row],[   ENERO ]:[DIC]])</f>
        <v>0</v>
      </c>
    </row>
    <row r="1116" spans="1:23" ht="15.95" customHeight="1" x14ac:dyDescent="0.25">
      <c r="A1116" s="52"/>
      <c r="B1116" s="151">
        <v>240302</v>
      </c>
      <c r="C1116" s="130" t="str">
        <f t="shared" si="387"/>
        <v>E-240302</v>
      </c>
      <c r="D1116" s="130">
        <v>1066</v>
      </c>
      <c r="E1116" s="151" t="s">
        <v>69</v>
      </c>
      <c r="F1116" s="247" t="s">
        <v>892</v>
      </c>
      <c r="G1116" s="192">
        <f t="shared" ref="G1116:T1116" si="414">SUM(G1117:G1118)</f>
        <v>30000</v>
      </c>
      <c r="H1116" s="192">
        <f t="shared" si="414"/>
        <v>367</v>
      </c>
      <c r="I1116" s="192">
        <f t="shared" si="414"/>
        <v>0</v>
      </c>
      <c r="J1116" s="192">
        <f t="shared" si="414"/>
        <v>0</v>
      </c>
      <c r="K1116" s="192">
        <f t="shared" si="414"/>
        <v>0</v>
      </c>
      <c r="L1116" s="192">
        <f t="shared" si="414"/>
        <v>0</v>
      </c>
      <c r="M1116" s="192">
        <f t="shared" si="414"/>
        <v>4308</v>
      </c>
      <c r="N1116" s="192">
        <f t="shared" si="414"/>
        <v>0</v>
      </c>
      <c r="O1116" s="192">
        <f t="shared" si="414"/>
        <v>3390</v>
      </c>
      <c r="P1116" s="192">
        <f t="shared" si="414"/>
        <v>0</v>
      </c>
      <c r="Q1116" s="192">
        <f t="shared" si="414"/>
        <v>0</v>
      </c>
      <c r="R1116" s="192">
        <f t="shared" si="414"/>
        <v>0</v>
      </c>
      <c r="S1116" s="192">
        <f t="shared" si="414"/>
        <v>0</v>
      </c>
      <c r="T1116" s="192">
        <f t="shared" si="414"/>
        <v>8065</v>
      </c>
      <c r="U1116"/>
      <c r="V1116">
        <f>+PRESUPUESTO22[[#This Row],[EJECUTADO ]]-SUM(PRESUPUESTO22[[#This Row],[   ENERO ]:[DIC]])</f>
        <v>0</v>
      </c>
    </row>
    <row r="1117" spans="1:23" ht="17.25" customHeight="1" x14ac:dyDescent="0.25">
      <c r="A1117" s="52"/>
      <c r="B1117" s="156">
        <v>24030201</v>
      </c>
      <c r="C1117" s="130" t="str">
        <f t="shared" ref="C1117:C1180" si="415">"E"&amp;"-"&amp;B1117</f>
        <v>E-24030201</v>
      </c>
      <c r="D1117" s="130">
        <v>1067</v>
      </c>
      <c r="E1117" s="156" t="s">
        <v>72</v>
      </c>
      <c r="F1117" s="216" t="s">
        <v>893</v>
      </c>
      <c r="G1117" s="193">
        <v>13000</v>
      </c>
      <c r="H1117" s="193">
        <v>0</v>
      </c>
      <c r="I1117" s="193">
        <v>0</v>
      </c>
      <c r="J1117" s="193">
        <v>0</v>
      </c>
      <c r="K1117" s="193">
        <v>0</v>
      </c>
      <c r="L1117" s="193">
        <v>0</v>
      </c>
      <c r="M1117" s="193">
        <f>3107.5+0.5</f>
        <v>3108</v>
      </c>
      <c r="N1117" s="193">
        <v>0</v>
      </c>
      <c r="O1117" s="193">
        <v>3390</v>
      </c>
      <c r="P1117" s="193">
        <v>0</v>
      </c>
      <c r="Q1117" s="193">
        <v>0</v>
      </c>
      <c r="R1117" s="193">
        <v>0</v>
      </c>
      <c r="S1117" s="193">
        <v>0</v>
      </c>
      <c r="T1117" s="193">
        <f>SUM(H1117:S1117)</f>
        <v>6498</v>
      </c>
      <c r="U1117"/>
      <c r="V1117">
        <f>+PRESUPUESTO22[[#This Row],[EJECUTADO ]]-SUM(PRESUPUESTO22[[#This Row],[   ENERO ]:[DIC]])</f>
        <v>0</v>
      </c>
    </row>
    <row r="1118" spans="1:23" ht="15.95" customHeight="1" x14ac:dyDescent="0.25">
      <c r="A1118" s="52"/>
      <c r="B1118" s="156">
        <v>24030202</v>
      </c>
      <c r="C1118" s="130" t="str">
        <f t="shared" si="415"/>
        <v>E-24030202</v>
      </c>
      <c r="D1118" s="130">
        <v>1068</v>
      </c>
      <c r="E1118" s="156" t="s">
        <v>72</v>
      </c>
      <c r="F1118" s="216" t="s">
        <v>894</v>
      </c>
      <c r="G1118" s="193">
        <v>17000</v>
      </c>
      <c r="H1118" s="193">
        <f>367.25-0.25</f>
        <v>367</v>
      </c>
      <c r="I1118" s="193">
        <v>0</v>
      </c>
      <c r="J1118" s="193">
        <v>0</v>
      </c>
      <c r="K1118" s="193">
        <v>0</v>
      </c>
      <c r="L1118" s="193">
        <v>0</v>
      </c>
      <c r="M1118" s="193">
        <v>1200</v>
      </c>
      <c r="N1118" s="193">
        <v>0</v>
      </c>
      <c r="O1118" s="193">
        <v>0</v>
      </c>
      <c r="P1118" s="193">
        <v>0</v>
      </c>
      <c r="Q1118" s="193">
        <v>0</v>
      </c>
      <c r="R1118" s="193">
        <v>0</v>
      </c>
      <c r="S1118" s="193">
        <v>0</v>
      </c>
      <c r="T1118" s="193">
        <f>SUM(H1118:S1118)</f>
        <v>1567</v>
      </c>
      <c r="U1118"/>
      <c r="V1118">
        <f>+PRESUPUESTO22[[#This Row],[EJECUTADO ]]-SUM(PRESUPUESTO22[[#This Row],[   ENERO ]:[DIC]])</f>
        <v>0</v>
      </c>
    </row>
    <row r="1119" spans="1:23" ht="15.95" customHeight="1" x14ac:dyDescent="0.25">
      <c r="A1119" s="52"/>
      <c r="B1119" s="151">
        <v>240303</v>
      </c>
      <c r="C1119" s="130" t="str">
        <f t="shared" si="415"/>
        <v>E-240303</v>
      </c>
      <c r="D1119" s="130">
        <v>1069</v>
      </c>
      <c r="E1119" s="151" t="s">
        <v>69</v>
      </c>
      <c r="F1119" s="247" t="s">
        <v>895</v>
      </c>
      <c r="G1119" s="192">
        <f t="shared" ref="G1119:T1119" si="416">SUM(G1120:G1123)</f>
        <v>10000</v>
      </c>
      <c r="H1119" s="192">
        <f t="shared" si="416"/>
        <v>0</v>
      </c>
      <c r="I1119" s="192">
        <f t="shared" si="416"/>
        <v>0</v>
      </c>
      <c r="J1119" s="192">
        <f t="shared" si="416"/>
        <v>0</v>
      </c>
      <c r="K1119" s="192">
        <f t="shared" si="416"/>
        <v>0</v>
      </c>
      <c r="L1119" s="192">
        <f t="shared" si="416"/>
        <v>0</v>
      </c>
      <c r="M1119" s="192">
        <f t="shared" si="416"/>
        <v>0</v>
      </c>
      <c r="N1119" s="192">
        <f t="shared" si="416"/>
        <v>0</v>
      </c>
      <c r="O1119" s="192">
        <f t="shared" si="416"/>
        <v>0</v>
      </c>
      <c r="P1119" s="192">
        <f t="shared" si="416"/>
        <v>0</v>
      </c>
      <c r="Q1119" s="192">
        <f t="shared" si="416"/>
        <v>0</v>
      </c>
      <c r="R1119" s="192">
        <f t="shared" si="416"/>
        <v>9966</v>
      </c>
      <c r="S1119" s="192">
        <f t="shared" si="416"/>
        <v>0</v>
      </c>
      <c r="T1119" s="192">
        <f t="shared" si="416"/>
        <v>9966</v>
      </c>
      <c r="U1119"/>
      <c r="V1119">
        <f>+PRESUPUESTO22[[#This Row],[EJECUTADO ]]-SUM(PRESUPUESTO22[[#This Row],[   ENERO ]:[DIC]])</f>
        <v>0</v>
      </c>
    </row>
    <row r="1120" spans="1:23" ht="15" x14ac:dyDescent="0.25">
      <c r="A1120" s="52"/>
      <c r="B1120" s="156">
        <v>24030301</v>
      </c>
      <c r="C1120" s="130" t="str">
        <f t="shared" si="415"/>
        <v>E-24030301</v>
      </c>
      <c r="D1120" s="130">
        <v>1070</v>
      </c>
      <c r="E1120" s="156" t="s">
        <v>72</v>
      </c>
      <c r="F1120" s="216" t="s">
        <v>896</v>
      </c>
      <c r="G1120" s="193">
        <v>3500</v>
      </c>
      <c r="H1120" s="193">
        <v>0</v>
      </c>
      <c r="I1120" s="193">
        <v>0</v>
      </c>
      <c r="J1120" s="193">
        <v>0</v>
      </c>
      <c r="K1120" s="193">
        <v>0</v>
      </c>
      <c r="L1120" s="193">
        <v>0</v>
      </c>
      <c r="M1120" s="193">
        <v>0</v>
      </c>
      <c r="N1120" s="193">
        <v>0</v>
      </c>
      <c r="O1120" s="193">
        <v>0</v>
      </c>
      <c r="P1120" s="193">
        <v>0</v>
      </c>
      <c r="Q1120" s="193">
        <v>0</v>
      </c>
      <c r="R1120" s="193">
        <v>3663</v>
      </c>
      <c r="S1120" s="193">
        <v>0</v>
      </c>
      <c r="T1120" s="193">
        <f>SUM(H1120:S1120)</f>
        <v>3663</v>
      </c>
      <c r="U1120"/>
      <c r="V1120">
        <f>+PRESUPUESTO22[[#This Row],[EJECUTADO ]]-SUM(PRESUPUESTO22[[#This Row],[   ENERO ]:[DIC]])</f>
        <v>0</v>
      </c>
    </row>
    <row r="1121" spans="1:22" ht="15" x14ac:dyDescent="0.25">
      <c r="A1121" s="52"/>
      <c r="B1121" s="156">
        <v>24030302</v>
      </c>
      <c r="C1121" s="130" t="str">
        <f t="shared" si="415"/>
        <v>E-24030302</v>
      </c>
      <c r="D1121" s="130">
        <v>1071</v>
      </c>
      <c r="E1121" s="156" t="s">
        <v>72</v>
      </c>
      <c r="F1121" s="216" t="s">
        <v>585</v>
      </c>
      <c r="G1121" s="193">
        <v>2500</v>
      </c>
      <c r="H1121" s="193">
        <v>0</v>
      </c>
      <c r="I1121" s="193">
        <v>0</v>
      </c>
      <c r="J1121" s="193">
        <v>0</v>
      </c>
      <c r="K1121" s="193">
        <v>0</v>
      </c>
      <c r="L1121" s="193">
        <v>0</v>
      </c>
      <c r="M1121" s="193">
        <v>0</v>
      </c>
      <c r="N1121" s="193">
        <v>0</v>
      </c>
      <c r="O1121" s="193">
        <v>0</v>
      </c>
      <c r="P1121" s="193">
        <v>0</v>
      </c>
      <c r="Q1121" s="193">
        <v>0</v>
      </c>
      <c r="R1121" s="193">
        <f>1049.77+380+0.23</f>
        <v>1430</v>
      </c>
      <c r="S1121" s="193">
        <v>0</v>
      </c>
      <c r="T1121" s="193">
        <f>SUM(H1121:S1121)</f>
        <v>1430</v>
      </c>
      <c r="U1121"/>
      <c r="V1121">
        <f>+PRESUPUESTO22[[#This Row],[EJECUTADO ]]-SUM(PRESUPUESTO22[[#This Row],[   ENERO ]:[DIC]])</f>
        <v>0</v>
      </c>
    </row>
    <row r="1122" spans="1:22" ht="15" x14ac:dyDescent="0.25">
      <c r="A1122" s="52"/>
      <c r="B1122" s="156">
        <v>24030303</v>
      </c>
      <c r="C1122" s="130" t="str">
        <f t="shared" si="415"/>
        <v>E-24030303</v>
      </c>
      <c r="D1122" s="130">
        <v>1072</v>
      </c>
      <c r="E1122" s="156" t="s">
        <v>72</v>
      </c>
      <c r="F1122" s="216" t="s">
        <v>897</v>
      </c>
      <c r="G1122" s="193">
        <v>2000</v>
      </c>
      <c r="H1122" s="193">
        <v>0</v>
      </c>
      <c r="I1122" s="193">
        <v>0</v>
      </c>
      <c r="J1122" s="193">
        <v>0</v>
      </c>
      <c r="K1122" s="193">
        <v>0</v>
      </c>
      <c r="L1122" s="193">
        <v>0</v>
      </c>
      <c r="M1122" s="193">
        <v>0</v>
      </c>
      <c r="N1122" s="193">
        <v>0</v>
      </c>
      <c r="O1122" s="193">
        <v>0</v>
      </c>
      <c r="P1122" s="193">
        <v>0</v>
      </c>
      <c r="Q1122" s="193">
        <v>0</v>
      </c>
      <c r="R1122" s="193">
        <v>825</v>
      </c>
      <c r="S1122" s="193">
        <v>0</v>
      </c>
      <c r="T1122" s="193">
        <f>SUM(H1122:S1122)</f>
        <v>825</v>
      </c>
      <c r="U1122"/>
      <c r="V1122">
        <f>+PRESUPUESTO22[[#This Row],[EJECUTADO ]]-SUM(PRESUPUESTO22[[#This Row],[   ENERO ]:[DIC]])</f>
        <v>0</v>
      </c>
    </row>
    <row r="1123" spans="1:22" ht="15.75" customHeight="1" x14ac:dyDescent="0.25">
      <c r="A1123" s="52"/>
      <c r="B1123" s="156">
        <v>24030304</v>
      </c>
      <c r="C1123" s="130" t="str">
        <f t="shared" si="415"/>
        <v>E-24030304</v>
      </c>
      <c r="D1123" s="130">
        <v>1073</v>
      </c>
      <c r="E1123" s="156" t="s">
        <v>72</v>
      </c>
      <c r="F1123" s="216" t="s">
        <v>898</v>
      </c>
      <c r="G1123" s="193">
        <v>2000</v>
      </c>
      <c r="H1123" s="193">
        <v>0</v>
      </c>
      <c r="I1123" s="193">
        <v>0</v>
      </c>
      <c r="J1123" s="193">
        <v>0</v>
      </c>
      <c r="K1123" s="193">
        <v>0</v>
      </c>
      <c r="L1123" s="193">
        <v>0</v>
      </c>
      <c r="M1123" s="193">
        <v>0</v>
      </c>
      <c r="N1123" s="193">
        <v>0</v>
      </c>
      <c r="O1123" s="193">
        <v>0</v>
      </c>
      <c r="P1123" s="193">
        <v>0</v>
      </c>
      <c r="Q1123" s="193">
        <v>0</v>
      </c>
      <c r="R1123" s="193">
        <f>380+240+1550+265+240+175+682.5+375+0.5+140</f>
        <v>4048</v>
      </c>
      <c r="S1123" s="193">
        <v>0</v>
      </c>
      <c r="T1123" s="193">
        <f>SUM(H1123:S1123)</f>
        <v>4048</v>
      </c>
      <c r="U1123"/>
      <c r="V1123">
        <f>+PRESUPUESTO22[[#This Row],[EJECUTADO ]]-SUM(PRESUPUESTO22[[#This Row],[   ENERO ]:[DIC]])</f>
        <v>0</v>
      </c>
    </row>
    <row r="1124" spans="1:22" ht="15.95" customHeight="1" x14ac:dyDescent="0.25">
      <c r="A1124" s="52"/>
      <c r="B1124" s="151">
        <v>240304</v>
      </c>
      <c r="C1124" s="130" t="str">
        <f t="shared" si="415"/>
        <v>E-240304</v>
      </c>
      <c r="D1124" s="130">
        <v>1074</v>
      </c>
      <c r="E1124" s="151" t="s">
        <v>69</v>
      </c>
      <c r="F1124" s="247" t="s">
        <v>899</v>
      </c>
      <c r="G1124" s="192">
        <f t="shared" ref="G1124:T1124" si="417">SUM(G1125:G1130)</f>
        <v>23700</v>
      </c>
      <c r="H1124" s="192">
        <f t="shared" si="417"/>
        <v>0</v>
      </c>
      <c r="I1124" s="192">
        <f t="shared" si="417"/>
        <v>0</v>
      </c>
      <c r="J1124" s="192">
        <f t="shared" si="417"/>
        <v>0</v>
      </c>
      <c r="K1124" s="192">
        <f t="shared" si="417"/>
        <v>0</v>
      </c>
      <c r="L1124" s="192">
        <f t="shared" si="417"/>
        <v>0</v>
      </c>
      <c r="M1124" s="192">
        <f t="shared" si="417"/>
        <v>0</v>
      </c>
      <c r="N1124" s="192">
        <f t="shared" si="417"/>
        <v>0</v>
      </c>
      <c r="O1124" s="192">
        <f t="shared" si="417"/>
        <v>0</v>
      </c>
      <c r="P1124" s="192">
        <f t="shared" si="417"/>
        <v>0</v>
      </c>
      <c r="Q1124" s="192">
        <f t="shared" si="417"/>
        <v>0</v>
      </c>
      <c r="R1124" s="192">
        <f t="shared" si="417"/>
        <v>0</v>
      </c>
      <c r="S1124" s="192">
        <f t="shared" si="417"/>
        <v>0</v>
      </c>
      <c r="T1124" s="192">
        <f t="shared" si="417"/>
        <v>0</v>
      </c>
      <c r="U1124"/>
      <c r="V1124">
        <f>+PRESUPUESTO22[[#This Row],[EJECUTADO ]]-SUM(PRESUPUESTO22[[#This Row],[   ENERO ]:[DIC]])</f>
        <v>0</v>
      </c>
    </row>
    <row r="1125" spans="1:22" ht="15.95" customHeight="1" x14ac:dyDescent="0.25">
      <c r="A1125" s="52"/>
      <c r="B1125" s="156">
        <v>24030401</v>
      </c>
      <c r="C1125" s="130" t="str">
        <f t="shared" si="415"/>
        <v>E-24030401</v>
      </c>
      <c r="D1125" s="130">
        <v>1075</v>
      </c>
      <c r="E1125" s="156" t="s">
        <v>72</v>
      </c>
      <c r="F1125" s="216" t="s">
        <v>900</v>
      </c>
      <c r="G1125" s="193">
        <v>500</v>
      </c>
      <c r="H1125" s="193">
        <v>0</v>
      </c>
      <c r="I1125" s="193">
        <v>0</v>
      </c>
      <c r="J1125" s="193">
        <v>0</v>
      </c>
      <c r="K1125" s="193">
        <v>0</v>
      </c>
      <c r="L1125" s="193">
        <v>0</v>
      </c>
      <c r="M1125" s="193">
        <v>0</v>
      </c>
      <c r="N1125" s="193">
        <v>0</v>
      </c>
      <c r="O1125" s="193">
        <v>0</v>
      </c>
      <c r="P1125" s="193">
        <v>0</v>
      </c>
      <c r="Q1125" s="193">
        <v>0</v>
      </c>
      <c r="R1125" s="193">
        <v>0</v>
      </c>
      <c r="S1125" s="193">
        <v>0</v>
      </c>
      <c r="T1125" s="193">
        <f t="shared" ref="T1125:T1130" si="418">SUM(H1125:S1125)</f>
        <v>0</v>
      </c>
      <c r="U1125"/>
      <c r="V1125">
        <f>+PRESUPUESTO22[[#This Row],[EJECUTADO ]]-SUM(PRESUPUESTO22[[#This Row],[   ENERO ]:[DIC]])</f>
        <v>0</v>
      </c>
    </row>
    <row r="1126" spans="1:22" ht="15.95" customHeight="1" x14ac:dyDescent="0.25">
      <c r="A1126" s="52"/>
      <c r="B1126" s="156">
        <v>24030402</v>
      </c>
      <c r="C1126" s="130" t="str">
        <f t="shared" si="415"/>
        <v>E-24030402</v>
      </c>
      <c r="D1126" s="130">
        <v>1076</v>
      </c>
      <c r="E1126" s="156" t="s">
        <v>72</v>
      </c>
      <c r="F1126" s="216" t="s">
        <v>901</v>
      </c>
      <c r="G1126" s="193">
        <v>10200</v>
      </c>
      <c r="H1126" s="193">
        <v>0</v>
      </c>
      <c r="I1126" s="193">
        <v>0</v>
      </c>
      <c r="J1126" s="193">
        <v>0</v>
      </c>
      <c r="K1126" s="193">
        <v>0</v>
      </c>
      <c r="L1126" s="193">
        <v>0</v>
      </c>
      <c r="M1126" s="193">
        <v>0</v>
      </c>
      <c r="N1126" s="193">
        <v>0</v>
      </c>
      <c r="O1126" s="193">
        <v>0</v>
      </c>
      <c r="P1126" s="193">
        <v>0</v>
      </c>
      <c r="Q1126" s="193">
        <v>0</v>
      </c>
      <c r="R1126" s="193">
        <v>0</v>
      </c>
      <c r="S1126" s="193">
        <v>0</v>
      </c>
      <c r="T1126" s="193">
        <f t="shared" si="418"/>
        <v>0</v>
      </c>
      <c r="U1126"/>
      <c r="V1126">
        <f>+PRESUPUESTO22[[#This Row],[EJECUTADO ]]-SUM(PRESUPUESTO22[[#This Row],[   ENERO ]:[DIC]])</f>
        <v>0</v>
      </c>
    </row>
    <row r="1127" spans="1:22" ht="15.95" customHeight="1" x14ac:dyDescent="0.25">
      <c r="A1127" s="52"/>
      <c r="B1127" s="156">
        <v>24030403</v>
      </c>
      <c r="C1127" s="130" t="str">
        <f t="shared" si="415"/>
        <v>E-24030403</v>
      </c>
      <c r="D1127" s="130">
        <v>1077</v>
      </c>
      <c r="E1127" s="156" t="s">
        <v>72</v>
      </c>
      <c r="F1127" s="216" t="s">
        <v>902</v>
      </c>
      <c r="G1127" s="193">
        <v>2500</v>
      </c>
      <c r="H1127" s="193">
        <v>0</v>
      </c>
      <c r="I1127" s="193">
        <v>0</v>
      </c>
      <c r="J1127" s="193">
        <v>0</v>
      </c>
      <c r="K1127" s="193">
        <v>0</v>
      </c>
      <c r="L1127" s="193">
        <v>0</v>
      </c>
      <c r="M1127" s="193">
        <v>0</v>
      </c>
      <c r="N1127" s="193">
        <v>0</v>
      </c>
      <c r="O1127" s="193">
        <v>0</v>
      </c>
      <c r="P1127" s="193">
        <v>0</v>
      </c>
      <c r="Q1127" s="193">
        <v>0</v>
      </c>
      <c r="R1127" s="193">
        <v>0</v>
      </c>
      <c r="S1127" s="193">
        <v>0</v>
      </c>
      <c r="T1127" s="193">
        <f t="shared" si="418"/>
        <v>0</v>
      </c>
      <c r="U1127"/>
      <c r="V1127">
        <f>+PRESUPUESTO22[[#This Row],[EJECUTADO ]]-SUM(PRESUPUESTO22[[#This Row],[   ENERO ]:[DIC]])</f>
        <v>0</v>
      </c>
    </row>
    <row r="1128" spans="1:22" ht="15.95" customHeight="1" x14ac:dyDescent="0.25">
      <c r="A1128" s="52"/>
      <c r="B1128" s="156">
        <v>24030404</v>
      </c>
      <c r="C1128" s="130" t="str">
        <f t="shared" si="415"/>
        <v>E-24030404</v>
      </c>
      <c r="D1128" s="130">
        <v>1078</v>
      </c>
      <c r="E1128" s="156" t="s">
        <v>72</v>
      </c>
      <c r="F1128" s="216" t="s">
        <v>903</v>
      </c>
      <c r="G1128" s="193">
        <v>1000</v>
      </c>
      <c r="H1128" s="193">
        <v>0</v>
      </c>
      <c r="I1128" s="193">
        <v>0</v>
      </c>
      <c r="J1128" s="193">
        <v>0</v>
      </c>
      <c r="K1128" s="193">
        <v>0</v>
      </c>
      <c r="L1128" s="193">
        <v>0</v>
      </c>
      <c r="M1128" s="193">
        <v>0</v>
      </c>
      <c r="N1128" s="193">
        <v>0</v>
      </c>
      <c r="O1128" s="193">
        <v>0</v>
      </c>
      <c r="P1128" s="193">
        <v>0</v>
      </c>
      <c r="Q1128" s="193">
        <v>0</v>
      </c>
      <c r="R1128" s="193">
        <v>0</v>
      </c>
      <c r="S1128" s="193">
        <v>0</v>
      </c>
      <c r="T1128" s="193">
        <f t="shared" si="418"/>
        <v>0</v>
      </c>
      <c r="U1128"/>
      <c r="V1128">
        <f>+PRESUPUESTO22[[#This Row],[EJECUTADO ]]-SUM(PRESUPUESTO22[[#This Row],[   ENERO ]:[DIC]])</f>
        <v>0</v>
      </c>
    </row>
    <row r="1129" spans="1:22" ht="15.95" customHeight="1" x14ac:dyDescent="0.25">
      <c r="A1129" s="52"/>
      <c r="B1129" s="156">
        <v>24030405</v>
      </c>
      <c r="C1129" s="130" t="str">
        <f t="shared" si="415"/>
        <v>E-24030405</v>
      </c>
      <c r="D1129" s="130">
        <v>1079</v>
      </c>
      <c r="E1129" s="156" t="s">
        <v>72</v>
      </c>
      <c r="F1129" s="216" t="s">
        <v>904</v>
      </c>
      <c r="G1129" s="193">
        <v>1500</v>
      </c>
      <c r="H1129" s="193">
        <v>0</v>
      </c>
      <c r="I1129" s="193">
        <v>0</v>
      </c>
      <c r="J1129" s="193">
        <v>0</v>
      </c>
      <c r="K1129" s="193">
        <v>0</v>
      </c>
      <c r="L1129" s="193">
        <v>0</v>
      </c>
      <c r="M1129" s="193">
        <v>0</v>
      </c>
      <c r="N1129" s="193">
        <v>0</v>
      </c>
      <c r="O1129" s="193">
        <v>0</v>
      </c>
      <c r="P1129" s="193">
        <v>0</v>
      </c>
      <c r="Q1129" s="193">
        <v>0</v>
      </c>
      <c r="R1129" s="193">
        <v>0</v>
      </c>
      <c r="S1129" s="193">
        <v>0</v>
      </c>
      <c r="T1129" s="193">
        <f t="shared" si="418"/>
        <v>0</v>
      </c>
      <c r="U1129"/>
      <c r="V1129">
        <f>+PRESUPUESTO22[[#This Row],[EJECUTADO ]]-SUM(PRESUPUESTO22[[#This Row],[   ENERO ]:[DIC]])</f>
        <v>0</v>
      </c>
    </row>
    <row r="1130" spans="1:22" ht="15.95" customHeight="1" x14ac:dyDescent="0.25">
      <c r="A1130" s="52"/>
      <c r="B1130" s="156">
        <v>24030406</v>
      </c>
      <c r="C1130" s="130" t="str">
        <f t="shared" si="415"/>
        <v>E-24030406</v>
      </c>
      <c r="D1130" s="130">
        <v>1080</v>
      </c>
      <c r="E1130" s="156" t="s">
        <v>72</v>
      </c>
      <c r="F1130" s="216" t="s">
        <v>905</v>
      </c>
      <c r="G1130" s="193">
        <v>8000</v>
      </c>
      <c r="H1130" s="193">
        <v>0</v>
      </c>
      <c r="I1130" s="193">
        <v>0</v>
      </c>
      <c r="J1130" s="193">
        <v>0</v>
      </c>
      <c r="K1130" s="193">
        <v>0</v>
      </c>
      <c r="L1130" s="193">
        <v>0</v>
      </c>
      <c r="M1130" s="193">
        <v>0</v>
      </c>
      <c r="N1130" s="193">
        <v>0</v>
      </c>
      <c r="O1130" s="193">
        <v>0</v>
      </c>
      <c r="P1130" s="193">
        <v>0</v>
      </c>
      <c r="Q1130" s="193">
        <v>0</v>
      </c>
      <c r="R1130" s="193">
        <v>0</v>
      </c>
      <c r="S1130" s="193">
        <v>0</v>
      </c>
      <c r="T1130" s="193">
        <f t="shared" si="418"/>
        <v>0</v>
      </c>
      <c r="U1130"/>
      <c r="V1130">
        <f>+PRESUPUESTO22[[#This Row],[EJECUTADO ]]-SUM(PRESUPUESTO22[[#This Row],[   ENERO ]:[DIC]])</f>
        <v>0</v>
      </c>
    </row>
    <row r="1131" spans="1:22" ht="15.95" customHeight="1" x14ac:dyDescent="0.25">
      <c r="A1131" s="49">
        <v>4</v>
      </c>
      <c r="B1131" s="157">
        <v>2404</v>
      </c>
      <c r="C1131" s="130" t="str">
        <f t="shared" si="415"/>
        <v>E-2404</v>
      </c>
      <c r="D1131" s="130">
        <v>1081</v>
      </c>
      <c r="E1131" s="157" t="s">
        <v>69</v>
      </c>
      <c r="F1131" s="219" t="s">
        <v>906</v>
      </c>
      <c r="G1131" s="234">
        <f>+G1132+G1150+G1140+G1145</f>
        <v>116710</v>
      </c>
      <c r="H1131" s="234">
        <f t="shared" ref="H1131:T1131" si="419">+H1132+H1150+H1140+H1145</f>
        <v>8625</v>
      </c>
      <c r="I1131" s="234">
        <f t="shared" si="419"/>
        <v>3625</v>
      </c>
      <c r="J1131" s="234">
        <f t="shared" si="419"/>
        <v>3832</v>
      </c>
      <c r="K1131" s="234">
        <f t="shared" si="419"/>
        <v>3818</v>
      </c>
      <c r="L1131" s="234">
        <f t="shared" si="419"/>
        <v>7597</v>
      </c>
      <c r="M1131" s="234">
        <f t="shared" si="419"/>
        <v>11947</v>
      </c>
      <c r="N1131" s="234">
        <f t="shared" si="419"/>
        <v>7538</v>
      </c>
      <c r="O1131" s="234">
        <f t="shared" si="419"/>
        <v>7699</v>
      </c>
      <c r="P1131" s="234">
        <f t="shared" si="419"/>
        <v>8597</v>
      </c>
      <c r="Q1131" s="234">
        <f t="shared" si="419"/>
        <v>5479</v>
      </c>
      <c r="R1131" s="234">
        <f t="shared" si="419"/>
        <v>4661</v>
      </c>
      <c r="S1131" s="234">
        <f t="shared" si="419"/>
        <v>0</v>
      </c>
      <c r="T1131" s="234">
        <f t="shared" si="419"/>
        <v>73418</v>
      </c>
      <c r="U1131"/>
      <c r="V1131">
        <f>+PRESUPUESTO22[[#This Row],[EJECUTADO ]]-SUM(PRESUPUESTO22[[#This Row],[   ENERO ]:[DIC]])</f>
        <v>0</v>
      </c>
    </row>
    <row r="1132" spans="1:22" ht="15.95" customHeight="1" x14ac:dyDescent="0.25">
      <c r="A1132" s="52"/>
      <c r="B1132" s="151">
        <v>240401</v>
      </c>
      <c r="C1132" s="130" t="str">
        <f t="shared" si="415"/>
        <v>E-240401</v>
      </c>
      <c r="D1132" s="130">
        <v>1082</v>
      </c>
      <c r="E1132" s="151" t="s">
        <v>69</v>
      </c>
      <c r="F1132" s="247" t="s">
        <v>907</v>
      </c>
      <c r="G1132" s="192">
        <f t="shared" ref="G1132:T1132" si="420">SUM(G1133:G1138)</f>
        <v>14500</v>
      </c>
      <c r="H1132" s="192">
        <f t="shared" si="420"/>
        <v>0</v>
      </c>
      <c r="I1132" s="192">
        <f t="shared" si="420"/>
        <v>0</v>
      </c>
      <c r="J1132" s="192">
        <f t="shared" si="420"/>
        <v>0</v>
      </c>
      <c r="K1132" s="192">
        <f t="shared" si="420"/>
        <v>0</v>
      </c>
      <c r="L1132" s="192">
        <f t="shared" si="420"/>
        <v>1949</v>
      </c>
      <c r="M1132" s="192">
        <f t="shared" si="420"/>
        <v>3082</v>
      </c>
      <c r="N1132" s="192">
        <f t="shared" si="420"/>
        <v>0</v>
      </c>
      <c r="O1132" s="192">
        <f t="shared" si="420"/>
        <v>0</v>
      </c>
      <c r="P1132" s="192">
        <f t="shared" si="420"/>
        <v>0</v>
      </c>
      <c r="Q1132" s="192">
        <f t="shared" si="420"/>
        <v>0</v>
      </c>
      <c r="R1132" s="192">
        <f t="shared" si="420"/>
        <v>0</v>
      </c>
      <c r="S1132" s="192">
        <f t="shared" si="420"/>
        <v>0</v>
      </c>
      <c r="T1132" s="192">
        <f t="shared" si="420"/>
        <v>5031</v>
      </c>
      <c r="U1132"/>
      <c r="V1132">
        <f>+PRESUPUESTO22[[#This Row],[EJECUTADO ]]-SUM(PRESUPUESTO22[[#This Row],[   ENERO ]:[DIC]])</f>
        <v>0</v>
      </c>
    </row>
    <row r="1133" spans="1:22" ht="15.75" customHeight="1" x14ac:dyDescent="0.25">
      <c r="A1133" s="52"/>
      <c r="B1133" s="156">
        <v>24040101</v>
      </c>
      <c r="C1133" s="130" t="str">
        <f t="shared" si="415"/>
        <v>E-24040101</v>
      </c>
      <c r="D1133" s="130">
        <v>1083</v>
      </c>
      <c r="E1133" s="156" t="s">
        <v>72</v>
      </c>
      <c r="F1133" s="216" t="s">
        <v>908</v>
      </c>
      <c r="G1133" s="193">
        <v>3000</v>
      </c>
      <c r="H1133" s="193">
        <v>0</v>
      </c>
      <c r="I1133" s="193">
        <v>0</v>
      </c>
      <c r="J1133" s="193">
        <v>0</v>
      </c>
      <c r="K1133" s="193">
        <v>0</v>
      </c>
      <c r="L1133" s="193">
        <v>0</v>
      </c>
      <c r="M1133" s="193">
        <f>116.17+250+2211.63+0.2+4</f>
        <v>2582</v>
      </c>
      <c r="N1133" s="193">
        <v>0</v>
      </c>
      <c r="O1133" s="193">
        <v>0</v>
      </c>
      <c r="P1133" s="193">
        <v>0</v>
      </c>
      <c r="Q1133" s="193">
        <v>0</v>
      </c>
      <c r="R1133" s="193">
        <v>0</v>
      </c>
      <c r="S1133" s="193">
        <v>0</v>
      </c>
      <c r="T1133" s="193">
        <f>SUM(H1133:S1133)</f>
        <v>2582</v>
      </c>
      <c r="U1133"/>
      <c r="V1133">
        <f>+PRESUPUESTO22[[#This Row],[EJECUTADO ]]-SUM(PRESUPUESTO22[[#This Row],[   ENERO ]:[DIC]])</f>
        <v>0</v>
      </c>
    </row>
    <row r="1134" spans="1:22" ht="15.95" customHeight="1" x14ac:dyDescent="0.25">
      <c r="A1134" s="52"/>
      <c r="B1134" s="156">
        <v>24040102</v>
      </c>
      <c r="C1134" s="130" t="str">
        <f t="shared" si="415"/>
        <v>E-24040102</v>
      </c>
      <c r="D1134" s="130">
        <v>1084</v>
      </c>
      <c r="E1134" s="156" t="s">
        <v>72</v>
      </c>
      <c r="F1134" s="216" t="s">
        <v>909</v>
      </c>
      <c r="G1134" s="193">
        <v>1500</v>
      </c>
      <c r="H1134" s="193">
        <v>0</v>
      </c>
      <c r="I1134" s="193">
        <v>0</v>
      </c>
      <c r="J1134" s="193">
        <v>0</v>
      </c>
      <c r="K1134" s="193">
        <v>0</v>
      </c>
      <c r="L1134" s="193">
        <v>0</v>
      </c>
      <c r="M1134" s="193">
        <v>0</v>
      </c>
      <c r="N1134" s="193">
        <v>0</v>
      </c>
      <c r="O1134" s="193">
        <v>0</v>
      </c>
      <c r="P1134" s="193">
        <v>0</v>
      </c>
      <c r="Q1134" s="193">
        <v>0</v>
      </c>
      <c r="R1134" s="193">
        <v>0</v>
      </c>
      <c r="S1134" s="193">
        <v>0</v>
      </c>
      <c r="T1134" s="193">
        <f>SUM(H1134:S1134)</f>
        <v>0</v>
      </c>
      <c r="U1134"/>
      <c r="V1134">
        <f>+PRESUPUESTO22[[#This Row],[EJECUTADO ]]-SUM(PRESUPUESTO22[[#This Row],[   ENERO ]:[DIC]])</f>
        <v>0</v>
      </c>
    </row>
    <row r="1135" spans="1:22" ht="15.95" customHeight="1" x14ac:dyDescent="0.25">
      <c r="A1135" s="52"/>
      <c r="B1135" s="156">
        <v>24040103</v>
      </c>
      <c r="C1135" s="130" t="str">
        <f t="shared" si="415"/>
        <v>E-24040103</v>
      </c>
      <c r="D1135" s="130">
        <v>1085</v>
      </c>
      <c r="E1135" s="156" t="s">
        <v>72</v>
      </c>
      <c r="F1135" s="216" t="s">
        <v>910</v>
      </c>
      <c r="G1135" s="193">
        <v>2000</v>
      </c>
      <c r="H1135" s="193">
        <v>0</v>
      </c>
      <c r="I1135" s="193">
        <v>0</v>
      </c>
      <c r="J1135" s="193">
        <v>0</v>
      </c>
      <c r="K1135" s="193">
        <v>0</v>
      </c>
      <c r="L1135" s="193">
        <v>0</v>
      </c>
      <c r="M1135" s="193">
        <v>500</v>
      </c>
      <c r="N1135" s="193">
        <v>0</v>
      </c>
      <c r="O1135" s="193">
        <v>0</v>
      </c>
      <c r="P1135" s="193">
        <v>0</v>
      </c>
      <c r="Q1135" s="193">
        <v>0</v>
      </c>
      <c r="R1135" s="193">
        <v>0</v>
      </c>
      <c r="S1135" s="193">
        <v>0</v>
      </c>
      <c r="T1135" s="193">
        <f>SUM(H1135:S1135)</f>
        <v>500</v>
      </c>
      <c r="U1135"/>
      <c r="V1135">
        <f>+PRESUPUESTO22[[#This Row],[EJECUTADO ]]-SUM(PRESUPUESTO22[[#This Row],[   ENERO ]:[DIC]])</f>
        <v>0</v>
      </c>
    </row>
    <row r="1136" spans="1:22" ht="27" customHeight="1" x14ac:dyDescent="0.25">
      <c r="A1136" s="52" t="s">
        <v>1</v>
      </c>
      <c r="B1136" s="156">
        <v>24040104</v>
      </c>
      <c r="C1136" s="130" t="str">
        <f t="shared" si="415"/>
        <v>E-24040104</v>
      </c>
      <c r="D1136" s="130">
        <v>1086</v>
      </c>
      <c r="E1136" s="156" t="s">
        <v>72</v>
      </c>
      <c r="F1136" s="216" t="s">
        <v>911</v>
      </c>
      <c r="G1136" s="193">
        <v>4000</v>
      </c>
      <c r="H1136" s="193">
        <v>0</v>
      </c>
      <c r="I1136" s="193">
        <v>0</v>
      </c>
      <c r="J1136" s="193">
        <v>0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93">
        <v>0</v>
      </c>
      <c r="R1136" s="193">
        <v>0</v>
      </c>
      <c r="S1136" s="193">
        <v>0</v>
      </c>
      <c r="T1136" s="193">
        <f>SUM(H1136:S1136)</f>
        <v>0</v>
      </c>
      <c r="U1136"/>
      <c r="V1136">
        <f>+PRESUPUESTO22[[#This Row],[EJECUTADO ]]-SUM(PRESUPUESTO22[[#This Row],[   ENERO ]:[DIC]])</f>
        <v>0</v>
      </c>
    </row>
    <row r="1137" spans="1:22" ht="15.95" customHeight="1" x14ac:dyDescent="0.25">
      <c r="A1137" s="52"/>
      <c r="B1137" s="156">
        <v>24040105</v>
      </c>
      <c r="C1137" s="130" t="str">
        <f t="shared" si="415"/>
        <v>E-24040105</v>
      </c>
      <c r="D1137" s="130">
        <v>1087</v>
      </c>
      <c r="E1137" s="156" t="s">
        <v>72</v>
      </c>
      <c r="F1137" s="216" t="s">
        <v>912</v>
      </c>
      <c r="G1137" s="193">
        <v>2000</v>
      </c>
      <c r="H1137" s="193">
        <v>0</v>
      </c>
      <c r="I1137" s="193">
        <v>0</v>
      </c>
      <c r="J1137" s="193">
        <v>0</v>
      </c>
      <c r="K1137" s="193">
        <v>0</v>
      </c>
      <c r="L1137" s="193">
        <v>0</v>
      </c>
      <c r="M1137" s="193">
        <v>0</v>
      </c>
      <c r="N1137" s="193">
        <v>0</v>
      </c>
      <c r="O1137" s="193">
        <v>0</v>
      </c>
      <c r="P1137" s="193">
        <v>0</v>
      </c>
      <c r="Q1137" s="193">
        <v>0</v>
      </c>
      <c r="R1137" s="193">
        <v>0</v>
      </c>
      <c r="S1137" s="193">
        <v>0</v>
      </c>
      <c r="T1137" s="193">
        <f>SUM(H1137:S1137)</f>
        <v>0</v>
      </c>
      <c r="U1137"/>
      <c r="V1137">
        <f>+PRESUPUESTO22[[#This Row],[EJECUTADO ]]-SUM(PRESUPUESTO22[[#This Row],[   ENERO ]:[DIC]])</f>
        <v>0</v>
      </c>
    </row>
    <row r="1138" spans="1:22" ht="15.95" customHeight="1" x14ac:dyDescent="0.25">
      <c r="A1138" s="52"/>
      <c r="B1138" s="156">
        <v>24040106</v>
      </c>
      <c r="C1138" s="130" t="str">
        <f t="shared" si="415"/>
        <v>E-24040106</v>
      </c>
      <c r="D1138" s="130">
        <v>1088</v>
      </c>
      <c r="E1138" s="165" t="s">
        <v>72</v>
      </c>
      <c r="F1138" s="228" t="s">
        <v>913</v>
      </c>
      <c r="G1138" s="229">
        <f>+G1139</f>
        <v>2000</v>
      </c>
      <c r="H1138" s="229">
        <f t="shared" ref="H1138:T1138" si="421">+H1139</f>
        <v>0</v>
      </c>
      <c r="I1138" s="229">
        <f t="shared" si="421"/>
        <v>0</v>
      </c>
      <c r="J1138" s="229">
        <f t="shared" si="421"/>
        <v>0</v>
      </c>
      <c r="K1138" s="229">
        <f t="shared" si="421"/>
        <v>0</v>
      </c>
      <c r="L1138" s="229">
        <f t="shared" si="421"/>
        <v>1949</v>
      </c>
      <c r="M1138" s="229">
        <f t="shared" si="421"/>
        <v>0</v>
      </c>
      <c r="N1138" s="229">
        <f t="shared" si="421"/>
        <v>0</v>
      </c>
      <c r="O1138" s="229">
        <f t="shared" si="421"/>
        <v>0</v>
      </c>
      <c r="P1138" s="229">
        <f t="shared" si="421"/>
        <v>0</v>
      </c>
      <c r="Q1138" s="229">
        <f t="shared" si="421"/>
        <v>0</v>
      </c>
      <c r="R1138" s="229">
        <f t="shared" si="421"/>
        <v>0</v>
      </c>
      <c r="S1138" s="229">
        <f t="shared" si="421"/>
        <v>0</v>
      </c>
      <c r="T1138" s="229">
        <f t="shared" si="421"/>
        <v>1949</v>
      </c>
      <c r="U1138"/>
      <c r="V1138">
        <f>+PRESUPUESTO22[[#This Row],[EJECUTADO ]]-SUM(PRESUPUESTO22[[#This Row],[   ENERO ]:[DIC]])</f>
        <v>0</v>
      </c>
    </row>
    <row r="1139" spans="1:22" ht="15.95" customHeight="1" x14ac:dyDescent="0.25">
      <c r="A1139" s="52"/>
      <c r="B1139" s="156">
        <v>24040107</v>
      </c>
      <c r="C1139" s="130" t="str">
        <f t="shared" si="415"/>
        <v>E-24040107</v>
      </c>
      <c r="D1139" s="130">
        <v>1089</v>
      </c>
      <c r="E1139" s="156" t="s">
        <v>69</v>
      </c>
      <c r="F1139" s="216" t="s">
        <v>895</v>
      </c>
      <c r="G1139" s="193">
        <v>2000</v>
      </c>
      <c r="H1139" s="193">
        <v>0</v>
      </c>
      <c r="I1139" s="193">
        <v>0</v>
      </c>
      <c r="J1139" s="193">
        <v>0</v>
      </c>
      <c r="K1139" s="193">
        <v>0</v>
      </c>
      <c r="L1139" s="193">
        <f>1949.25-0.25</f>
        <v>1949</v>
      </c>
      <c r="M1139" s="193">
        <v>0</v>
      </c>
      <c r="N1139" s="193">
        <v>0</v>
      </c>
      <c r="O1139" s="193">
        <v>0</v>
      </c>
      <c r="P1139" s="193">
        <v>0</v>
      </c>
      <c r="Q1139" s="193">
        <v>0</v>
      </c>
      <c r="R1139" s="193">
        <v>0</v>
      </c>
      <c r="S1139" s="193">
        <v>0</v>
      </c>
      <c r="T1139" s="193">
        <f>SUM(H1139:S1139)</f>
        <v>1949</v>
      </c>
      <c r="U1139"/>
      <c r="V1139">
        <f>+PRESUPUESTO22[[#This Row],[EJECUTADO ]]-SUM(PRESUPUESTO22[[#This Row],[   ENERO ]:[DIC]])</f>
        <v>0</v>
      </c>
    </row>
    <row r="1140" spans="1:22" ht="15.95" customHeight="1" x14ac:dyDescent="0.25">
      <c r="A1140" s="52"/>
      <c r="B1140" s="151">
        <v>240402</v>
      </c>
      <c r="C1140" s="130" t="str">
        <f t="shared" si="415"/>
        <v>E-240402</v>
      </c>
      <c r="D1140" s="130">
        <v>1090</v>
      </c>
      <c r="E1140" s="151" t="s">
        <v>69</v>
      </c>
      <c r="F1140" s="247" t="s">
        <v>914</v>
      </c>
      <c r="G1140" s="192">
        <f>SUM(G1141:G1144)</f>
        <v>7000</v>
      </c>
      <c r="H1140" s="192">
        <f t="shared" ref="H1140:T1140" si="422">SUM(H1141:H1144)</f>
        <v>0</v>
      </c>
      <c r="I1140" s="192">
        <f t="shared" si="422"/>
        <v>0</v>
      </c>
      <c r="J1140" s="192">
        <f t="shared" si="422"/>
        <v>0</v>
      </c>
      <c r="K1140" s="192">
        <f t="shared" si="422"/>
        <v>0</v>
      </c>
      <c r="L1140" s="192">
        <f t="shared" si="422"/>
        <v>0</v>
      </c>
      <c r="M1140" s="192">
        <f t="shared" si="422"/>
        <v>0</v>
      </c>
      <c r="N1140" s="192">
        <f t="shared" si="422"/>
        <v>70</v>
      </c>
      <c r="O1140" s="192">
        <f t="shared" si="422"/>
        <v>254</v>
      </c>
      <c r="P1140" s="192">
        <f t="shared" si="422"/>
        <v>960</v>
      </c>
      <c r="Q1140" s="192">
        <f t="shared" si="422"/>
        <v>0</v>
      </c>
      <c r="R1140" s="192">
        <f t="shared" si="422"/>
        <v>0</v>
      </c>
      <c r="S1140" s="192">
        <f t="shared" si="422"/>
        <v>0</v>
      </c>
      <c r="T1140" s="192">
        <f t="shared" si="422"/>
        <v>1284</v>
      </c>
      <c r="U1140"/>
      <c r="V1140">
        <f>+PRESUPUESTO22[[#This Row],[EJECUTADO ]]-SUM(PRESUPUESTO22[[#This Row],[   ENERO ]:[DIC]])</f>
        <v>0</v>
      </c>
    </row>
    <row r="1141" spans="1:22" ht="15.95" customHeight="1" x14ac:dyDescent="0.25">
      <c r="A1141" s="52"/>
      <c r="B1141" s="156">
        <v>24040201</v>
      </c>
      <c r="C1141" s="130" t="str">
        <f t="shared" si="415"/>
        <v>E-24040201</v>
      </c>
      <c r="D1141" s="130">
        <v>1091</v>
      </c>
      <c r="E1141" s="156" t="s">
        <v>72</v>
      </c>
      <c r="F1141" s="216" t="s">
        <v>915</v>
      </c>
      <c r="G1141" s="193">
        <v>2500</v>
      </c>
      <c r="H1141" s="193">
        <v>0</v>
      </c>
      <c r="I1141" s="193">
        <v>0</v>
      </c>
      <c r="J1141" s="193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>
        <v>0</v>
      </c>
      <c r="P1141" s="193">
        <v>720</v>
      </c>
      <c r="Q1141" s="193">
        <v>0</v>
      </c>
      <c r="R1141" s="193">
        <v>0</v>
      </c>
      <c r="S1141" s="193">
        <v>0</v>
      </c>
      <c r="T1141" s="193">
        <f>SUM(H1141:S1141)</f>
        <v>720</v>
      </c>
      <c r="U1141"/>
      <c r="V1141">
        <f>+PRESUPUESTO22[[#This Row],[EJECUTADO ]]-SUM(PRESUPUESTO22[[#This Row],[   ENERO ]:[DIC]])</f>
        <v>0</v>
      </c>
    </row>
    <row r="1142" spans="1:22" ht="15.95" customHeight="1" x14ac:dyDescent="0.25">
      <c r="A1142" s="52"/>
      <c r="B1142" s="156">
        <v>24040202</v>
      </c>
      <c r="C1142" s="130" t="str">
        <f t="shared" si="415"/>
        <v>E-24040202</v>
      </c>
      <c r="D1142" s="130">
        <v>1092</v>
      </c>
      <c r="E1142" s="156" t="s">
        <v>72</v>
      </c>
      <c r="F1142" s="216" t="s">
        <v>916</v>
      </c>
      <c r="G1142" s="193">
        <v>3500</v>
      </c>
      <c r="H1142" s="193">
        <v>0</v>
      </c>
      <c r="I1142" s="193">
        <v>0</v>
      </c>
      <c r="J1142" s="193">
        <v>0</v>
      </c>
      <c r="K1142" s="193">
        <v>0</v>
      </c>
      <c r="L1142" s="193">
        <v>0</v>
      </c>
      <c r="M1142" s="193">
        <v>0</v>
      </c>
      <c r="N1142" s="193">
        <v>0</v>
      </c>
      <c r="O1142" s="193">
        <v>240</v>
      </c>
      <c r="P1142" s="193">
        <v>240</v>
      </c>
      <c r="Q1142" s="193">
        <v>0</v>
      </c>
      <c r="R1142" s="193">
        <v>0</v>
      </c>
      <c r="S1142" s="193">
        <v>0</v>
      </c>
      <c r="T1142" s="193">
        <f>SUM(H1142:S1142)</f>
        <v>480</v>
      </c>
      <c r="U1142"/>
      <c r="V1142">
        <f>+PRESUPUESTO22[[#This Row],[EJECUTADO ]]-SUM(PRESUPUESTO22[[#This Row],[   ENERO ]:[DIC]])</f>
        <v>0</v>
      </c>
    </row>
    <row r="1143" spans="1:22" ht="15.95" customHeight="1" x14ac:dyDescent="0.25">
      <c r="A1143" s="52"/>
      <c r="B1143" s="156">
        <v>24040203</v>
      </c>
      <c r="C1143" s="130" t="str">
        <f t="shared" si="415"/>
        <v>E-24040203</v>
      </c>
      <c r="D1143" s="130">
        <v>1093</v>
      </c>
      <c r="E1143" s="156" t="s">
        <v>72</v>
      </c>
      <c r="F1143" s="216" t="s">
        <v>439</v>
      </c>
      <c r="G1143" s="193">
        <v>0</v>
      </c>
      <c r="H1143" s="193">
        <v>0</v>
      </c>
      <c r="I1143" s="193">
        <v>0</v>
      </c>
      <c r="J1143" s="193">
        <v>0</v>
      </c>
      <c r="K1143" s="193">
        <v>0</v>
      </c>
      <c r="L1143" s="193">
        <v>0</v>
      </c>
      <c r="M1143" s="193">
        <v>0</v>
      </c>
      <c r="N1143" s="193">
        <v>70</v>
      </c>
      <c r="O1143" s="193">
        <f>14.38-0.38</f>
        <v>14</v>
      </c>
      <c r="P1143" s="193">
        <v>0</v>
      </c>
      <c r="Q1143" s="193">
        <v>0</v>
      </c>
      <c r="R1143" s="193">
        <v>0</v>
      </c>
      <c r="S1143" s="193">
        <v>0</v>
      </c>
      <c r="T1143" s="193">
        <f>SUM(H1143:S1143)</f>
        <v>84</v>
      </c>
      <c r="U1143"/>
      <c r="V1143">
        <f>+PRESUPUESTO22[[#This Row],[EJECUTADO ]]-SUM(PRESUPUESTO22[[#This Row],[   ENERO ]:[DIC]])</f>
        <v>0</v>
      </c>
    </row>
    <row r="1144" spans="1:22" ht="15.95" customHeight="1" x14ac:dyDescent="0.25">
      <c r="A1144" s="52"/>
      <c r="B1144" s="156">
        <v>24040204</v>
      </c>
      <c r="C1144" s="130" t="str">
        <f t="shared" si="415"/>
        <v>E-24040204</v>
      </c>
      <c r="D1144" s="130">
        <v>1094</v>
      </c>
      <c r="E1144" s="156" t="s">
        <v>72</v>
      </c>
      <c r="F1144" s="216" t="s">
        <v>917</v>
      </c>
      <c r="G1144" s="193">
        <v>1000</v>
      </c>
      <c r="H1144" s="193">
        <v>0</v>
      </c>
      <c r="I1144" s="193">
        <v>0</v>
      </c>
      <c r="J1144" s="193">
        <v>0</v>
      </c>
      <c r="K1144" s="193">
        <v>0</v>
      </c>
      <c r="L1144" s="193">
        <v>0</v>
      </c>
      <c r="M1144" s="193">
        <v>0</v>
      </c>
      <c r="N1144" s="193">
        <v>0</v>
      </c>
      <c r="O1144" s="193">
        <v>0</v>
      </c>
      <c r="P1144" s="193">
        <v>0</v>
      </c>
      <c r="Q1144" s="193">
        <v>0</v>
      </c>
      <c r="R1144" s="193">
        <v>0</v>
      </c>
      <c r="S1144" s="193">
        <v>0</v>
      </c>
      <c r="T1144" s="193">
        <f>SUM(H1144:S1144)</f>
        <v>0</v>
      </c>
      <c r="U1144"/>
      <c r="V1144">
        <f>+PRESUPUESTO22[[#This Row],[EJECUTADO ]]-SUM(PRESUPUESTO22[[#This Row],[   ENERO ]:[DIC]])</f>
        <v>0</v>
      </c>
    </row>
    <row r="1145" spans="1:22" ht="25.5" customHeight="1" x14ac:dyDescent="0.25">
      <c r="A1145" s="52"/>
      <c r="B1145" s="160">
        <v>240403</v>
      </c>
      <c r="C1145" s="130" t="str">
        <f t="shared" si="415"/>
        <v>E-240403</v>
      </c>
      <c r="D1145" s="130">
        <v>1095</v>
      </c>
      <c r="E1145" s="160" t="s">
        <v>69</v>
      </c>
      <c r="F1145" s="248" t="s">
        <v>918</v>
      </c>
      <c r="G1145" s="192">
        <f t="shared" ref="G1145:T1145" si="423">SUM(G1146:G1149)</f>
        <v>13380</v>
      </c>
      <c r="H1145" s="192">
        <f t="shared" si="423"/>
        <v>865</v>
      </c>
      <c r="I1145" s="192">
        <f t="shared" si="423"/>
        <v>865</v>
      </c>
      <c r="J1145" s="192">
        <f t="shared" si="423"/>
        <v>865</v>
      </c>
      <c r="K1145" s="192">
        <f t="shared" si="423"/>
        <v>865</v>
      </c>
      <c r="L1145" s="192">
        <f t="shared" si="423"/>
        <v>865</v>
      </c>
      <c r="M1145" s="192">
        <f t="shared" si="423"/>
        <v>865</v>
      </c>
      <c r="N1145" s="192">
        <f t="shared" si="423"/>
        <v>865</v>
      </c>
      <c r="O1145" s="192">
        <f t="shared" si="423"/>
        <v>865</v>
      </c>
      <c r="P1145" s="192">
        <f t="shared" si="423"/>
        <v>865</v>
      </c>
      <c r="Q1145" s="192">
        <f t="shared" si="423"/>
        <v>865</v>
      </c>
      <c r="R1145" s="192">
        <f t="shared" si="423"/>
        <v>865</v>
      </c>
      <c r="S1145" s="192">
        <f t="shared" si="423"/>
        <v>0</v>
      </c>
      <c r="T1145" s="192">
        <f t="shared" si="423"/>
        <v>9515</v>
      </c>
      <c r="U1145"/>
      <c r="V1145">
        <f>+PRESUPUESTO22[[#This Row],[EJECUTADO ]]-SUM(PRESUPUESTO22[[#This Row],[   ENERO ]:[DIC]])</f>
        <v>0</v>
      </c>
    </row>
    <row r="1146" spans="1:22" ht="18.75" customHeight="1" x14ac:dyDescent="0.25">
      <c r="A1146" s="52"/>
      <c r="B1146" s="156">
        <v>24040301</v>
      </c>
      <c r="C1146" s="130" t="str">
        <f t="shared" si="415"/>
        <v>E-24040301</v>
      </c>
      <c r="D1146" s="130">
        <v>1096</v>
      </c>
      <c r="E1146" s="156" t="s">
        <v>72</v>
      </c>
      <c r="F1146" s="216" t="s">
        <v>919</v>
      </c>
      <c r="G1146" s="193">
        <v>1000</v>
      </c>
      <c r="H1146" s="193">
        <v>0</v>
      </c>
      <c r="I1146" s="193">
        <v>0</v>
      </c>
      <c r="J1146" s="193">
        <v>0</v>
      </c>
      <c r="K1146" s="193">
        <v>0</v>
      </c>
      <c r="L1146" s="193">
        <v>0</v>
      </c>
      <c r="M1146" s="193">
        <v>0</v>
      </c>
      <c r="N1146" s="193">
        <v>0</v>
      </c>
      <c r="O1146" s="193">
        <v>0</v>
      </c>
      <c r="P1146" s="193">
        <v>0</v>
      </c>
      <c r="Q1146" s="193">
        <v>0</v>
      </c>
      <c r="R1146" s="193">
        <v>0</v>
      </c>
      <c r="S1146" s="193">
        <v>0</v>
      </c>
      <c r="T1146" s="193">
        <f>SUM(H1146:S1146)</f>
        <v>0</v>
      </c>
      <c r="U1146"/>
      <c r="V1146">
        <f>+PRESUPUESTO22[[#This Row],[EJECUTADO ]]-SUM(PRESUPUESTO22[[#This Row],[   ENERO ]:[DIC]])</f>
        <v>0</v>
      </c>
    </row>
    <row r="1147" spans="1:22" ht="18" customHeight="1" x14ac:dyDescent="0.25">
      <c r="A1147" s="52"/>
      <c r="B1147" s="156">
        <v>24040302</v>
      </c>
      <c r="C1147" s="130" t="str">
        <f t="shared" si="415"/>
        <v>E-24040302</v>
      </c>
      <c r="D1147" s="130">
        <v>1097</v>
      </c>
      <c r="E1147" s="156" t="s">
        <v>72</v>
      </c>
      <c r="F1147" s="216" t="s">
        <v>920</v>
      </c>
      <c r="G1147" s="193">
        <f>865*12</f>
        <v>10380</v>
      </c>
      <c r="H1147" s="193">
        <f>740+125</f>
        <v>865</v>
      </c>
      <c r="I1147" s="193">
        <v>865</v>
      </c>
      <c r="J1147" s="193">
        <v>865</v>
      </c>
      <c r="K1147" s="193">
        <v>865</v>
      </c>
      <c r="L1147" s="193">
        <v>865</v>
      </c>
      <c r="M1147" s="193">
        <v>865</v>
      </c>
      <c r="N1147" s="193">
        <v>865</v>
      </c>
      <c r="O1147" s="193">
        <v>865</v>
      </c>
      <c r="P1147" s="193">
        <v>865</v>
      </c>
      <c r="Q1147" s="193">
        <v>865</v>
      </c>
      <c r="R1147" s="193">
        <v>865</v>
      </c>
      <c r="S1147" s="193">
        <v>0</v>
      </c>
      <c r="T1147" s="193">
        <f>SUM(H1147:S1147)</f>
        <v>9515</v>
      </c>
      <c r="U1147"/>
      <c r="V1147">
        <f>+PRESUPUESTO22[[#This Row],[EJECUTADO ]]-SUM(PRESUPUESTO22[[#This Row],[   ENERO ]:[DIC]])</f>
        <v>0</v>
      </c>
    </row>
    <row r="1148" spans="1:22" ht="15.95" customHeight="1" x14ac:dyDescent="0.25">
      <c r="A1148" s="52"/>
      <c r="B1148" s="156">
        <v>24040303</v>
      </c>
      <c r="C1148" s="130" t="str">
        <f t="shared" si="415"/>
        <v>E-24040303</v>
      </c>
      <c r="D1148" s="130">
        <v>1098</v>
      </c>
      <c r="E1148" s="156" t="s">
        <v>72</v>
      </c>
      <c r="F1148" s="216" t="s">
        <v>921</v>
      </c>
      <c r="G1148" s="193">
        <v>1000</v>
      </c>
      <c r="H1148" s="193">
        <v>0</v>
      </c>
      <c r="I1148" s="193">
        <v>0</v>
      </c>
      <c r="J1148" s="193">
        <v>0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93">
        <v>0</v>
      </c>
      <c r="R1148" s="193">
        <v>0</v>
      </c>
      <c r="S1148" s="193">
        <v>0</v>
      </c>
      <c r="T1148" s="193">
        <f>SUM(H1148:S1148)</f>
        <v>0</v>
      </c>
      <c r="U1148"/>
      <c r="V1148">
        <f>+PRESUPUESTO22[[#This Row],[EJECUTADO ]]-SUM(PRESUPUESTO22[[#This Row],[   ENERO ]:[DIC]])</f>
        <v>0</v>
      </c>
    </row>
    <row r="1149" spans="1:22" ht="18.75" customHeight="1" x14ac:dyDescent="0.25">
      <c r="A1149" s="52"/>
      <c r="B1149" s="156">
        <v>24040304</v>
      </c>
      <c r="C1149" s="130" t="str">
        <f t="shared" si="415"/>
        <v>E-24040304</v>
      </c>
      <c r="D1149" s="130">
        <v>1099</v>
      </c>
      <c r="E1149" s="156" t="s">
        <v>72</v>
      </c>
      <c r="F1149" s="216" t="s">
        <v>922</v>
      </c>
      <c r="G1149" s="193">
        <v>1000</v>
      </c>
      <c r="H1149" s="193">
        <v>0</v>
      </c>
      <c r="I1149" s="193">
        <v>0</v>
      </c>
      <c r="J1149" s="193">
        <v>0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93">
        <v>0</v>
      </c>
      <c r="R1149" s="193">
        <v>0</v>
      </c>
      <c r="S1149" s="193">
        <v>0</v>
      </c>
      <c r="T1149" s="193">
        <f>SUM(H1149:S1149)</f>
        <v>0</v>
      </c>
      <c r="U1149"/>
      <c r="V1149">
        <f>+PRESUPUESTO22[[#This Row],[EJECUTADO ]]-SUM(PRESUPUESTO22[[#This Row],[   ENERO ]:[DIC]])</f>
        <v>0</v>
      </c>
    </row>
    <row r="1150" spans="1:22" ht="15.95" customHeight="1" x14ac:dyDescent="0.25">
      <c r="A1150" s="52"/>
      <c r="B1150" s="151">
        <v>240404</v>
      </c>
      <c r="C1150" s="130" t="str">
        <f t="shared" si="415"/>
        <v>E-240404</v>
      </c>
      <c r="D1150" s="130">
        <v>1100</v>
      </c>
      <c r="E1150" s="151" t="s">
        <v>69</v>
      </c>
      <c r="F1150" s="247" t="s">
        <v>923</v>
      </c>
      <c r="G1150" s="192">
        <f t="shared" ref="G1150:T1150" si="424">SUM(G1151:G1160)</f>
        <v>81830</v>
      </c>
      <c r="H1150" s="192">
        <f t="shared" si="424"/>
        <v>7760</v>
      </c>
      <c r="I1150" s="192">
        <f t="shared" si="424"/>
        <v>2760</v>
      </c>
      <c r="J1150" s="192">
        <f t="shared" si="424"/>
        <v>2967</v>
      </c>
      <c r="K1150" s="192">
        <f t="shared" si="424"/>
        <v>2953</v>
      </c>
      <c r="L1150" s="192">
        <f t="shared" si="424"/>
        <v>4783</v>
      </c>
      <c r="M1150" s="192">
        <f t="shared" si="424"/>
        <v>8000</v>
      </c>
      <c r="N1150" s="192">
        <f t="shared" si="424"/>
        <v>6603</v>
      </c>
      <c r="O1150" s="192">
        <f t="shared" si="424"/>
        <v>6580</v>
      </c>
      <c r="P1150" s="192">
        <f t="shared" si="424"/>
        <v>6772</v>
      </c>
      <c r="Q1150" s="192">
        <f t="shared" si="424"/>
        <v>4614</v>
      </c>
      <c r="R1150" s="192">
        <f t="shared" si="424"/>
        <v>3796</v>
      </c>
      <c r="S1150" s="192">
        <f t="shared" si="424"/>
        <v>0</v>
      </c>
      <c r="T1150" s="192">
        <f t="shared" si="424"/>
        <v>57588</v>
      </c>
      <c r="U1150"/>
      <c r="V1150">
        <f>+PRESUPUESTO22[[#This Row],[EJECUTADO ]]-SUM(PRESUPUESTO22[[#This Row],[   ENERO ]:[DIC]])</f>
        <v>0</v>
      </c>
    </row>
    <row r="1151" spans="1:22" ht="15.95" customHeight="1" x14ac:dyDescent="0.25">
      <c r="A1151" s="52"/>
      <c r="B1151" s="137">
        <v>24040401</v>
      </c>
      <c r="C1151" s="130" t="str">
        <f t="shared" si="415"/>
        <v>E-24040401</v>
      </c>
      <c r="D1151" s="130">
        <v>1101</v>
      </c>
      <c r="E1151" s="137" t="s">
        <v>72</v>
      </c>
      <c r="F1151" s="57" t="s">
        <v>924</v>
      </c>
      <c r="G1151" s="193">
        <f>2760*13</f>
        <v>35880</v>
      </c>
      <c r="H1151" s="193">
        <v>2760</v>
      </c>
      <c r="I1151" s="193">
        <v>2760</v>
      </c>
      <c r="J1151" s="193">
        <v>2967</v>
      </c>
      <c r="K1151" s="193">
        <v>2953</v>
      </c>
      <c r="L1151" s="193">
        <v>2760</v>
      </c>
      <c r="M1151" s="193">
        <v>2760</v>
      </c>
      <c r="N1151" s="193">
        <v>2816</v>
      </c>
      <c r="O1151" s="193">
        <v>2969</v>
      </c>
      <c r="P1151" s="193">
        <v>2760</v>
      </c>
      <c r="Q1151" s="193">
        <v>2760</v>
      </c>
      <c r="R1151" s="193">
        <v>2760</v>
      </c>
      <c r="S1151" s="193">
        <v>0</v>
      </c>
      <c r="T1151" s="193">
        <f t="shared" ref="T1151:T1160" si="425">SUM(H1151:S1151)</f>
        <v>31025</v>
      </c>
      <c r="U1151"/>
      <c r="V1151">
        <f>+PRESUPUESTO22[[#This Row],[EJECUTADO ]]-SUM(PRESUPUESTO22[[#This Row],[   ENERO ]:[DIC]])</f>
        <v>0</v>
      </c>
    </row>
    <row r="1152" spans="1:22" ht="15.95" customHeight="1" x14ac:dyDescent="0.25">
      <c r="A1152" s="52"/>
      <c r="B1152" s="156">
        <v>24040402</v>
      </c>
      <c r="C1152" s="130" t="str">
        <f t="shared" si="415"/>
        <v>E-24040402</v>
      </c>
      <c r="D1152" s="130">
        <v>1102</v>
      </c>
      <c r="E1152" s="156" t="s">
        <v>72</v>
      </c>
      <c r="F1152" s="216" t="s">
        <v>925</v>
      </c>
      <c r="G1152" s="193">
        <v>5000</v>
      </c>
      <c r="H1152" s="193">
        <f>4999.68+0.32</f>
        <v>5000</v>
      </c>
      <c r="I1152" s="193">
        <v>0</v>
      </c>
      <c r="J1152" s="193">
        <v>0</v>
      </c>
      <c r="K1152" s="193">
        <v>0</v>
      </c>
      <c r="L1152" s="193">
        <v>0</v>
      </c>
      <c r="M1152" s="193">
        <v>0</v>
      </c>
      <c r="N1152" s="193">
        <v>0</v>
      </c>
      <c r="O1152" s="193">
        <v>0</v>
      </c>
      <c r="P1152" s="193">
        <v>0</v>
      </c>
      <c r="Q1152" s="193">
        <v>0</v>
      </c>
      <c r="R1152" s="193">
        <v>0</v>
      </c>
      <c r="S1152" s="193">
        <v>0</v>
      </c>
      <c r="T1152" s="193">
        <f t="shared" si="425"/>
        <v>5000</v>
      </c>
      <c r="U1152"/>
      <c r="V1152">
        <f>+PRESUPUESTO22[[#This Row],[EJECUTADO ]]-SUM(PRESUPUESTO22[[#This Row],[   ENERO ]:[DIC]])</f>
        <v>0</v>
      </c>
    </row>
    <row r="1153" spans="1:22" ht="17.25" customHeight="1" x14ac:dyDescent="0.25">
      <c r="A1153" s="52"/>
      <c r="B1153" s="137">
        <v>24040403</v>
      </c>
      <c r="C1153" s="130" t="str">
        <f t="shared" si="415"/>
        <v>E-24040403</v>
      </c>
      <c r="D1153" s="130">
        <v>1103</v>
      </c>
      <c r="E1153" s="156" t="s">
        <v>72</v>
      </c>
      <c r="F1153" s="216" t="s">
        <v>895</v>
      </c>
      <c r="G1153" s="193">
        <v>5000</v>
      </c>
      <c r="H1153" s="193">
        <v>0</v>
      </c>
      <c r="I1153" s="193">
        <v>0</v>
      </c>
      <c r="J1153" s="193">
        <v>0</v>
      </c>
      <c r="K1153" s="193">
        <v>0</v>
      </c>
      <c r="L1153" s="193">
        <v>0</v>
      </c>
      <c r="M1153" s="193">
        <v>0</v>
      </c>
      <c r="N1153" s="193">
        <v>0</v>
      </c>
      <c r="O1153" s="193">
        <v>0</v>
      </c>
      <c r="P1153" s="193">
        <v>0</v>
      </c>
      <c r="Q1153" s="193">
        <v>0</v>
      </c>
      <c r="R1153" s="193">
        <v>0</v>
      </c>
      <c r="S1153" s="193">
        <v>0</v>
      </c>
      <c r="T1153" s="193">
        <f t="shared" si="425"/>
        <v>0</v>
      </c>
      <c r="U1153"/>
      <c r="V1153">
        <f>+PRESUPUESTO22[[#This Row],[EJECUTADO ]]-SUM(PRESUPUESTO22[[#This Row],[   ENERO ]:[DIC]])</f>
        <v>0</v>
      </c>
    </row>
    <row r="1154" spans="1:22" ht="17.25" customHeight="1" x14ac:dyDescent="0.25">
      <c r="A1154" s="52"/>
      <c r="B1154" s="156">
        <v>24040404</v>
      </c>
      <c r="C1154" s="130" t="str">
        <f t="shared" si="415"/>
        <v>E-24040404</v>
      </c>
      <c r="D1154" s="130">
        <v>1104</v>
      </c>
      <c r="E1154" s="156" t="s">
        <v>72</v>
      </c>
      <c r="F1154" s="216" t="s">
        <v>926</v>
      </c>
      <c r="G1154" s="193">
        <v>2000</v>
      </c>
      <c r="H1154" s="193">
        <v>0</v>
      </c>
      <c r="I1154" s="193">
        <v>0</v>
      </c>
      <c r="J1154" s="193">
        <v>0</v>
      </c>
      <c r="K1154" s="193">
        <v>0</v>
      </c>
      <c r="L1154" s="193">
        <v>0</v>
      </c>
      <c r="M1154" s="193">
        <f>1149.21-0.21</f>
        <v>1149</v>
      </c>
      <c r="N1154" s="193">
        <v>0</v>
      </c>
      <c r="O1154" s="193">
        <v>0</v>
      </c>
      <c r="P1154" s="193">
        <v>0</v>
      </c>
      <c r="Q1154" s="193">
        <v>0</v>
      </c>
      <c r="R1154" s="193">
        <v>0</v>
      </c>
      <c r="S1154" s="193">
        <v>0</v>
      </c>
      <c r="T1154" s="193">
        <f t="shared" si="425"/>
        <v>1149</v>
      </c>
      <c r="U1154"/>
      <c r="V1154">
        <f>+PRESUPUESTO22[[#This Row],[EJECUTADO ]]-SUM(PRESUPUESTO22[[#This Row],[   ENERO ]:[DIC]])</f>
        <v>0</v>
      </c>
    </row>
    <row r="1155" spans="1:22" ht="17.25" customHeight="1" x14ac:dyDescent="0.25">
      <c r="A1155" s="52"/>
      <c r="B1155" s="137">
        <v>24040405</v>
      </c>
      <c r="C1155" s="130" t="str">
        <f t="shared" si="415"/>
        <v>E-24040405</v>
      </c>
      <c r="D1155" s="130">
        <v>1105</v>
      </c>
      <c r="E1155" s="156" t="s">
        <v>72</v>
      </c>
      <c r="F1155" s="216" t="s">
        <v>439</v>
      </c>
      <c r="G1155" s="193">
        <v>8750</v>
      </c>
      <c r="H1155" s="193">
        <v>0</v>
      </c>
      <c r="I1155" s="193">
        <v>0</v>
      </c>
      <c r="J1155" s="193">
        <v>0</v>
      </c>
      <c r="K1155" s="193">
        <v>0</v>
      </c>
      <c r="L1155" s="193">
        <f>496.82+236.83+225.42-0.07</f>
        <v>958.99999999999989</v>
      </c>
      <c r="M1155" s="193">
        <f>1265.19-0.19</f>
        <v>1265</v>
      </c>
      <c r="N1155" s="193">
        <f>660.49+0.51</f>
        <v>661</v>
      </c>
      <c r="O1155" s="193">
        <f>1127.4-0.4</f>
        <v>1127</v>
      </c>
      <c r="P1155" s="193">
        <f>1308.03-0.03</f>
        <v>1308</v>
      </c>
      <c r="Q1155" s="193">
        <v>0</v>
      </c>
      <c r="R1155" s="193">
        <v>0</v>
      </c>
      <c r="S1155" s="193">
        <v>0</v>
      </c>
      <c r="T1155" s="193">
        <f t="shared" si="425"/>
        <v>5320</v>
      </c>
      <c r="U1155"/>
      <c r="V1155">
        <f>+PRESUPUESTO22[[#This Row],[EJECUTADO ]]-SUM(PRESUPUESTO22[[#This Row],[   ENERO ]:[DIC]])</f>
        <v>0</v>
      </c>
    </row>
    <row r="1156" spans="1:22" ht="17.25" customHeight="1" x14ac:dyDescent="0.25">
      <c r="A1156" s="52"/>
      <c r="B1156" s="156">
        <v>24040406</v>
      </c>
      <c r="C1156" s="130" t="str">
        <f t="shared" si="415"/>
        <v>E-24040406</v>
      </c>
      <c r="D1156" s="130">
        <v>1106</v>
      </c>
      <c r="E1156" s="156" t="s">
        <v>72</v>
      </c>
      <c r="F1156" s="216" t="s">
        <v>927</v>
      </c>
      <c r="G1156" s="193">
        <v>18000</v>
      </c>
      <c r="H1156" s="193">
        <v>0</v>
      </c>
      <c r="I1156" s="193">
        <v>0</v>
      </c>
      <c r="J1156" s="193">
        <v>0</v>
      </c>
      <c r="K1156" s="193">
        <v>0</v>
      </c>
      <c r="L1156" s="193">
        <f>1063.5+0.5</f>
        <v>1064</v>
      </c>
      <c r="M1156" s="193">
        <f>781.5+1230+455+359+0.5</f>
        <v>2826</v>
      </c>
      <c r="N1156" s="193">
        <f>335+947+1095+730</f>
        <v>3107</v>
      </c>
      <c r="O1156" s="193">
        <v>1247</v>
      </c>
      <c r="P1156" s="193">
        <f>1607.5+292+804.5</f>
        <v>2704</v>
      </c>
      <c r="Q1156" s="193">
        <f>459.5+1328+0.5</f>
        <v>1788</v>
      </c>
      <c r="R1156" s="193">
        <v>1025</v>
      </c>
      <c r="S1156" s="193">
        <v>0</v>
      </c>
      <c r="T1156" s="193">
        <f t="shared" si="425"/>
        <v>13761</v>
      </c>
      <c r="U1156"/>
      <c r="V1156">
        <f>+PRESUPUESTO22[[#This Row],[EJECUTADO ]]-SUM(PRESUPUESTO22[[#This Row],[   ENERO ]:[DIC]])</f>
        <v>0</v>
      </c>
    </row>
    <row r="1157" spans="1:22" ht="15.95" customHeight="1" x14ac:dyDescent="0.25">
      <c r="A1157" s="52"/>
      <c r="B1157" s="137">
        <v>24040407</v>
      </c>
      <c r="C1157" s="130" t="str">
        <f t="shared" si="415"/>
        <v>E-24040407</v>
      </c>
      <c r="D1157" s="130">
        <v>1107</v>
      </c>
      <c r="E1157" s="156" t="s">
        <v>72</v>
      </c>
      <c r="F1157" s="216" t="s">
        <v>928</v>
      </c>
      <c r="G1157" s="193">
        <v>1200</v>
      </c>
      <c r="H1157" s="193">
        <v>0</v>
      </c>
      <c r="I1157" s="193">
        <v>0</v>
      </c>
      <c r="J1157" s="193">
        <v>0</v>
      </c>
      <c r="K1157" s="193">
        <v>0</v>
      </c>
      <c r="L1157" s="193">
        <v>0</v>
      </c>
      <c r="M1157" s="193">
        <v>0</v>
      </c>
      <c r="N1157" s="193">
        <v>0</v>
      </c>
      <c r="O1157" s="193">
        <f>1199.6+0.4</f>
        <v>1200</v>
      </c>
      <c r="P1157" s="193">
        <v>0</v>
      </c>
      <c r="Q1157" s="193">
        <v>0</v>
      </c>
      <c r="R1157" s="193">
        <v>0</v>
      </c>
      <c r="S1157" s="193">
        <v>0</v>
      </c>
      <c r="T1157" s="193">
        <f t="shared" si="425"/>
        <v>1200</v>
      </c>
      <c r="U1157"/>
      <c r="V1157">
        <f>+PRESUPUESTO22[[#This Row],[EJECUTADO ]]-SUM(PRESUPUESTO22[[#This Row],[   ENERO ]:[DIC]])</f>
        <v>0</v>
      </c>
    </row>
    <row r="1158" spans="1:22" ht="15.95" customHeight="1" x14ac:dyDescent="0.25">
      <c r="A1158" s="52"/>
      <c r="B1158" s="156">
        <v>24040408</v>
      </c>
      <c r="C1158" s="130" t="str">
        <f t="shared" si="415"/>
        <v>E-24040408</v>
      </c>
      <c r="D1158" s="130">
        <v>1108</v>
      </c>
      <c r="E1158" s="156" t="s">
        <v>72</v>
      </c>
      <c r="F1158" s="216" t="s">
        <v>929</v>
      </c>
      <c r="G1158" s="193">
        <v>1000</v>
      </c>
      <c r="H1158" s="193">
        <v>0</v>
      </c>
      <c r="I1158" s="193">
        <v>0</v>
      </c>
      <c r="J1158" s="193">
        <v>0</v>
      </c>
      <c r="K1158" s="193">
        <v>0</v>
      </c>
      <c r="L1158" s="193">
        <v>0</v>
      </c>
      <c r="M1158" s="193">
        <v>0</v>
      </c>
      <c r="N1158" s="193">
        <v>0</v>
      </c>
      <c r="O1158" s="193">
        <v>37</v>
      </c>
      <c r="P1158" s="193">
        <v>0</v>
      </c>
      <c r="Q1158" s="193">
        <f>44+21.79+0.21</f>
        <v>65.999999999999986</v>
      </c>
      <c r="R1158" s="193">
        <f>10.99+0.01</f>
        <v>11</v>
      </c>
      <c r="S1158" s="193">
        <v>0</v>
      </c>
      <c r="T1158" s="193">
        <f t="shared" si="425"/>
        <v>113.99999999999999</v>
      </c>
      <c r="U1158"/>
      <c r="V1158">
        <f>+PRESUPUESTO22[[#This Row],[EJECUTADO ]]-SUM(PRESUPUESTO22[[#This Row],[   ENERO ]:[DIC]])</f>
        <v>0</v>
      </c>
    </row>
    <row r="1159" spans="1:22" ht="15.95" customHeight="1" x14ac:dyDescent="0.25">
      <c r="A1159" s="52"/>
      <c r="B1159" s="137">
        <v>24040409</v>
      </c>
      <c r="C1159" s="130" t="str">
        <f t="shared" si="415"/>
        <v>E-24040409</v>
      </c>
      <c r="D1159" s="130">
        <v>1109</v>
      </c>
      <c r="E1159" s="156" t="s">
        <v>72</v>
      </c>
      <c r="F1159" s="216" t="s">
        <v>930</v>
      </c>
      <c r="G1159" s="193">
        <v>0</v>
      </c>
      <c r="H1159" s="193">
        <v>0</v>
      </c>
      <c r="I1159" s="193">
        <v>0</v>
      </c>
      <c r="J1159" s="193">
        <v>0</v>
      </c>
      <c r="K1159" s="193">
        <v>0</v>
      </c>
      <c r="L1159" s="193">
        <v>0</v>
      </c>
      <c r="M1159" s="193">
        <v>0</v>
      </c>
      <c r="N1159" s="193">
        <v>19</v>
      </c>
      <c r="O1159" s="193">
        <v>0</v>
      </c>
      <c r="P1159" s="193">
        <v>0</v>
      </c>
      <c r="Q1159" s="193">
        <v>0</v>
      </c>
      <c r="R1159" s="193">
        <v>0</v>
      </c>
      <c r="S1159" s="193">
        <v>0</v>
      </c>
      <c r="T1159" s="193">
        <f t="shared" si="425"/>
        <v>19</v>
      </c>
      <c r="U1159"/>
      <c r="V1159">
        <f>+PRESUPUESTO22[[#This Row],[EJECUTADO ]]-SUM(PRESUPUESTO22[[#This Row],[   ENERO ]:[DIC]])</f>
        <v>0</v>
      </c>
    </row>
    <row r="1160" spans="1:22" ht="15.95" customHeight="1" x14ac:dyDescent="0.25">
      <c r="A1160" s="52"/>
      <c r="B1160" s="156">
        <v>24040410</v>
      </c>
      <c r="C1160" s="130" t="str">
        <f t="shared" si="415"/>
        <v>E-24040410</v>
      </c>
      <c r="D1160" s="130">
        <v>1110</v>
      </c>
      <c r="E1160" s="156" t="s">
        <v>72</v>
      </c>
      <c r="F1160" s="216" t="s">
        <v>931</v>
      </c>
      <c r="G1160" s="193">
        <v>5000</v>
      </c>
      <c r="H1160" s="193">
        <v>0</v>
      </c>
      <c r="I1160" s="193">
        <v>0</v>
      </c>
      <c r="J1160" s="193">
        <v>0</v>
      </c>
      <c r="K1160" s="193">
        <v>0</v>
      </c>
      <c r="L1160" s="193">
        <v>0</v>
      </c>
      <c r="M1160" s="193">
        <v>0</v>
      </c>
      <c r="N1160" s="193">
        <v>0</v>
      </c>
      <c r="O1160" s="193">
        <v>0</v>
      </c>
      <c r="P1160" s="193">
        <v>0</v>
      </c>
      <c r="Q1160" s="193">
        <v>0</v>
      </c>
      <c r="R1160" s="193">
        <v>0</v>
      </c>
      <c r="S1160" s="193">
        <v>0</v>
      </c>
      <c r="T1160" s="193">
        <f t="shared" si="425"/>
        <v>0</v>
      </c>
      <c r="U1160"/>
      <c r="V1160">
        <f>+PRESUPUESTO22[[#This Row],[EJECUTADO ]]-SUM(PRESUPUESTO22[[#This Row],[   ENERO ]:[DIC]])</f>
        <v>0</v>
      </c>
    </row>
    <row r="1161" spans="1:22" ht="15.95" customHeight="1" x14ac:dyDescent="0.25">
      <c r="A1161" s="49">
        <v>5</v>
      </c>
      <c r="B1161" s="157">
        <v>2405</v>
      </c>
      <c r="C1161" s="130" t="str">
        <f t="shared" si="415"/>
        <v>E-2405</v>
      </c>
      <c r="D1161" s="130">
        <v>1111</v>
      </c>
      <c r="E1161" s="157" t="s">
        <v>69</v>
      </c>
      <c r="F1161" s="219" t="s">
        <v>932</v>
      </c>
      <c r="G1161" s="234">
        <f>SUM(G1162:G1171)</f>
        <v>87066</v>
      </c>
      <c r="H1161" s="234">
        <f t="shared" ref="H1161:T1161" si="426">SUM(H1162:H1171)</f>
        <v>7646</v>
      </c>
      <c r="I1161" s="234">
        <f t="shared" si="426"/>
        <v>6913</v>
      </c>
      <c r="J1161" s="234">
        <f t="shared" si="426"/>
        <v>7283</v>
      </c>
      <c r="K1161" s="234">
        <f t="shared" si="426"/>
        <v>7123</v>
      </c>
      <c r="L1161" s="234">
        <f t="shared" si="426"/>
        <v>6849</v>
      </c>
      <c r="M1161" s="234">
        <f t="shared" si="426"/>
        <v>6880</v>
      </c>
      <c r="N1161" s="234">
        <f t="shared" si="426"/>
        <v>6953</v>
      </c>
      <c r="O1161" s="234">
        <f t="shared" si="426"/>
        <v>7559</v>
      </c>
      <c r="P1161" s="234">
        <f t="shared" si="426"/>
        <v>6464</v>
      </c>
      <c r="Q1161" s="234">
        <f t="shared" si="426"/>
        <v>6463</v>
      </c>
      <c r="R1161" s="234">
        <f t="shared" si="426"/>
        <v>6528</v>
      </c>
      <c r="S1161" s="234">
        <f t="shared" si="426"/>
        <v>0</v>
      </c>
      <c r="T1161" s="234">
        <f t="shared" si="426"/>
        <v>76661</v>
      </c>
      <c r="U1161"/>
      <c r="V1161">
        <f>+PRESUPUESTO22[[#This Row],[EJECUTADO ]]-SUM(PRESUPUESTO22[[#This Row],[   ENERO ]:[DIC]])</f>
        <v>0</v>
      </c>
    </row>
    <row r="1162" spans="1:22" ht="15.95" customHeight="1" x14ac:dyDescent="0.25">
      <c r="A1162" s="52"/>
      <c r="B1162" s="156">
        <v>240501</v>
      </c>
      <c r="C1162" s="130" t="str">
        <f t="shared" si="415"/>
        <v>E-240501</v>
      </c>
      <c r="D1162" s="130">
        <v>1112</v>
      </c>
      <c r="E1162" s="156" t="s">
        <v>72</v>
      </c>
      <c r="F1162" s="216" t="s">
        <v>933</v>
      </c>
      <c r="G1162" s="193">
        <f>1700*13</f>
        <v>22100</v>
      </c>
      <c r="H1162" s="193">
        <v>2492</v>
      </c>
      <c r="I1162" s="193">
        <v>1700</v>
      </c>
      <c r="J1162" s="193">
        <v>2083</v>
      </c>
      <c r="K1162" s="193">
        <v>1836</v>
      </c>
      <c r="L1162" s="193">
        <v>1700</v>
      </c>
      <c r="M1162" s="193">
        <v>1720</v>
      </c>
      <c r="N1162" s="193">
        <v>1717</v>
      </c>
      <c r="O1162" s="193">
        <v>2374</v>
      </c>
      <c r="P1162" s="193">
        <v>1700</v>
      </c>
      <c r="Q1162" s="193">
        <v>1716</v>
      </c>
      <c r="R1162" s="193">
        <v>1700</v>
      </c>
      <c r="S1162" s="193">
        <v>0</v>
      </c>
      <c r="T1162" s="193">
        <f t="shared" ref="T1162:T1170" si="427">SUM(H1162:S1162)</f>
        <v>20738</v>
      </c>
      <c r="U1162"/>
      <c r="V1162">
        <f>+PRESUPUESTO22[[#This Row],[EJECUTADO ]]-SUM(PRESUPUESTO22[[#This Row],[   ENERO ]:[DIC]])</f>
        <v>0</v>
      </c>
    </row>
    <row r="1163" spans="1:22" ht="15.95" customHeight="1" x14ac:dyDescent="0.25">
      <c r="A1163" s="52"/>
      <c r="B1163" s="156">
        <v>240502</v>
      </c>
      <c r="C1163" s="130" t="str">
        <f t="shared" si="415"/>
        <v>E-240502</v>
      </c>
      <c r="D1163" s="130">
        <v>1113</v>
      </c>
      <c r="E1163" s="156" t="s">
        <v>72</v>
      </c>
      <c r="F1163" s="216" t="s">
        <v>934</v>
      </c>
      <c r="G1163" s="193">
        <v>37296</v>
      </c>
      <c r="H1163" s="193">
        <v>3108</v>
      </c>
      <c r="I1163" s="193">
        <v>3108</v>
      </c>
      <c r="J1163" s="193">
        <v>3108</v>
      </c>
      <c r="K1163" s="193">
        <v>3108</v>
      </c>
      <c r="L1163" s="193">
        <v>3108</v>
      </c>
      <c r="M1163" s="193">
        <v>3108</v>
      </c>
      <c r="N1163" s="193">
        <v>3108</v>
      </c>
      <c r="O1163" s="193">
        <v>3108</v>
      </c>
      <c r="P1163" s="193">
        <v>3108</v>
      </c>
      <c r="Q1163" s="193">
        <v>3108</v>
      </c>
      <c r="R1163" s="193">
        <v>3108</v>
      </c>
      <c r="S1163" s="193">
        <v>0</v>
      </c>
      <c r="T1163" s="193">
        <f t="shared" si="427"/>
        <v>34188</v>
      </c>
      <c r="U1163"/>
      <c r="V1163">
        <f>+PRESUPUESTO22[[#This Row],[EJECUTADO ]]-SUM(PRESUPUESTO22[[#This Row],[   ENERO ]:[DIC]])</f>
        <v>0</v>
      </c>
    </row>
    <row r="1164" spans="1:22" ht="15.95" customHeight="1" x14ac:dyDescent="0.25">
      <c r="A1164" s="52"/>
      <c r="B1164" s="156">
        <v>240503</v>
      </c>
      <c r="C1164" s="130" t="str">
        <f t="shared" si="415"/>
        <v>E-240503</v>
      </c>
      <c r="D1164" s="130">
        <v>1114</v>
      </c>
      <c r="E1164" s="156" t="s">
        <v>72</v>
      </c>
      <c r="F1164" s="216" t="s">
        <v>935</v>
      </c>
      <c r="G1164" s="193">
        <v>4800</v>
      </c>
      <c r="H1164" s="193">
        <v>403</v>
      </c>
      <c r="I1164" s="193">
        <f>400.63+0.37</f>
        <v>401</v>
      </c>
      <c r="J1164" s="193">
        <f t="shared" ref="J1164:N1164" si="428">402.74+0.26</f>
        <v>403</v>
      </c>
      <c r="K1164" s="193">
        <f t="shared" si="428"/>
        <v>403</v>
      </c>
      <c r="L1164" s="193">
        <f t="shared" si="428"/>
        <v>403</v>
      </c>
      <c r="M1164" s="193">
        <f t="shared" si="428"/>
        <v>403</v>
      </c>
      <c r="N1164" s="193">
        <f t="shared" si="428"/>
        <v>403</v>
      </c>
      <c r="O1164" s="193">
        <f>398.65+0.35</f>
        <v>399</v>
      </c>
      <c r="P1164" s="193">
        <f>404.58+0.42</f>
        <v>405</v>
      </c>
      <c r="Q1164" s="193">
        <f>408.54+0.46</f>
        <v>409</v>
      </c>
      <c r="R1164" s="193">
        <f>402.6+0.4</f>
        <v>403</v>
      </c>
      <c r="S1164" s="193">
        <v>0</v>
      </c>
      <c r="T1164" s="193">
        <f t="shared" si="427"/>
        <v>4435</v>
      </c>
      <c r="U1164"/>
      <c r="V1164">
        <f>+PRESUPUESTO22[[#This Row],[EJECUTADO ]]-SUM(PRESUPUESTO22[[#This Row],[   ENERO ]:[DIC]])</f>
        <v>0</v>
      </c>
    </row>
    <row r="1165" spans="1:22" ht="15.95" customHeight="1" x14ac:dyDescent="0.25">
      <c r="A1165" s="52"/>
      <c r="B1165" s="156">
        <v>240504</v>
      </c>
      <c r="C1165" s="130" t="str">
        <f t="shared" si="415"/>
        <v>E-240504</v>
      </c>
      <c r="D1165" s="130">
        <v>1115</v>
      </c>
      <c r="E1165" s="156" t="s">
        <v>72</v>
      </c>
      <c r="F1165" s="216" t="s">
        <v>936</v>
      </c>
      <c r="G1165" s="193">
        <v>240</v>
      </c>
      <c r="H1165" s="193">
        <v>19</v>
      </c>
      <c r="I1165" s="193">
        <v>19</v>
      </c>
      <c r="J1165" s="193">
        <v>19</v>
      </c>
      <c r="K1165" s="193">
        <v>19</v>
      </c>
      <c r="L1165" s="193">
        <v>19</v>
      </c>
      <c r="M1165" s="193">
        <v>19</v>
      </c>
      <c r="N1165" s="193">
        <v>19</v>
      </c>
      <c r="O1165" s="193">
        <v>19</v>
      </c>
      <c r="P1165" s="193">
        <v>19</v>
      </c>
      <c r="Q1165" s="193">
        <v>19</v>
      </c>
      <c r="R1165" s="193">
        <v>19</v>
      </c>
      <c r="S1165" s="193">
        <v>0</v>
      </c>
      <c r="T1165" s="193">
        <f t="shared" si="427"/>
        <v>209</v>
      </c>
      <c r="U1165"/>
      <c r="V1165">
        <f>+PRESUPUESTO22[[#This Row],[EJECUTADO ]]-SUM(PRESUPUESTO22[[#This Row],[   ENERO ]:[DIC]])</f>
        <v>0</v>
      </c>
    </row>
    <row r="1166" spans="1:22" ht="15.95" customHeight="1" x14ac:dyDescent="0.25">
      <c r="A1166" s="52"/>
      <c r="B1166" s="156">
        <v>240505</v>
      </c>
      <c r="C1166" s="130" t="str">
        <f t="shared" si="415"/>
        <v>E-240505</v>
      </c>
      <c r="D1166" s="130">
        <v>1116</v>
      </c>
      <c r="E1166" s="156" t="s">
        <v>72</v>
      </c>
      <c r="F1166" s="216" t="s">
        <v>937</v>
      </c>
      <c r="G1166" s="193">
        <v>150</v>
      </c>
      <c r="H1166" s="193">
        <v>0</v>
      </c>
      <c r="I1166" s="193">
        <v>0</v>
      </c>
      <c r="J1166" s="193">
        <v>0</v>
      </c>
      <c r="K1166" s="193">
        <v>0</v>
      </c>
      <c r="L1166" s="193">
        <v>0</v>
      </c>
      <c r="M1166" s="193">
        <v>0</v>
      </c>
      <c r="N1166" s="193">
        <v>0</v>
      </c>
      <c r="O1166" s="193">
        <v>0</v>
      </c>
      <c r="P1166" s="193">
        <v>0</v>
      </c>
      <c r="Q1166" s="193">
        <v>0</v>
      </c>
      <c r="R1166" s="193">
        <v>0</v>
      </c>
      <c r="S1166" s="193">
        <v>0</v>
      </c>
      <c r="T1166" s="193">
        <f t="shared" si="427"/>
        <v>0</v>
      </c>
      <c r="U1166"/>
      <c r="V1166">
        <f>+PRESUPUESTO22[[#This Row],[EJECUTADO ]]-SUM(PRESUPUESTO22[[#This Row],[   ENERO ]:[DIC]])</f>
        <v>0</v>
      </c>
    </row>
    <row r="1167" spans="1:22" ht="15.95" customHeight="1" x14ac:dyDescent="0.25">
      <c r="A1167" s="52"/>
      <c r="B1167" s="156">
        <v>240506</v>
      </c>
      <c r="C1167" s="130" t="str">
        <f t="shared" si="415"/>
        <v>E-240506</v>
      </c>
      <c r="D1167" s="130">
        <v>1117</v>
      </c>
      <c r="E1167" s="156" t="s">
        <v>72</v>
      </c>
      <c r="F1167" s="216" t="s">
        <v>938</v>
      </c>
      <c r="G1167" s="193">
        <v>2440</v>
      </c>
      <c r="H1167" s="193">
        <f t="shared" ref="H1167:M1167" si="429">203.4-0.4</f>
        <v>203</v>
      </c>
      <c r="I1167" s="193">
        <f t="shared" si="429"/>
        <v>203</v>
      </c>
      <c r="J1167" s="193">
        <f t="shared" si="429"/>
        <v>203</v>
      </c>
      <c r="K1167" s="193">
        <f t="shared" si="429"/>
        <v>203</v>
      </c>
      <c r="L1167" s="193">
        <f t="shared" si="429"/>
        <v>203</v>
      </c>
      <c r="M1167" s="193">
        <f t="shared" si="429"/>
        <v>203</v>
      </c>
      <c r="N1167" s="193">
        <v>203</v>
      </c>
      <c r="O1167" s="193">
        <v>203</v>
      </c>
      <c r="P1167" s="193">
        <v>203</v>
      </c>
      <c r="Q1167" s="193">
        <v>203</v>
      </c>
      <c r="R1167" s="193">
        <v>203</v>
      </c>
      <c r="S1167" s="193">
        <v>0</v>
      </c>
      <c r="T1167" s="193">
        <f t="shared" si="427"/>
        <v>2233</v>
      </c>
      <c r="U1167"/>
      <c r="V1167">
        <f>+PRESUPUESTO22[[#This Row],[EJECUTADO ]]-SUM(PRESUPUESTO22[[#This Row],[   ENERO ]:[DIC]])</f>
        <v>0</v>
      </c>
    </row>
    <row r="1168" spans="1:22" ht="15.95" customHeight="1" x14ac:dyDescent="0.25">
      <c r="A1168" s="52"/>
      <c r="B1168" s="156">
        <v>240507</v>
      </c>
      <c r="C1168" s="130" t="str">
        <f t="shared" si="415"/>
        <v>E-240507</v>
      </c>
      <c r="D1168" s="130">
        <v>1118</v>
      </c>
      <c r="E1168" s="156" t="s">
        <v>72</v>
      </c>
      <c r="F1168" s="216" t="s">
        <v>939</v>
      </c>
      <c r="G1168" s="193">
        <v>720</v>
      </c>
      <c r="H1168" s="193">
        <v>0</v>
      </c>
      <c r="I1168" s="193">
        <v>0</v>
      </c>
      <c r="J1168" s="193">
        <v>0</v>
      </c>
      <c r="K1168" s="193">
        <v>23</v>
      </c>
      <c r="L1168" s="193">
        <f>22.6+0.4</f>
        <v>23</v>
      </c>
      <c r="M1168" s="193">
        <f>22.6+0.4</f>
        <v>23</v>
      </c>
      <c r="N1168" s="193">
        <v>23</v>
      </c>
      <c r="O1168" s="193">
        <v>0</v>
      </c>
      <c r="P1168" s="193">
        <v>23</v>
      </c>
      <c r="Q1168" s="193">
        <f>37.72+0.28</f>
        <v>38</v>
      </c>
      <c r="R1168" s="193">
        <f>16.5+0.5</f>
        <v>17</v>
      </c>
      <c r="S1168" s="193">
        <v>0</v>
      </c>
      <c r="T1168" s="193">
        <f t="shared" si="427"/>
        <v>170</v>
      </c>
      <c r="U1168"/>
      <c r="V1168">
        <f>+PRESUPUESTO22[[#This Row],[EJECUTADO ]]-SUM(PRESUPUESTO22[[#This Row],[   ENERO ]:[DIC]])</f>
        <v>0</v>
      </c>
    </row>
    <row r="1169" spans="1:31" ht="15.95" customHeight="1" x14ac:dyDescent="0.25">
      <c r="A1169" s="52"/>
      <c r="B1169" s="156">
        <v>240508</v>
      </c>
      <c r="C1169" s="130" t="str">
        <f t="shared" si="415"/>
        <v>E-240508</v>
      </c>
      <c r="D1169" s="130">
        <v>1119</v>
      </c>
      <c r="E1169" s="156" t="s">
        <v>72</v>
      </c>
      <c r="F1169" s="216" t="s">
        <v>940</v>
      </c>
      <c r="G1169" s="193">
        <v>2900</v>
      </c>
      <c r="H1169" s="193">
        <f>306.46-0.46</f>
        <v>306</v>
      </c>
      <c r="I1169" s="193">
        <f>366.9+0.1</f>
        <v>367</v>
      </c>
      <c r="J1169" s="193">
        <f>352.02-0.02</f>
        <v>352</v>
      </c>
      <c r="K1169" s="193">
        <f>325.25-0.25</f>
        <v>325</v>
      </c>
      <c r="L1169" s="193">
        <f>278.21-0.21</f>
        <v>278</v>
      </c>
      <c r="M1169" s="193">
        <f>288.84+0.16</f>
        <v>289</v>
      </c>
      <c r="N1169" s="193">
        <f>302.64+0.36</f>
        <v>303</v>
      </c>
      <c r="O1169" s="193">
        <f>340.84+0.16</f>
        <v>341</v>
      </c>
      <c r="P1169" s="193">
        <f>310.97+0.03</f>
        <v>311</v>
      </c>
      <c r="Q1169" s="193">
        <f>274.74+0.26</f>
        <v>275</v>
      </c>
      <c r="R1169" s="193">
        <f>307.66+0.34</f>
        <v>308</v>
      </c>
      <c r="S1169" s="193">
        <v>0</v>
      </c>
      <c r="T1169" s="193">
        <f t="shared" si="427"/>
        <v>3455</v>
      </c>
      <c r="U1169"/>
      <c r="V1169">
        <f>+PRESUPUESTO22[[#This Row],[EJECUTADO ]]-SUM(PRESUPUESTO22[[#This Row],[   ENERO ]:[DIC]])</f>
        <v>0</v>
      </c>
    </row>
    <row r="1170" spans="1:31" ht="15.95" customHeight="1" x14ac:dyDescent="0.25">
      <c r="A1170" s="52"/>
      <c r="B1170" s="156">
        <v>240509</v>
      </c>
      <c r="C1170" s="130" t="str">
        <f t="shared" si="415"/>
        <v>E-240509</v>
      </c>
      <c r="D1170" s="130">
        <v>1120</v>
      </c>
      <c r="E1170" s="156" t="s">
        <v>72</v>
      </c>
      <c r="F1170" s="216" t="s">
        <v>941</v>
      </c>
      <c r="G1170" s="193">
        <v>480</v>
      </c>
      <c r="H1170" s="193">
        <v>40</v>
      </c>
      <c r="I1170" s="193">
        <v>40</v>
      </c>
      <c r="J1170" s="193">
        <v>40</v>
      </c>
      <c r="K1170" s="193">
        <v>40</v>
      </c>
      <c r="L1170" s="193">
        <v>40</v>
      </c>
      <c r="M1170" s="193">
        <v>40</v>
      </c>
      <c r="N1170" s="193">
        <v>40</v>
      </c>
      <c r="O1170" s="193">
        <v>40</v>
      </c>
      <c r="P1170" s="193">
        <v>40</v>
      </c>
      <c r="Q1170" s="193">
        <v>40</v>
      </c>
      <c r="R1170" s="193">
        <v>40</v>
      </c>
      <c r="S1170" s="193">
        <v>0</v>
      </c>
      <c r="T1170" s="193">
        <f t="shared" si="427"/>
        <v>440</v>
      </c>
      <c r="U1170"/>
      <c r="V1170">
        <f>+PRESUPUESTO22[[#This Row],[EJECUTADO ]]-SUM(PRESUPUESTO22[[#This Row],[   ENERO ]:[DIC]])</f>
        <v>0</v>
      </c>
    </row>
    <row r="1171" spans="1:31" ht="15.95" customHeight="1" x14ac:dyDescent="0.25">
      <c r="A1171" s="52"/>
      <c r="B1171" s="151">
        <v>240510</v>
      </c>
      <c r="C1171" s="130" t="str">
        <f t="shared" si="415"/>
        <v>E-240510</v>
      </c>
      <c r="D1171" s="130">
        <v>1121</v>
      </c>
      <c r="E1171" s="151" t="s">
        <v>69</v>
      </c>
      <c r="F1171" s="247" t="s">
        <v>547</v>
      </c>
      <c r="G1171" s="192">
        <f t="shared" ref="G1171:S1171" si="430">SUM(G1172:G1174)</f>
        <v>15940</v>
      </c>
      <c r="H1171" s="192">
        <f t="shared" si="430"/>
        <v>1075</v>
      </c>
      <c r="I1171" s="192">
        <f t="shared" si="430"/>
        <v>1075</v>
      </c>
      <c r="J1171" s="192">
        <f t="shared" si="430"/>
        <v>1075</v>
      </c>
      <c r="K1171" s="192">
        <f t="shared" si="430"/>
        <v>1166</v>
      </c>
      <c r="L1171" s="192">
        <f t="shared" si="430"/>
        <v>1075</v>
      </c>
      <c r="M1171" s="192">
        <f t="shared" si="430"/>
        <v>1075</v>
      </c>
      <c r="N1171" s="192">
        <f t="shared" si="430"/>
        <v>1137</v>
      </c>
      <c r="O1171" s="192">
        <f t="shared" si="430"/>
        <v>1075</v>
      </c>
      <c r="P1171" s="192">
        <f t="shared" si="430"/>
        <v>655</v>
      </c>
      <c r="Q1171" s="192">
        <f t="shared" si="430"/>
        <v>655</v>
      </c>
      <c r="R1171" s="192">
        <f t="shared" si="430"/>
        <v>730</v>
      </c>
      <c r="S1171" s="192">
        <f t="shared" si="430"/>
        <v>0</v>
      </c>
      <c r="T1171" s="192">
        <f>SUM(T1172:T1174)</f>
        <v>10793</v>
      </c>
      <c r="U1171"/>
      <c r="V1171">
        <f>+PRESUPUESTO22[[#This Row],[EJECUTADO ]]-SUM(PRESUPUESTO22[[#This Row],[   ENERO ]:[DIC]])</f>
        <v>0</v>
      </c>
      <c r="W1171"/>
    </row>
    <row r="1172" spans="1:31" ht="15.95" customHeight="1" x14ac:dyDescent="0.25">
      <c r="A1172" s="52"/>
      <c r="B1172" s="156">
        <v>24051001</v>
      </c>
      <c r="C1172" s="130" t="str">
        <f t="shared" si="415"/>
        <v>E-24051001</v>
      </c>
      <c r="D1172" s="130">
        <v>1122</v>
      </c>
      <c r="E1172" s="156" t="s">
        <v>72</v>
      </c>
      <c r="F1172" s="216" t="s">
        <v>942</v>
      </c>
      <c r="G1172" s="193">
        <f>1020*12</f>
        <v>12240</v>
      </c>
      <c r="H1172" s="193">
        <v>1020</v>
      </c>
      <c r="I1172" s="193">
        <v>1020</v>
      </c>
      <c r="J1172" s="193">
        <v>1020</v>
      </c>
      <c r="K1172" s="193">
        <v>1020</v>
      </c>
      <c r="L1172" s="193">
        <v>1020</v>
      </c>
      <c r="M1172" s="193">
        <v>1020</v>
      </c>
      <c r="N1172" s="193">
        <v>1020</v>
      </c>
      <c r="O1172" s="193">
        <v>1020</v>
      </c>
      <c r="P1172" s="193">
        <v>600</v>
      </c>
      <c r="Q1172" s="193">
        <v>600</v>
      </c>
      <c r="R1172" s="193">
        <v>600</v>
      </c>
      <c r="S1172" s="193">
        <v>0</v>
      </c>
      <c r="T1172" s="193">
        <f>SUM(H1172:S1172)</f>
        <v>9960</v>
      </c>
      <c r="U1172"/>
      <c r="V1172">
        <f>+PRESUPUESTO22[[#This Row],[EJECUTADO ]]-SUM(PRESUPUESTO22[[#This Row],[   ENERO ]:[DIC]])</f>
        <v>0</v>
      </c>
      <c r="W1172"/>
    </row>
    <row r="1173" spans="1:31" ht="15.95" customHeight="1" x14ac:dyDescent="0.25">
      <c r="A1173" s="52"/>
      <c r="B1173" s="156">
        <v>24051002</v>
      </c>
      <c r="C1173" s="130" t="str">
        <f t="shared" si="415"/>
        <v>E-24051002</v>
      </c>
      <c r="D1173" s="130">
        <v>1123</v>
      </c>
      <c r="E1173" s="156" t="s">
        <v>72</v>
      </c>
      <c r="F1173" s="216" t="s">
        <v>943</v>
      </c>
      <c r="G1173" s="193">
        <v>3000</v>
      </c>
      <c r="H1173" s="193">
        <v>0</v>
      </c>
      <c r="I1173" s="193">
        <v>0</v>
      </c>
      <c r="J1173" s="193">
        <v>0</v>
      </c>
      <c r="K1173" s="193">
        <f>90.82+0.18</f>
        <v>91</v>
      </c>
      <c r="L1173" s="193">
        <v>0</v>
      </c>
      <c r="M1173" s="193">
        <v>0</v>
      </c>
      <c r="N1173" s="193">
        <v>62</v>
      </c>
      <c r="O1173" s="193">
        <v>0</v>
      </c>
      <c r="P1173" s="193">
        <v>0</v>
      </c>
      <c r="Q1173" s="193">
        <v>0</v>
      </c>
      <c r="R1173" s="193">
        <f>74.53+0.47</f>
        <v>75</v>
      </c>
      <c r="S1173" s="193">
        <v>0</v>
      </c>
      <c r="T1173" s="193">
        <f>SUM(H1173:S1173)</f>
        <v>228</v>
      </c>
      <c r="U1173"/>
      <c r="V1173">
        <f>+PRESUPUESTO22[[#This Row],[EJECUTADO ]]-SUM(PRESUPUESTO22[[#This Row],[   ENERO ]:[DIC]])</f>
        <v>0</v>
      </c>
      <c r="W1173"/>
    </row>
    <row r="1174" spans="1:31" ht="15.95" customHeight="1" x14ac:dyDescent="0.25">
      <c r="A1174" s="52"/>
      <c r="B1174" s="156">
        <v>24051003</v>
      </c>
      <c r="C1174" s="130" t="str">
        <f t="shared" si="415"/>
        <v>E-24051003</v>
      </c>
      <c r="D1174" s="130">
        <v>1124</v>
      </c>
      <c r="E1174" s="156" t="s">
        <v>72</v>
      </c>
      <c r="F1174" s="216" t="s">
        <v>944</v>
      </c>
      <c r="G1174" s="193">
        <v>700</v>
      </c>
      <c r="H1174" s="193">
        <v>55</v>
      </c>
      <c r="I1174" s="193">
        <v>55</v>
      </c>
      <c r="J1174" s="193">
        <v>55</v>
      </c>
      <c r="K1174" s="193">
        <v>55</v>
      </c>
      <c r="L1174" s="193">
        <v>55</v>
      </c>
      <c r="M1174" s="193">
        <v>55</v>
      </c>
      <c r="N1174" s="193">
        <v>55</v>
      </c>
      <c r="O1174" s="193">
        <v>55</v>
      </c>
      <c r="P1174" s="193">
        <v>55</v>
      </c>
      <c r="Q1174" s="193">
        <v>55</v>
      </c>
      <c r="R1174" s="193">
        <v>55</v>
      </c>
      <c r="S1174" s="193">
        <v>0</v>
      </c>
      <c r="T1174" s="193">
        <f>SUM(H1174:S1174)</f>
        <v>605</v>
      </c>
      <c r="U1174"/>
      <c r="V1174">
        <f>+PRESUPUESTO22[[#This Row],[EJECUTADO ]]-SUM(PRESUPUESTO22[[#This Row],[   ENERO ]:[DIC]])</f>
        <v>0</v>
      </c>
      <c r="W1174"/>
    </row>
    <row r="1175" spans="1:31" ht="15.95" customHeight="1" x14ac:dyDescent="0.25">
      <c r="A1175" s="52">
        <v>6</v>
      </c>
      <c r="B1175" s="157">
        <v>2406</v>
      </c>
      <c r="C1175" s="130" t="str">
        <f t="shared" si="415"/>
        <v>E-2406</v>
      </c>
      <c r="D1175" s="130">
        <v>1125</v>
      </c>
      <c r="E1175" s="157" t="s">
        <v>69</v>
      </c>
      <c r="F1175" s="219" t="s">
        <v>945</v>
      </c>
      <c r="G1175" s="234">
        <f>SUM(G1176:G1179)</f>
        <v>52918</v>
      </c>
      <c r="H1175" s="234">
        <f>SUM(H1176:H1180)</f>
        <v>6526</v>
      </c>
      <c r="I1175" s="234">
        <f t="shared" ref="I1175:T1175" si="431">SUM(I1176:I1180)</f>
        <v>5032</v>
      </c>
      <c r="J1175" s="234">
        <f t="shared" si="431"/>
        <v>4661</v>
      </c>
      <c r="K1175" s="234">
        <f t="shared" si="431"/>
        <v>4335</v>
      </c>
      <c r="L1175" s="234">
        <f t="shared" si="431"/>
        <v>4132</v>
      </c>
      <c r="M1175" s="234">
        <f t="shared" si="431"/>
        <v>4132</v>
      </c>
      <c r="N1175" s="234">
        <f t="shared" si="431"/>
        <v>4155</v>
      </c>
      <c r="O1175" s="234">
        <f t="shared" si="431"/>
        <v>4886</v>
      </c>
      <c r="P1175" s="234">
        <f t="shared" si="431"/>
        <v>12412</v>
      </c>
      <c r="Q1175" s="234">
        <f t="shared" si="431"/>
        <v>-115</v>
      </c>
      <c r="R1175" s="234">
        <f t="shared" si="431"/>
        <v>4132</v>
      </c>
      <c r="S1175" s="234">
        <f t="shared" si="431"/>
        <v>0</v>
      </c>
      <c r="T1175" s="234">
        <f t="shared" si="431"/>
        <v>54288</v>
      </c>
      <c r="U1175"/>
      <c r="V1175">
        <f>+PRESUPUESTO22[[#This Row],[EJECUTADO ]]-SUM(PRESUPUESTO22[[#This Row],[   ENERO ]:[DIC]])</f>
        <v>0</v>
      </c>
      <c r="W1175"/>
      <c r="X1175" s="7" t="s">
        <v>1</v>
      </c>
    </row>
    <row r="1176" spans="1:31" ht="26.25" customHeight="1" x14ac:dyDescent="0.25">
      <c r="A1176" s="52"/>
      <c r="B1176" s="156">
        <v>240601</v>
      </c>
      <c r="C1176" s="130" t="str">
        <f t="shared" si="415"/>
        <v>E-240601</v>
      </c>
      <c r="D1176" s="130">
        <v>1126</v>
      </c>
      <c r="E1176" s="156" t="s">
        <v>72</v>
      </c>
      <c r="F1176" s="216" t="s">
        <v>946</v>
      </c>
      <c r="G1176" s="193">
        <f>2900*13</f>
        <v>37700</v>
      </c>
      <c r="H1176" s="193">
        <v>5294</v>
      </c>
      <c r="I1176" s="193">
        <v>3800</v>
      </c>
      <c r="J1176" s="193">
        <f>101+3328</f>
        <v>3429</v>
      </c>
      <c r="K1176" s="193">
        <v>3103</v>
      </c>
      <c r="L1176" s="193">
        <v>2900</v>
      </c>
      <c r="M1176" s="193">
        <v>2900</v>
      </c>
      <c r="N1176" s="193">
        <v>2923</v>
      </c>
      <c r="O1176" s="193">
        <v>3654</v>
      </c>
      <c r="P1176" s="193">
        <v>2765</v>
      </c>
      <c r="Q1176" s="193">
        <v>2878</v>
      </c>
      <c r="R1176" s="193">
        <v>2900</v>
      </c>
      <c r="S1176" s="193">
        <v>0</v>
      </c>
      <c r="T1176" s="193">
        <f>SUM(H1176:S1176)</f>
        <v>36546</v>
      </c>
      <c r="U1176"/>
      <c r="V1176">
        <f>+PRESUPUESTO22[[#This Row],[EJECUTADO ]]-SUM(PRESUPUESTO22[[#This Row],[   ENERO ]:[DIC]])</f>
        <v>0</v>
      </c>
      <c r="W1176"/>
    </row>
    <row r="1177" spans="1:31" ht="15" customHeight="1" x14ac:dyDescent="0.25">
      <c r="A1177" s="52"/>
      <c r="B1177" s="156">
        <v>240602</v>
      </c>
      <c r="C1177" s="130" t="str">
        <f t="shared" si="415"/>
        <v>E-240602</v>
      </c>
      <c r="D1177" s="130">
        <v>1127</v>
      </c>
      <c r="E1177" s="156" t="s">
        <v>72</v>
      </c>
      <c r="F1177" s="216" t="s">
        <v>947</v>
      </c>
      <c r="G1177" s="193">
        <v>5030</v>
      </c>
      <c r="H1177" s="193">
        <f t="shared" ref="H1177:R1177" si="432">419.23-0.23</f>
        <v>419</v>
      </c>
      <c r="I1177" s="193">
        <f t="shared" si="432"/>
        <v>419</v>
      </c>
      <c r="J1177" s="193">
        <f t="shared" si="432"/>
        <v>419</v>
      </c>
      <c r="K1177" s="193">
        <f t="shared" si="432"/>
        <v>419</v>
      </c>
      <c r="L1177" s="193">
        <f t="shared" si="432"/>
        <v>419</v>
      </c>
      <c r="M1177" s="193">
        <f t="shared" si="432"/>
        <v>419</v>
      </c>
      <c r="N1177" s="193">
        <f t="shared" si="432"/>
        <v>419</v>
      </c>
      <c r="O1177" s="193">
        <f t="shared" si="432"/>
        <v>419</v>
      </c>
      <c r="P1177" s="193">
        <f t="shared" si="432"/>
        <v>419</v>
      </c>
      <c r="Q1177" s="193">
        <f t="shared" si="432"/>
        <v>419</v>
      </c>
      <c r="R1177" s="193">
        <f t="shared" si="432"/>
        <v>419</v>
      </c>
      <c r="S1177" s="193">
        <v>0</v>
      </c>
      <c r="T1177" s="193">
        <f>SUM(H1177:S1177)</f>
        <v>4609</v>
      </c>
      <c r="U1177"/>
      <c r="V1177">
        <f>+PRESUPUESTO22[[#This Row],[EJECUTADO ]]-SUM(PRESUPUESTO22[[#This Row],[   ENERO ]:[DIC]])</f>
        <v>0</v>
      </c>
      <c r="W1177"/>
    </row>
    <row r="1178" spans="1:31" ht="15" customHeight="1" x14ac:dyDescent="0.25">
      <c r="A1178" s="52"/>
      <c r="B1178" s="156">
        <v>240603</v>
      </c>
      <c r="C1178" s="130" t="str">
        <f t="shared" si="415"/>
        <v>E-240603</v>
      </c>
      <c r="D1178" s="130">
        <v>1128</v>
      </c>
      <c r="E1178" s="156" t="s">
        <v>72</v>
      </c>
      <c r="F1178" s="216" t="s">
        <v>948</v>
      </c>
      <c r="G1178" s="193">
        <f>35*12</f>
        <v>420</v>
      </c>
      <c r="H1178" s="193">
        <v>0</v>
      </c>
      <c r="I1178" s="193">
        <v>0</v>
      </c>
      <c r="J1178" s="193">
        <v>0</v>
      </c>
      <c r="K1178" s="193">
        <v>0</v>
      </c>
      <c r="L1178" s="193">
        <v>0</v>
      </c>
      <c r="M1178" s="193">
        <v>0</v>
      </c>
      <c r="N1178" s="193">
        <v>0</v>
      </c>
      <c r="O1178" s="193">
        <v>0</v>
      </c>
      <c r="P1178" s="193">
        <v>0</v>
      </c>
      <c r="Q1178" s="193">
        <v>0</v>
      </c>
      <c r="R1178" s="193">
        <v>0</v>
      </c>
      <c r="S1178" s="193">
        <v>0</v>
      </c>
      <c r="T1178" s="193">
        <f>SUM(H1178:S1178)</f>
        <v>0</v>
      </c>
      <c r="U1178"/>
      <c r="V1178">
        <f>+PRESUPUESTO22[[#This Row],[EJECUTADO ]]-SUM(PRESUPUESTO22[[#This Row],[   ENERO ]:[DIC]])</f>
        <v>0</v>
      </c>
      <c r="W1178"/>
    </row>
    <row r="1179" spans="1:31" ht="15.95" customHeight="1" x14ac:dyDescent="0.25">
      <c r="A1179" s="52"/>
      <c r="B1179" s="156">
        <v>240604</v>
      </c>
      <c r="C1179" s="130" t="str">
        <f t="shared" si="415"/>
        <v>E-240604</v>
      </c>
      <c r="D1179" s="130">
        <v>1129</v>
      </c>
      <c r="E1179" s="156" t="s">
        <v>72</v>
      </c>
      <c r="F1179" s="216" t="s">
        <v>949</v>
      </c>
      <c r="G1179" s="193">
        <f>814*12</f>
        <v>9768</v>
      </c>
      <c r="H1179" s="193">
        <f>813.19-0.19</f>
        <v>813</v>
      </c>
      <c r="I1179" s="193">
        <f t="shared" ref="I1179:R1179" si="433">813.19-0.19</f>
        <v>813</v>
      </c>
      <c r="J1179" s="193">
        <f t="shared" si="433"/>
        <v>813</v>
      </c>
      <c r="K1179" s="193">
        <f t="shared" si="433"/>
        <v>813</v>
      </c>
      <c r="L1179" s="193">
        <f t="shared" si="433"/>
        <v>813</v>
      </c>
      <c r="M1179" s="193">
        <f t="shared" si="433"/>
        <v>813</v>
      </c>
      <c r="N1179" s="193">
        <f t="shared" si="433"/>
        <v>813</v>
      </c>
      <c r="O1179" s="193">
        <f t="shared" si="433"/>
        <v>813</v>
      </c>
      <c r="P1179" s="193">
        <f t="shared" si="433"/>
        <v>813</v>
      </c>
      <c r="Q1179" s="193">
        <f t="shared" si="433"/>
        <v>813</v>
      </c>
      <c r="R1179" s="193">
        <f t="shared" si="433"/>
        <v>813</v>
      </c>
      <c r="S1179" s="193">
        <v>0</v>
      </c>
      <c r="T1179" s="193">
        <f>SUM(H1179:S1179)</f>
        <v>8943</v>
      </c>
      <c r="U1179"/>
      <c r="V1179">
        <f>+PRESUPUESTO22[[#This Row],[EJECUTADO ]]-SUM(PRESUPUESTO22[[#This Row],[   ENERO ]:[DIC]])</f>
        <v>0</v>
      </c>
      <c r="W1179"/>
    </row>
    <row r="1180" spans="1:31" ht="22.5" customHeight="1" x14ac:dyDescent="0.25">
      <c r="A1180" s="52"/>
      <c r="B1180" s="179">
        <v>240605</v>
      </c>
      <c r="C1180" s="130" t="str">
        <f t="shared" si="415"/>
        <v>E-240605</v>
      </c>
      <c r="D1180" s="130">
        <v>1130</v>
      </c>
      <c r="E1180" s="179" t="s">
        <v>72</v>
      </c>
      <c r="F1180" s="249" t="s">
        <v>950</v>
      </c>
      <c r="G1180" s="250">
        <v>4675</v>
      </c>
      <c r="H1180" s="250">
        <f t="shared" ref="H1180:N1180" si="434">SUM(H1181:H1183)</f>
        <v>0</v>
      </c>
      <c r="I1180" s="250">
        <f t="shared" si="434"/>
        <v>0</v>
      </c>
      <c r="J1180" s="250">
        <f t="shared" si="434"/>
        <v>0</v>
      </c>
      <c r="K1180" s="250">
        <f t="shared" si="434"/>
        <v>0</v>
      </c>
      <c r="L1180" s="250">
        <f t="shared" si="434"/>
        <v>0</v>
      </c>
      <c r="M1180" s="250">
        <f t="shared" si="434"/>
        <v>0</v>
      </c>
      <c r="N1180" s="250">
        <f t="shared" si="434"/>
        <v>0</v>
      </c>
      <c r="O1180" s="250">
        <f>SUM(O1181:O1183)</f>
        <v>0</v>
      </c>
      <c r="P1180" s="250">
        <f t="shared" ref="P1180:T1180" si="435">SUM(P1181:P1183)</f>
        <v>8415</v>
      </c>
      <c r="Q1180" s="250">
        <f t="shared" si="435"/>
        <v>-4225</v>
      </c>
      <c r="R1180" s="250">
        <f t="shared" si="435"/>
        <v>0</v>
      </c>
      <c r="S1180" s="250">
        <f t="shared" si="435"/>
        <v>0</v>
      </c>
      <c r="T1180" s="250">
        <f t="shared" si="435"/>
        <v>4190</v>
      </c>
      <c r="U1180"/>
      <c r="V1180">
        <f>+PRESUPUESTO22[[#This Row],[EJECUTADO ]]-SUM(PRESUPUESTO22[[#This Row],[   ENERO ]:[DIC]])</f>
        <v>0</v>
      </c>
      <c r="W1180"/>
    </row>
    <row r="1181" spans="1:31" ht="15.95" customHeight="1" x14ac:dyDescent="0.25">
      <c r="A1181" s="52"/>
      <c r="B1181" s="137">
        <v>240606</v>
      </c>
      <c r="C1181" s="130" t="str">
        <f t="shared" ref="C1181:C1245" si="436">"E"&amp;"-"&amp;B1181</f>
        <v>E-240606</v>
      </c>
      <c r="D1181" s="130">
        <v>1131</v>
      </c>
      <c r="E1181" s="137" t="s">
        <v>69</v>
      </c>
      <c r="F1181" s="57" t="s">
        <v>1439</v>
      </c>
      <c r="G1181" s="193">
        <v>0</v>
      </c>
      <c r="H1181" s="193">
        <v>0</v>
      </c>
      <c r="I1181" s="193">
        <v>0</v>
      </c>
      <c r="J1181" s="193">
        <v>0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f>7956.47-0.47</f>
        <v>7956</v>
      </c>
      <c r="Q1181" s="193">
        <f>-7956</f>
        <v>-7956</v>
      </c>
      <c r="R1181" s="193">
        <v>0</v>
      </c>
      <c r="S1181" s="193">
        <v>0</v>
      </c>
      <c r="T1181" s="193">
        <f>SUM(H1181:S1181)</f>
        <v>0</v>
      </c>
      <c r="U1181"/>
      <c r="V1181">
        <f>+PRESUPUESTO22[[#This Row],[EJECUTADO ]]-SUM(PRESUPUESTO22[[#This Row],[   ENERO ]:[DIC]])</f>
        <v>0</v>
      </c>
      <c r="W1181"/>
    </row>
    <row r="1182" spans="1:31" ht="15.95" customHeight="1" x14ac:dyDescent="0.25">
      <c r="A1182" s="52"/>
      <c r="B1182" s="156">
        <v>240608</v>
      </c>
      <c r="C1182" s="130" t="str">
        <f>"E"&amp;"-0"&amp;B1182</f>
        <v>E-0240608</v>
      </c>
      <c r="D1182" s="130">
        <v>1132</v>
      </c>
      <c r="E1182" s="137" t="s">
        <v>69</v>
      </c>
      <c r="F1182" s="57" t="s">
        <v>903</v>
      </c>
      <c r="G1182" s="193">
        <v>0</v>
      </c>
      <c r="H1182" s="193"/>
      <c r="I1182" s="193"/>
      <c r="J1182" s="193"/>
      <c r="K1182" s="193"/>
      <c r="L1182" s="193"/>
      <c r="M1182" s="193"/>
      <c r="N1182" s="193"/>
      <c r="O1182" s="193"/>
      <c r="P1182" s="193">
        <v>0</v>
      </c>
      <c r="Q1182" s="193">
        <f>3731.26-0.26</f>
        <v>3731</v>
      </c>
      <c r="R1182" s="193">
        <v>0</v>
      </c>
      <c r="S1182" s="193"/>
      <c r="T1182" s="193">
        <f>SUM(H1182:S1182)</f>
        <v>3731</v>
      </c>
      <c r="U1182"/>
      <c r="V1182">
        <f>+PRESUPUESTO22[[#This Row],[EJECUTADO ]]-SUM(PRESUPUESTO22[[#This Row],[   ENERO ]:[DIC]])</f>
        <v>0</v>
      </c>
      <c r="W1182"/>
    </row>
    <row r="1183" spans="1:31" ht="15.95" customHeight="1" x14ac:dyDescent="0.25">
      <c r="A1183" s="52"/>
      <c r="B1183" s="137">
        <v>240607</v>
      </c>
      <c r="C1183" s="130" t="str">
        <f t="shared" si="436"/>
        <v>E-240607</v>
      </c>
      <c r="D1183" s="130">
        <v>1133</v>
      </c>
      <c r="E1183" s="137" t="s">
        <v>69</v>
      </c>
      <c r="F1183" s="57" t="s">
        <v>951</v>
      </c>
      <c r="G1183" s="193">
        <v>0</v>
      </c>
      <c r="H1183" s="193">
        <v>0</v>
      </c>
      <c r="I1183" s="193">
        <v>0</v>
      </c>
      <c r="J1183" s="193">
        <v>0</v>
      </c>
      <c r="K1183" s="193">
        <v>0</v>
      </c>
      <c r="L1183" s="193">
        <v>0</v>
      </c>
      <c r="M1183" s="193">
        <v>0</v>
      </c>
      <c r="N1183" s="193">
        <v>0</v>
      </c>
      <c r="O1183" s="193">
        <v>0</v>
      </c>
      <c r="P1183" s="193">
        <f>459.25-0.25</f>
        <v>459</v>
      </c>
      <c r="Q1183" s="193">
        <v>0</v>
      </c>
      <c r="R1183" s="193">
        <v>0</v>
      </c>
      <c r="S1183" s="193"/>
      <c r="T1183" s="193">
        <f>SUM(H1183:S1183)</f>
        <v>459</v>
      </c>
      <c r="U1183"/>
      <c r="V1183">
        <f>+PRESUPUESTO22[[#This Row],[EJECUTADO ]]-SUM(PRESUPUESTO22[[#This Row],[   ENERO ]:[DIC]])</f>
        <v>0</v>
      </c>
      <c r="W1183"/>
    </row>
    <row r="1184" spans="1:31" ht="15.95" customHeight="1" x14ac:dyDescent="0.25">
      <c r="A1184" s="52">
        <v>7</v>
      </c>
      <c r="B1184" s="157">
        <v>2407</v>
      </c>
      <c r="C1184" s="130" t="str">
        <f t="shared" si="436"/>
        <v>E-2407</v>
      </c>
      <c r="D1184" s="130">
        <v>1134</v>
      </c>
      <c r="E1184" s="157" t="s">
        <v>69</v>
      </c>
      <c r="F1184" s="219" t="s">
        <v>952</v>
      </c>
      <c r="G1184" s="234">
        <f t="shared" ref="G1184:T1184" si="437">SUM(G1185:G1197)</f>
        <v>74000</v>
      </c>
      <c r="H1184" s="234">
        <f t="shared" si="437"/>
        <v>5411</v>
      </c>
      <c r="I1184" s="234">
        <f t="shared" si="437"/>
        <v>5000</v>
      </c>
      <c r="J1184" s="234">
        <f t="shared" si="437"/>
        <v>5274</v>
      </c>
      <c r="K1184" s="234">
        <f t="shared" si="437"/>
        <v>6123</v>
      </c>
      <c r="L1184" s="234">
        <f t="shared" si="437"/>
        <v>6030</v>
      </c>
      <c r="M1184" s="234">
        <f t="shared" si="437"/>
        <v>6017</v>
      </c>
      <c r="N1184" s="234">
        <f t="shared" si="437"/>
        <v>6245</v>
      </c>
      <c r="O1184" s="234">
        <f t="shared" si="437"/>
        <v>6538</v>
      </c>
      <c r="P1184" s="234">
        <f t="shared" si="437"/>
        <v>5733</v>
      </c>
      <c r="Q1184" s="234">
        <f t="shared" si="437"/>
        <v>5689</v>
      </c>
      <c r="R1184" s="234">
        <f t="shared" si="437"/>
        <v>5680</v>
      </c>
      <c r="S1184" s="234">
        <f t="shared" si="437"/>
        <v>0</v>
      </c>
      <c r="T1184" s="234">
        <f t="shared" si="437"/>
        <v>63740</v>
      </c>
      <c r="U1184"/>
      <c r="V1184">
        <f>+PRESUPUESTO22[[#This Row],[EJECUTADO ]]-SUM(PRESUPUESTO22[[#This Row],[   ENERO ]:[DIC]])</f>
        <v>0</v>
      </c>
      <c r="W1184"/>
      <c r="AA1184"/>
      <c r="AB1184"/>
      <c r="AC1184"/>
      <c r="AD1184"/>
      <c r="AE1184"/>
    </row>
    <row r="1185" spans="1:24" ht="15.95" customHeight="1" x14ac:dyDescent="0.25">
      <c r="A1185" s="52"/>
      <c r="B1185" s="137">
        <v>240701</v>
      </c>
      <c r="C1185" s="130" t="str">
        <f t="shared" si="436"/>
        <v>E-240701</v>
      </c>
      <c r="D1185" s="130">
        <v>1135</v>
      </c>
      <c r="E1185" s="137" t="s">
        <v>72</v>
      </c>
      <c r="F1185" s="57" t="s">
        <v>953</v>
      </c>
      <c r="G1185" s="193">
        <f>1100*13</f>
        <v>14300</v>
      </c>
      <c r="H1185" s="193">
        <v>1531</v>
      </c>
      <c r="I1185" s="193">
        <v>1100</v>
      </c>
      <c r="J1185" s="193">
        <v>1348</v>
      </c>
      <c r="K1185" s="193">
        <v>1177</v>
      </c>
      <c r="L1185" s="193">
        <v>1100</v>
      </c>
      <c r="M1185" s="193">
        <v>1118</v>
      </c>
      <c r="N1185" s="193">
        <v>1114</v>
      </c>
      <c r="O1185" s="193">
        <v>1523</v>
      </c>
      <c r="P1185" s="193">
        <v>1100</v>
      </c>
      <c r="Q1185" s="193">
        <v>1100</v>
      </c>
      <c r="R1185" s="193">
        <v>1100</v>
      </c>
      <c r="S1185" s="193">
        <v>0</v>
      </c>
      <c r="T1185" s="193">
        <f t="shared" ref="T1185:T1197" si="438">SUM(H1185:S1185)</f>
        <v>13311</v>
      </c>
      <c r="U1185"/>
      <c r="V1185">
        <f>+PRESUPUESTO22[[#This Row],[EJECUTADO ]]-SUM(PRESUPUESTO22[[#This Row],[   ENERO ]:[DIC]])</f>
        <v>0</v>
      </c>
      <c r="W1185"/>
    </row>
    <row r="1186" spans="1:24" ht="15.95" customHeight="1" x14ac:dyDescent="0.25">
      <c r="A1186" s="52"/>
      <c r="B1186" s="137">
        <v>240702</v>
      </c>
      <c r="C1186" s="130" t="str">
        <f t="shared" si="436"/>
        <v>E-240702</v>
      </c>
      <c r="D1186" s="130">
        <v>1136</v>
      </c>
      <c r="E1186" s="137" t="s">
        <v>72</v>
      </c>
      <c r="F1186" s="57" t="s">
        <v>954</v>
      </c>
      <c r="G1186" s="193">
        <f>2689*12</f>
        <v>32268</v>
      </c>
      <c r="H1186" s="193">
        <f t="shared" ref="H1186:M1186" si="439">2688.67+0.33</f>
        <v>2689</v>
      </c>
      <c r="I1186" s="193">
        <f t="shared" si="439"/>
        <v>2689</v>
      </c>
      <c r="J1186" s="193">
        <f t="shared" si="439"/>
        <v>2689</v>
      </c>
      <c r="K1186" s="193">
        <f t="shared" si="439"/>
        <v>2689</v>
      </c>
      <c r="L1186" s="193">
        <f t="shared" si="439"/>
        <v>2689</v>
      </c>
      <c r="M1186" s="193">
        <f t="shared" si="439"/>
        <v>2689</v>
      </c>
      <c r="N1186" s="193">
        <f>2796.21+107.54+0.25</f>
        <v>2904</v>
      </c>
      <c r="O1186" s="193">
        <f>2796.21-0.21</f>
        <v>2796</v>
      </c>
      <c r="P1186" s="193">
        <f>2796.21-0.21</f>
        <v>2796</v>
      </c>
      <c r="Q1186" s="193">
        <f>2796.21-0.21</f>
        <v>2796</v>
      </c>
      <c r="R1186" s="193">
        <f>2796.21-0.21</f>
        <v>2796</v>
      </c>
      <c r="S1186" s="193">
        <v>0</v>
      </c>
      <c r="T1186" s="193">
        <f t="shared" si="438"/>
        <v>30222</v>
      </c>
      <c r="U1186"/>
      <c r="V1186">
        <f>+PRESUPUESTO22[[#This Row],[EJECUTADO ]]-SUM(PRESUPUESTO22[[#This Row],[   ENERO ]:[DIC]])</f>
        <v>0</v>
      </c>
      <c r="W1186"/>
    </row>
    <row r="1187" spans="1:24" ht="15.95" customHeight="1" x14ac:dyDescent="0.25">
      <c r="A1187" s="52"/>
      <c r="B1187" s="137">
        <v>240703</v>
      </c>
      <c r="C1187" s="130" t="str">
        <f t="shared" si="436"/>
        <v>E-240703</v>
      </c>
      <c r="D1187" s="130">
        <v>1137</v>
      </c>
      <c r="E1187" s="137" t="s">
        <v>72</v>
      </c>
      <c r="F1187" s="57" t="s">
        <v>955</v>
      </c>
      <c r="G1187" s="193">
        <f>376*12</f>
        <v>4512</v>
      </c>
      <c r="H1187" s="193">
        <f t="shared" ref="H1187:R1187" si="440">376.32-0.32</f>
        <v>376</v>
      </c>
      <c r="I1187" s="193">
        <f t="shared" si="440"/>
        <v>376</v>
      </c>
      <c r="J1187" s="193">
        <f t="shared" si="440"/>
        <v>376</v>
      </c>
      <c r="K1187" s="193">
        <f t="shared" si="440"/>
        <v>376</v>
      </c>
      <c r="L1187" s="193">
        <f t="shared" si="440"/>
        <v>376</v>
      </c>
      <c r="M1187" s="193">
        <f t="shared" si="440"/>
        <v>376</v>
      </c>
      <c r="N1187" s="193">
        <f t="shared" si="440"/>
        <v>376</v>
      </c>
      <c r="O1187" s="193">
        <f t="shared" si="440"/>
        <v>376</v>
      </c>
      <c r="P1187" s="193">
        <f t="shared" si="440"/>
        <v>376</v>
      </c>
      <c r="Q1187" s="193">
        <f t="shared" si="440"/>
        <v>376</v>
      </c>
      <c r="R1187" s="193">
        <f t="shared" si="440"/>
        <v>376</v>
      </c>
      <c r="S1187" s="193">
        <v>0</v>
      </c>
      <c r="T1187" s="193">
        <f t="shared" si="438"/>
        <v>4136</v>
      </c>
      <c r="U1187"/>
      <c r="V1187">
        <f>+PRESUPUESTO22[[#This Row],[EJECUTADO ]]-SUM(PRESUPUESTO22[[#This Row],[   ENERO ]:[DIC]])</f>
        <v>0</v>
      </c>
      <c r="W1187"/>
    </row>
    <row r="1188" spans="1:24" ht="15.95" customHeight="1" x14ac:dyDescent="0.25">
      <c r="A1188" s="52"/>
      <c r="B1188" s="137">
        <v>240704</v>
      </c>
      <c r="C1188" s="130" t="str">
        <f t="shared" si="436"/>
        <v>E-240704</v>
      </c>
      <c r="D1188" s="130">
        <v>1138</v>
      </c>
      <c r="E1188" s="137" t="s">
        <v>72</v>
      </c>
      <c r="F1188" s="57" t="s">
        <v>956</v>
      </c>
      <c r="G1188" s="193">
        <f>200*12</f>
        <v>2400</v>
      </c>
      <c r="H1188" s="193">
        <v>0</v>
      </c>
      <c r="I1188" s="193">
        <f>167.59+0.41</f>
        <v>168</v>
      </c>
      <c r="J1188" s="193">
        <f>208.29-0.29</f>
        <v>208</v>
      </c>
      <c r="K1188" s="193">
        <f>208.29-0.29</f>
        <v>208</v>
      </c>
      <c r="L1188" s="193">
        <f>194.76+0.24</f>
        <v>195</v>
      </c>
      <c r="M1188" s="193">
        <f>164.62+0.38</f>
        <v>165</v>
      </c>
      <c r="N1188" s="193">
        <f>181.75+0.25</f>
        <v>182</v>
      </c>
      <c r="O1188" s="193">
        <f>166.68+0.32</f>
        <v>167</v>
      </c>
      <c r="P1188" s="193">
        <f>210.28-0.28</f>
        <v>210</v>
      </c>
      <c r="Q1188" s="193">
        <f>166.25-0.25</f>
        <v>166</v>
      </c>
      <c r="R1188" s="193">
        <f>156.82+0.18</f>
        <v>157</v>
      </c>
      <c r="S1188" s="193">
        <v>0</v>
      </c>
      <c r="T1188" s="193">
        <f t="shared" si="438"/>
        <v>1826</v>
      </c>
      <c r="U1188"/>
      <c r="V1188">
        <f>+PRESUPUESTO22[[#This Row],[EJECUTADO ]]-SUM(PRESUPUESTO22[[#This Row],[   ENERO ]:[DIC]])</f>
        <v>0</v>
      </c>
      <c r="W1188"/>
    </row>
    <row r="1189" spans="1:24" ht="15.95" customHeight="1" x14ac:dyDescent="0.25">
      <c r="A1189" s="52"/>
      <c r="B1189" s="137">
        <v>240705</v>
      </c>
      <c r="C1189" s="130" t="str">
        <f t="shared" si="436"/>
        <v>E-240705</v>
      </c>
      <c r="D1189" s="130">
        <v>1139</v>
      </c>
      <c r="E1189" s="137" t="s">
        <v>72</v>
      </c>
      <c r="F1189" s="57" t="s">
        <v>957</v>
      </c>
      <c r="G1189" s="193">
        <v>120</v>
      </c>
      <c r="H1189" s="193">
        <v>0</v>
      </c>
      <c r="I1189" s="193">
        <f>11.96+0.04</f>
        <v>12</v>
      </c>
      <c r="J1189" s="193">
        <f>4.17-0.17</f>
        <v>4</v>
      </c>
      <c r="K1189" s="193">
        <v>4</v>
      </c>
      <c r="L1189" s="193">
        <v>1</v>
      </c>
      <c r="M1189" s="193">
        <v>0</v>
      </c>
      <c r="N1189" s="193">
        <v>0</v>
      </c>
      <c r="O1189" s="193">
        <v>1</v>
      </c>
      <c r="P1189" s="193">
        <f>2.32-0.32</f>
        <v>1.9999999999999998</v>
      </c>
      <c r="Q1189" s="193">
        <v>0</v>
      </c>
      <c r="R1189" s="193">
        <v>0</v>
      </c>
      <c r="S1189" s="193">
        <v>0</v>
      </c>
      <c r="T1189" s="193">
        <f t="shared" si="438"/>
        <v>24</v>
      </c>
      <c r="U1189"/>
      <c r="V1189">
        <f>+PRESUPUESTO22[[#This Row],[EJECUTADO ]]-SUM(PRESUPUESTO22[[#This Row],[   ENERO ]:[DIC]])</f>
        <v>0</v>
      </c>
      <c r="W1189"/>
    </row>
    <row r="1190" spans="1:24" ht="15.95" customHeight="1" x14ac:dyDescent="0.25">
      <c r="A1190" s="52"/>
      <c r="B1190" s="137">
        <v>240706</v>
      </c>
      <c r="C1190" s="130" t="str">
        <f t="shared" si="436"/>
        <v>E-240706</v>
      </c>
      <c r="D1190" s="130">
        <v>1140</v>
      </c>
      <c r="E1190" s="137" t="s">
        <v>72</v>
      </c>
      <c r="F1190" s="57" t="s">
        <v>958</v>
      </c>
      <c r="G1190" s="193">
        <v>600</v>
      </c>
      <c r="H1190" s="193">
        <f>217.51+0.49</f>
        <v>218</v>
      </c>
      <c r="I1190" s="193">
        <f>20.35-0.35</f>
        <v>20</v>
      </c>
      <c r="J1190" s="193">
        <f>14.11-0.11</f>
        <v>14</v>
      </c>
      <c r="K1190" s="193">
        <v>14</v>
      </c>
      <c r="L1190" s="193">
        <v>14</v>
      </c>
      <c r="M1190" s="193">
        <v>14</v>
      </c>
      <c r="N1190" s="193">
        <v>14</v>
      </c>
      <c r="O1190" s="193">
        <f>19.68+0.32</f>
        <v>20</v>
      </c>
      <c r="P1190" s="193">
        <v>14</v>
      </c>
      <c r="Q1190" s="193">
        <f>14.11-0.11</f>
        <v>14</v>
      </c>
      <c r="R1190" s="193">
        <f>14.11-0.11</f>
        <v>14</v>
      </c>
      <c r="S1190" s="193">
        <v>0</v>
      </c>
      <c r="T1190" s="193">
        <f t="shared" si="438"/>
        <v>370</v>
      </c>
      <c r="U1190"/>
      <c r="V1190">
        <f>+PRESUPUESTO22[[#This Row],[EJECUTADO ]]-SUM(PRESUPUESTO22[[#This Row],[   ENERO ]:[DIC]])</f>
        <v>0</v>
      </c>
      <c r="W1190"/>
    </row>
    <row r="1191" spans="1:24" ht="15.95" customHeight="1" x14ac:dyDescent="0.25">
      <c r="A1191" s="52"/>
      <c r="B1191" s="137">
        <v>240707</v>
      </c>
      <c r="C1191" s="130" t="str">
        <f t="shared" si="436"/>
        <v>E-240707</v>
      </c>
      <c r="D1191" s="130">
        <v>1141</v>
      </c>
      <c r="E1191" s="137" t="s">
        <v>72</v>
      </c>
      <c r="F1191" s="57" t="s">
        <v>959</v>
      </c>
      <c r="G1191" s="193">
        <v>144</v>
      </c>
      <c r="H1191" s="193">
        <v>0</v>
      </c>
      <c r="I1191" s="193">
        <f>11.94+0.06</f>
        <v>12</v>
      </c>
      <c r="J1191" s="193">
        <v>12</v>
      </c>
      <c r="K1191" s="193">
        <v>12</v>
      </c>
      <c r="L1191" s="193">
        <v>12</v>
      </c>
      <c r="M1191" s="193">
        <f>11.94+0.06</f>
        <v>12</v>
      </c>
      <c r="N1191" s="193">
        <v>12</v>
      </c>
      <c r="O1191" s="193">
        <v>12</v>
      </c>
      <c r="P1191" s="193">
        <v>12</v>
      </c>
      <c r="Q1191" s="193">
        <f>14.33-0.33</f>
        <v>14</v>
      </c>
      <c r="R1191" s="193">
        <f>14.33-0.33</f>
        <v>14</v>
      </c>
      <c r="S1191" s="193">
        <v>0</v>
      </c>
      <c r="T1191" s="193">
        <f t="shared" si="438"/>
        <v>124</v>
      </c>
      <c r="U1191"/>
      <c r="V1191">
        <f>+PRESUPUESTO22[[#This Row],[EJECUTADO ]]-SUM(PRESUPUESTO22[[#This Row],[   ENERO ]:[DIC]])</f>
        <v>0</v>
      </c>
      <c r="W1191"/>
    </row>
    <row r="1192" spans="1:24" ht="15.95" customHeight="1" x14ac:dyDescent="0.25">
      <c r="A1192" s="52"/>
      <c r="B1192" s="137">
        <v>240708</v>
      </c>
      <c r="C1192" s="130" t="str">
        <f t="shared" si="436"/>
        <v>E-240708</v>
      </c>
      <c r="D1192" s="130">
        <v>1142</v>
      </c>
      <c r="E1192" s="137" t="s">
        <v>72</v>
      </c>
      <c r="F1192" s="57" t="s">
        <v>960</v>
      </c>
      <c r="G1192" s="193">
        <f>203*12</f>
        <v>2436</v>
      </c>
      <c r="H1192" s="193">
        <v>203</v>
      </c>
      <c r="I1192" s="193">
        <v>203</v>
      </c>
      <c r="J1192" s="193">
        <v>203</v>
      </c>
      <c r="K1192" s="193">
        <v>203</v>
      </c>
      <c r="L1192" s="193">
        <v>203</v>
      </c>
      <c r="M1192" s="193">
        <v>203</v>
      </c>
      <c r="N1192" s="193">
        <v>203</v>
      </c>
      <c r="O1192" s="193">
        <v>203</v>
      </c>
      <c r="P1192" s="193">
        <v>203</v>
      </c>
      <c r="Q1192" s="193">
        <v>203</v>
      </c>
      <c r="R1192" s="193">
        <v>203</v>
      </c>
      <c r="S1192" s="193">
        <v>0</v>
      </c>
      <c r="T1192" s="193">
        <f t="shared" si="438"/>
        <v>2233</v>
      </c>
      <c r="U1192"/>
      <c r="V1192">
        <f>+PRESUPUESTO22[[#This Row],[EJECUTADO ]]-SUM(PRESUPUESTO22[[#This Row],[   ENERO ]:[DIC]])</f>
        <v>0</v>
      </c>
      <c r="W1192"/>
    </row>
    <row r="1193" spans="1:24" ht="15.95" customHeight="1" x14ac:dyDescent="0.25">
      <c r="A1193" s="52"/>
      <c r="B1193" s="137">
        <v>240709</v>
      </c>
      <c r="C1193" s="130" t="str">
        <f t="shared" si="436"/>
        <v>E-240709</v>
      </c>
      <c r="D1193" s="130">
        <v>1143</v>
      </c>
      <c r="E1193" s="137" t="s">
        <v>72</v>
      </c>
      <c r="F1193" s="57" t="s">
        <v>961</v>
      </c>
      <c r="G1193" s="193">
        <f>339*12</f>
        <v>4068</v>
      </c>
      <c r="H1193" s="193">
        <v>339</v>
      </c>
      <c r="I1193" s="193">
        <v>339</v>
      </c>
      <c r="J1193" s="193">
        <v>339</v>
      </c>
      <c r="K1193" s="193">
        <v>339</v>
      </c>
      <c r="L1193" s="193">
        <v>339</v>
      </c>
      <c r="M1193" s="193">
        <v>339</v>
      </c>
      <c r="N1193" s="193">
        <v>339</v>
      </c>
      <c r="O1193" s="193">
        <v>339</v>
      </c>
      <c r="P1193" s="193">
        <v>339</v>
      </c>
      <c r="Q1193" s="193">
        <v>339</v>
      </c>
      <c r="R1193" s="193">
        <v>339</v>
      </c>
      <c r="S1193" s="193">
        <v>0</v>
      </c>
      <c r="T1193" s="193">
        <f t="shared" si="438"/>
        <v>3729</v>
      </c>
      <c r="U1193"/>
      <c r="V1193">
        <f>+PRESUPUESTO22[[#This Row],[EJECUTADO ]]-SUM(PRESUPUESTO22[[#This Row],[   ENERO ]:[DIC]])</f>
        <v>0</v>
      </c>
      <c r="W1193"/>
    </row>
    <row r="1194" spans="1:24" ht="15.95" customHeight="1" x14ac:dyDescent="0.25">
      <c r="A1194" s="52"/>
      <c r="B1194" s="137">
        <v>240710</v>
      </c>
      <c r="C1194" s="130" t="str">
        <f t="shared" si="436"/>
        <v>E-240710</v>
      </c>
      <c r="D1194" s="130">
        <v>1144</v>
      </c>
      <c r="E1194" s="137" t="s">
        <v>72</v>
      </c>
      <c r="F1194" s="57" t="s">
        <v>962</v>
      </c>
      <c r="G1194" s="193">
        <f>26*12</f>
        <v>312</v>
      </c>
      <c r="H1194" s="193">
        <v>0</v>
      </c>
      <c r="I1194" s="193">
        <f>25.84+0.16</f>
        <v>26</v>
      </c>
      <c r="J1194" s="193">
        <f>25.84+0.16</f>
        <v>26</v>
      </c>
      <c r="K1194" s="193">
        <f>25.84+0.16</f>
        <v>26</v>
      </c>
      <c r="L1194" s="193">
        <f>25.84+0.16</f>
        <v>26</v>
      </c>
      <c r="M1194" s="193">
        <f>25.84+0.16</f>
        <v>26</v>
      </c>
      <c r="N1194" s="193">
        <v>26</v>
      </c>
      <c r="O1194" s="193">
        <v>26</v>
      </c>
      <c r="P1194" s="193">
        <v>26</v>
      </c>
      <c r="Q1194" s="193">
        <v>26</v>
      </c>
      <c r="R1194" s="193">
        <v>26</v>
      </c>
      <c r="S1194" s="193">
        <v>0</v>
      </c>
      <c r="T1194" s="193">
        <f t="shared" si="438"/>
        <v>260</v>
      </c>
      <c r="U1194"/>
      <c r="V1194">
        <f>+PRESUPUESTO22[[#This Row],[EJECUTADO ]]-SUM(PRESUPUESTO22[[#This Row],[   ENERO ]:[DIC]])</f>
        <v>0</v>
      </c>
      <c r="W1194"/>
    </row>
    <row r="1195" spans="1:24" ht="15.95" customHeight="1" x14ac:dyDescent="0.25">
      <c r="A1195" s="52"/>
      <c r="B1195" s="137">
        <v>240711</v>
      </c>
      <c r="C1195" s="130" t="str">
        <f t="shared" si="436"/>
        <v>E-240711</v>
      </c>
      <c r="D1195" s="130">
        <v>1145</v>
      </c>
      <c r="E1195" s="137" t="s">
        <v>72</v>
      </c>
      <c r="F1195" s="57" t="s">
        <v>944</v>
      </c>
      <c r="G1195" s="193">
        <f>55*12</f>
        <v>660</v>
      </c>
      <c r="H1195" s="193">
        <v>55</v>
      </c>
      <c r="I1195" s="193">
        <v>55</v>
      </c>
      <c r="J1195" s="193">
        <v>55</v>
      </c>
      <c r="K1195" s="193">
        <v>55</v>
      </c>
      <c r="L1195" s="193">
        <v>55</v>
      </c>
      <c r="M1195" s="193">
        <v>55</v>
      </c>
      <c r="N1195" s="193">
        <v>55</v>
      </c>
      <c r="O1195" s="193">
        <v>55</v>
      </c>
      <c r="P1195" s="193">
        <v>55</v>
      </c>
      <c r="Q1195" s="193">
        <v>55</v>
      </c>
      <c r="R1195" s="193">
        <v>55</v>
      </c>
      <c r="S1195" s="193">
        <v>0</v>
      </c>
      <c r="T1195" s="193">
        <f t="shared" si="438"/>
        <v>605</v>
      </c>
      <c r="U1195"/>
      <c r="V1195">
        <f>+PRESUPUESTO22[[#This Row],[EJECUTADO ]]-SUM(PRESUPUESTO22[[#This Row],[   ENERO ]:[DIC]])</f>
        <v>0</v>
      </c>
    </row>
    <row r="1196" spans="1:24" ht="15.75" customHeight="1" x14ac:dyDescent="0.25">
      <c r="A1196" s="52"/>
      <c r="B1196" s="137">
        <v>240712</v>
      </c>
      <c r="C1196" s="130" t="str">
        <f t="shared" si="436"/>
        <v>E-240712</v>
      </c>
      <c r="D1196" s="130">
        <v>1146</v>
      </c>
      <c r="E1196" s="137" t="s">
        <v>72</v>
      </c>
      <c r="F1196" s="57" t="s">
        <v>963</v>
      </c>
      <c r="G1196" s="193">
        <v>3000</v>
      </c>
      <c r="H1196" s="193">
        <v>0</v>
      </c>
      <c r="I1196" s="193">
        <v>0</v>
      </c>
      <c r="J1196" s="193">
        <v>0</v>
      </c>
      <c r="K1196" s="193">
        <v>0</v>
      </c>
      <c r="L1196" s="193">
        <v>0</v>
      </c>
      <c r="M1196" s="193">
        <v>0</v>
      </c>
      <c r="N1196" s="193">
        <v>0</v>
      </c>
      <c r="O1196" s="193">
        <v>0</v>
      </c>
      <c r="P1196" s="193">
        <v>0</v>
      </c>
      <c r="Q1196" s="193">
        <v>0</v>
      </c>
      <c r="R1196" s="193">
        <v>0</v>
      </c>
      <c r="S1196" s="193">
        <v>0</v>
      </c>
      <c r="T1196" s="193">
        <f t="shared" si="438"/>
        <v>0</v>
      </c>
      <c r="U1196"/>
      <c r="V1196">
        <f>+PRESUPUESTO22[[#This Row],[EJECUTADO ]]-SUM(PRESUPUESTO22[[#This Row],[   ENERO ]:[DIC]])</f>
        <v>0</v>
      </c>
    </row>
    <row r="1197" spans="1:24" ht="15.95" customHeight="1" x14ac:dyDescent="0.25">
      <c r="A1197" s="52"/>
      <c r="B1197" s="137">
        <v>240713</v>
      </c>
      <c r="C1197" s="130" t="str">
        <f t="shared" si="436"/>
        <v>E-240713</v>
      </c>
      <c r="D1197" s="130">
        <v>1147</v>
      </c>
      <c r="E1197" s="137" t="s">
        <v>72</v>
      </c>
      <c r="F1197" s="57" t="s">
        <v>1440</v>
      </c>
      <c r="G1197" s="193">
        <f>1020*9</f>
        <v>9180</v>
      </c>
      <c r="H1197" s="193">
        <v>0</v>
      </c>
      <c r="I1197" s="193">
        <v>0</v>
      </c>
      <c r="J1197" s="193">
        <v>0</v>
      </c>
      <c r="K1197" s="193">
        <v>1020</v>
      </c>
      <c r="L1197" s="193">
        <v>1020</v>
      </c>
      <c r="M1197" s="193">
        <v>1020</v>
      </c>
      <c r="N1197" s="193">
        <v>1020</v>
      </c>
      <c r="O1197" s="193">
        <v>1020</v>
      </c>
      <c r="P1197" s="193">
        <v>600</v>
      </c>
      <c r="Q1197" s="193">
        <v>600</v>
      </c>
      <c r="R1197" s="193">
        <v>600</v>
      </c>
      <c r="S1197" s="193">
        <v>0</v>
      </c>
      <c r="T1197" s="193">
        <f t="shared" si="438"/>
        <v>6900</v>
      </c>
      <c r="U1197"/>
      <c r="V1197">
        <f>+PRESUPUESTO22[[#This Row],[EJECUTADO ]]-SUM(PRESUPUESTO22[[#This Row],[   ENERO ]:[DIC]])</f>
        <v>0</v>
      </c>
    </row>
    <row r="1198" spans="1:24" ht="17.25" customHeight="1" x14ac:dyDescent="0.25">
      <c r="A1198" s="49">
        <v>25</v>
      </c>
      <c r="B1198" s="143">
        <v>25</v>
      </c>
      <c r="C1198" s="130" t="str">
        <f t="shared" si="436"/>
        <v>E-25</v>
      </c>
      <c r="D1198" s="130">
        <v>1148</v>
      </c>
      <c r="E1198" s="143" t="s">
        <v>67</v>
      </c>
      <c r="F1198" s="195" t="s">
        <v>49</v>
      </c>
      <c r="G1198" s="188">
        <v>125000</v>
      </c>
      <c r="H1198" s="188">
        <f t="shared" ref="H1198:T1198" si="441">+H1199+H1204+H1206+H1209+H1211</f>
        <v>10653</v>
      </c>
      <c r="I1198" s="188">
        <f t="shared" si="441"/>
        <v>10556</v>
      </c>
      <c r="J1198" s="188">
        <f t="shared" si="441"/>
        <v>10653</v>
      </c>
      <c r="K1198" s="188">
        <f t="shared" si="441"/>
        <v>11256</v>
      </c>
      <c r="L1198" s="188">
        <f t="shared" si="441"/>
        <v>11196</v>
      </c>
      <c r="M1198" s="188">
        <f t="shared" si="441"/>
        <v>11745</v>
      </c>
      <c r="N1198" s="188">
        <f t="shared" si="441"/>
        <v>11744</v>
      </c>
      <c r="O1198" s="188">
        <f t="shared" si="441"/>
        <v>14352</v>
      </c>
      <c r="P1198" s="188">
        <f t="shared" si="441"/>
        <v>12130</v>
      </c>
      <c r="Q1198" s="188">
        <f t="shared" si="441"/>
        <v>12660</v>
      </c>
      <c r="R1198" s="188">
        <f t="shared" si="441"/>
        <v>12116</v>
      </c>
      <c r="S1198" s="188">
        <f t="shared" si="441"/>
        <v>0</v>
      </c>
      <c r="T1198" s="188">
        <f t="shared" si="441"/>
        <v>129061</v>
      </c>
      <c r="U1198" s="111" t="s">
        <v>159</v>
      </c>
      <c r="V1198">
        <f>+PRESUPUESTO22[[#This Row],[EJECUTADO ]]-SUM(PRESUPUESTO22[[#This Row],[   ENERO ]:[DIC]])</f>
        <v>0</v>
      </c>
      <c r="X1198"/>
    </row>
    <row r="1199" spans="1:24" ht="15.95" customHeight="1" x14ac:dyDescent="0.25">
      <c r="A1199" s="52">
        <v>25.1</v>
      </c>
      <c r="B1199" s="157">
        <v>2501</v>
      </c>
      <c r="C1199" s="130" t="str">
        <f t="shared" si="436"/>
        <v>E-2501</v>
      </c>
      <c r="D1199" s="130">
        <v>1149</v>
      </c>
      <c r="E1199" s="157" t="s">
        <v>69</v>
      </c>
      <c r="F1199" s="219" t="s">
        <v>964</v>
      </c>
      <c r="G1199" s="234">
        <f>SUM(G1200:G1203)</f>
        <v>62740</v>
      </c>
      <c r="H1199" s="234">
        <f>SUM(H1200:H1203)</f>
        <v>4870</v>
      </c>
      <c r="I1199" s="234">
        <f t="shared" ref="I1199:T1199" si="442">SUM(I1200:I1203)</f>
        <v>4870</v>
      </c>
      <c r="J1199" s="234">
        <f t="shared" si="442"/>
        <v>4870</v>
      </c>
      <c r="K1199" s="234">
        <f t="shared" si="442"/>
        <v>5133</v>
      </c>
      <c r="L1199" s="234">
        <f t="shared" si="442"/>
        <v>4870</v>
      </c>
      <c r="M1199" s="234">
        <f t="shared" si="442"/>
        <v>4870</v>
      </c>
      <c r="N1199" s="234">
        <f t="shared" si="442"/>
        <v>4870</v>
      </c>
      <c r="O1199" s="234">
        <f t="shared" si="442"/>
        <v>5133</v>
      </c>
      <c r="P1199" s="234">
        <f t="shared" si="442"/>
        <v>5050</v>
      </c>
      <c r="Q1199" s="234">
        <f t="shared" si="442"/>
        <v>5050</v>
      </c>
      <c r="R1199" s="234">
        <f t="shared" si="442"/>
        <v>5050</v>
      </c>
      <c r="S1199" s="234">
        <f t="shared" si="442"/>
        <v>0</v>
      </c>
      <c r="T1199" s="234">
        <f t="shared" si="442"/>
        <v>54636</v>
      </c>
      <c r="U1199"/>
      <c r="V1199">
        <f>+PRESUPUESTO22[[#This Row],[EJECUTADO ]]-SUM(PRESUPUESTO22[[#This Row],[   ENERO ]:[DIC]])</f>
        <v>0</v>
      </c>
      <c r="X1199"/>
    </row>
    <row r="1200" spans="1:24" ht="24" customHeight="1" x14ac:dyDescent="0.25">
      <c r="A1200" s="52" t="s">
        <v>1</v>
      </c>
      <c r="B1200" s="156">
        <v>250101</v>
      </c>
      <c r="C1200" s="130" t="str">
        <f t="shared" si="436"/>
        <v>E-250101</v>
      </c>
      <c r="D1200" s="130">
        <v>1150</v>
      </c>
      <c r="E1200" s="156" t="s">
        <v>72</v>
      </c>
      <c r="F1200" s="251" t="s">
        <v>965</v>
      </c>
      <c r="G1200" s="193">
        <v>48750</v>
      </c>
      <c r="H1200" s="193">
        <v>3750</v>
      </c>
      <c r="I1200" s="193">
        <v>3750</v>
      </c>
      <c r="J1200" s="193">
        <v>3750</v>
      </c>
      <c r="K1200" s="193">
        <f>4012.5+0.5</f>
        <v>4013</v>
      </c>
      <c r="L1200" s="193">
        <v>3750</v>
      </c>
      <c r="M1200" s="193">
        <v>3750</v>
      </c>
      <c r="N1200" s="193">
        <v>3750</v>
      </c>
      <c r="O1200" s="193">
        <v>4013</v>
      </c>
      <c r="P1200" s="193">
        <v>3750</v>
      </c>
      <c r="Q1200" s="193">
        <v>3750</v>
      </c>
      <c r="R1200" s="193">
        <v>3750</v>
      </c>
      <c r="S1200" s="193">
        <v>0</v>
      </c>
      <c r="T1200" s="193">
        <f>SUM(H1200:S1200)</f>
        <v>41776</v>
      </c>
      <c r="U1200"/>
      <c r="V1200">
        <f>+PRESUPUESTO22[[#This Row],[EJECUTADO ]]-SUM(PRESUPUESTO22[[#This Row],[   ENERO ]:[DIC]])</f>
        <v>0</v>
      </c>
      <c r="W1200"/>
      <c r="X1200"/>
    </row>
    <row r="1201" spans="1:24" ht="15.95" customHeight="1" x14ac:dyDescent="0.25">
      <c r="A1201" s="52"/>
      <c r="B1201" s="156">
        <v>250102</v>
      </c>
      <c r="C1201" s="130" t="str">
        <f t="shared" si="436"/>
        <v>E-250102</v>
      </c>
      <c r="D1201" s="130">
        <v>1151</v>
      </c>
      <c r="E1201" s="156" t="s">
        <v>72</v>
      </c>
      <c r="F1201" s="251" t="s">
        <v>966</v>
      </c>
      <c r="G1201" s="193">
        <f>1020*12</f>
        <v>12240</v>
      </c>
      <c r="H1201" s="193">
        <v>1020</v>
      </c>
      <c r="I1201" s="193">
        <v>1020</v>
      </c>
      <c r="J1201" s="193">
        <v>1020</v>
      </c>
      <c r="K1201" s="193">
        <v>1020</v>
      </c>
      <c r="L1201" s="193">
        <v>1020</v>
      </c>
      <c r="M1201" s="193">
        <v>1020</v>
      </c>
      <c r="N1201" s="193">
        <v>1020</v>
      </c>
      <c r="O1201" s="193">
        <v>1020</v>
      </c>
      <c r="P1201" s="193">
        <v>1200</v>
      </c>
      <c r="Q1201" s="193">
        <v>1200</v>
      </c>
      <c r="R1201" s="193">
        <v>1200</v>
      </c>
      <c r="S1201" s="193">
        <v>0</v>
      </c>
      <c r="T1201" s="193">
        <f>SUM(H1201:S1201)</f>
        <v>11760</v>
      </c>
      <c r="U1201"/>
      <c r="V1201">
        <f>+PRESUPUESTO22[[#This Row],[EJECUTADO ]]-SUM(PRESUPUESTO22[[#This Row],[   ENERO ]:[DIC]])</f>
        <v>0</v>
      </c>
      <c r="W1201"/>
      <c r="X1201"/>
    </row>
    <row r="1202" spans="1:24" ht="15.95" customHeight="1" x14ac:dyDescent="0.25">
      <c r="A1202" s="52"/>
      <c r="B1202" s="156">
        <v>250103</v>
      </c>
      <c r="C1202" s="130" t="str">
        <f t="shared" si="436"/>
        <v>E-250103</v>
      </c>
      <c r="D1202" s="130">
        <v>1152</v>
      </c>
      <c r="E1202" s="156" t="s">
        <v>72</v>
      </c>
      <c r="F1202" s="216" t="s">
        <v>967</v>
      </c>
      <c r="G1202" s="193">
        <v>1200</v>
      </c>
      <c r="H1202" s="193">
        <v>100</v>
      </c>
      <c r="I1202" s="193">
        <v>100</v>
      </c>
      <c r="J1202" s="193">
        <v>100</v>
      </c>
      <c r="K1202" s="193">
        <v>100</v>
      </c>
      <c r="L1202" s="193">
        <v>100</v>
      </c>
      <c r="M1202" s="193">
        <v>100</v>
      </c>
      <c r="N1202" s="193">
        <v>100</v>
      </c>
      <c r="O1202" s="193">
        <v>100</v>
      </c>
      <c r="P1202" s="193">
        <v>100</v>
      </c>
      <c r="Q1202" s="193">
        <v>100</v>
      </c>
      <c r="R1202" s="193">
        <v>100</v>
      </c>
      <c r="S1202" s="193">
        <v>0</v>
      </c>
      <c r="T1202" s="193">
        <f>SUM(H1202:S1202)</f>
        <v>1100</v>
      </c>
      <c r="U1202"/>
      <c r="V1202">
        <f>+PRESUPUESTO22[[#This Row],[EJECUTADO ]]-SUM(PRESUPUESTO22[[#This Row],[   ENERO ]:[DIC]])</f>
        <v>0</v>
      </c>
      <c r="W1202"/>
    </row>
    <row r="1203" spans="1:24" ht="15.95" customHeight="1" x14ac:dyDescent="0.25">
      <c r="A1203" s="52"/>
      <c r="B1203" s="156">
        <v>250104</v>
      </c>
      <c r="C1203" s="130" t="str">
        <f t="shared" si="436"/>
        <v>E-250104</v>
      </c>
      <c r="D1203" s="130">
        <v>1153</v>
      </c>
      <c r="E1203" s="156" t="s">
        <v>72</v>
      </c>
      <c r="F1203" s="216" t="s">
        <v>968</v>
      </c>
      <c r="G1203" s="193">
        <f>1200-650</f>
        <v>550</v>
      </c>
      <c r="H1203" s="193">
        <v>0</v>
      </c>
      <c r="I1203" s="193">
        <v>0</v>
      </c>
      <c r="J1203" s="193">
        <v>0</v>
      </c>
      <c r="K1203" s="193">
        <v>0</v>
      </c>
      <c r="L1203" s="193">
        <v>0</v>
      </c>
      <c r="M1203" s="193">
        <v>0</v>
      </c>
      <c r="N1203" s="193">
        <v>0</v>
      </c>
      <c r="O1203" s="193">
        <v>0</v>
      </c>
      <c r="P1203" s="193">
        <v>0</v>
      </c>
      <c r="Q1203" s="193">
        <v>0</v>
      </c>
      <c r="R1203" s="193">
        <v>0</v>
      </c>
      <c r="S1203" s="193">
        <v>0</v>
      </c>
      <c r="T1203" s="193">
        <f>SUM(H1203:S1203)</f>
        <v>0</v>
      </c>
      <c r="U1203"/>
      <c r="V1203">
        <f>+PRESUPUESTO22[[#This Row],[EJECUTADO ]]-SUM(PRESUPUESTO22[[#This Row],[   ENERO ]:[DIC]])</f>
        <v>0</v>
      </c>
      <c r="W1203"/>
    </row>
    <row r="1204" spans="1:24" ht="15.95" customHeight="1" x14ac:dyDescent="0.25">
      <c r="A1204" s="52">
        <v>25.2</v>
      </c>
      <c r="B1204" s="157">
        <v>2502</v>
      </c>
      <c r="C1204" s="130" t="str">
        <f t="shared" si="436"/>
        <v>E-2502</v>
      </c>
      <c r="D1204" s="130">
        <v>1154</v>
      </c>
      <c r="E1204" s="157" t="s">
        <v>69</v>
      </c>
      <c r="F1204" s="219" t="s">
        <v>969</v>
      </c>
      <c r="G1204" s="234">
        <f>SUM(G1205:G1205)</f>
        <v>22100</v>
      </c>
      <c r="H1204" s="234">
        <f>SUM(H1205:H1205)</f>
        <v>1700</v>
      </c>
      <c r="I1204" s="234">
        <f>SUM(I1205:I1205)</f>
        <v>1700</v>
      </c>
      <c r="J1204" s="234">
        <f>SUM(J1205:J1205)</f>
        <v>1700</v>
      </c>
      <c r="K1204" s="234">
        <f>SUM(K1205:K1205)</f>
        <v>1819</v>
      </c>
      <c r="L1204" s="234">
        <f t="shared" ref="L1204:T1204" si="443">SUM(L1205:L1205)</f>
        <v>1700</v>
      </c>
      <c r="M1204" s="234">
        <f t="shared" si="443"/>
        <v>1700</v>
      </c>
      <c r="N1204" s="234">
        <f t="shared" si="443"/>
        <v>1700</v>
      </c>
      <c r="O1204" s="234">
        <f t="shared" si="443"/>
        <v>1819</v>
      </c>
      <c r="P1204" s="234">
        <f t="shared" si="443"/>
        <v>1700</v>
      </c>
      <c r="Q1204" s="234">
        <f t="shared" si="443"/>
        <v>1700</v>
      </c>
      <c r="R1204" s="234">
        <f t="shared" si="443"/>
        <v>1700</v>
      </c>
      <c r="S1204" s="234">
        <f t="shared" si="443"/>
        <v>0</v>
      </c>
      <c r="T1204" s="234">
        <f t="shared" si="443"/>
        <v>18938</v>
      </c>
      <c r="U1204"/>
      <c r="V1204">
        <f>+PRESUPUESTO22[[#This Row],[EJECUTADO ]]-SUM(PRESUPUESTO22[[#This Row],[   ENERO ]:[DIC]])</f>
        <v>0</v>
      </c>
      <c r="W1204"/>
    </row>
    <row r="1205" spans="1:24" ht="15.95" customHeight="1" x14ac:dyDescent="0.25">
      <c r="A1205" s="52"/>
      <c r="B1205" s="156">
        <v>250201</v>
      </c>
      <c r="C1205" s="130" t="str">
        <f t="shared" si="436"/>
        <v>E-250201</v>
      </c>
      <c r="D1205" s="130">
        <v>1155</v>
      </c>
      <c r="E1205" s="156" t="s">
        <v>72</v>
      </c>
      <c r="F1205" s="216" t="s">
        <v>970</v>
      </c>
      <c r="G1205" s="193">
        <v>22100</v>
      </c>
      <c r="H1205" s="193">
        <v>1700</v>
      </c>
      <c r="I1205" s="193">
        <v>1700</v>
      </c>
      <c r="J1205" s="193">
        <v>1700</v>
      </c>
      <c r="K1205" s="193">
        <v>1819</v>
      </c>
      <c r="L1205" s="193">
        <v>1700</v>
      </c>
      <c r="M1205" s="193">
        <v>1700</v>
      </c>
      <c r="N1205" s="193">
        <v>1700</v>
      </c>
      <c r="O1205" s="193">
        <v>1819</v>
      </c>
      <c r="P1205" s="193">
        <v>1700</v>
      </c>
      <c r="Q1205" s="193">
        <v>1700</v>
      </c>
      <c r="R1205" s="193">
        <v>1700</v>
      </c>
      <c r="S1205" s="193">
        <v>0</v>
      </c>
      <c r="T1205" s="193">
        <f>SUM(H1205:S1205)</f>
        <v>18938</v>
      </c>
      <c r="U1205"/>
      <c r="V1205">
        <f>+PRESUPUESTO22[[#This Row],[EJECUTADO ]]-SUM(PRESUPUESTO22[[#This Row],[   ENERO ]:[DIC]])</f>
        <v>0</v>
      </c>
      <c r="W1205"/>
    </row>
    <row r="1206" spans="1:24" ht="15.95" customHeight="1" x14ac:dyDescent="0.25">
      <c r="A1206" s="52">
        <v>25.4</v>
      </c>
      <c r="B1206" s="157">
        <v>2503</v>
      </c>
      <c r="C1206" s="130" t="str">
        <f t="shared" si="436"/>
        <v>E-2503</v>
      </c>
      <c r="D1206" s="130">
        <v>1156</v>
      </c>
      <c r="E1206" s="157" t="s">
        <v>69</v>
      </c>
      <c r="F1206" s="219" t="s">
        <v>971</v>
      </c>
      <c r="G1206" s="234">
        <f>SUM(G1207:G1208)</f>
        <v>26540</v>
      </c>
      <c r="H1206" s="234">
        <f>SUM(H1207:H1208)</f>
        <v>2120</v>
      </c>
      <c r="I1206" s="234">
        <f t="shared" ref="I1206:T1206" si="444">SUM(I1207:I1208)</f>
        <v>2023</v>
      </c>
      <c r="J1206" s="234">
        <f t="shared" si="444"/>
        <v>2120</v>
      </c>
      <c r="K1206" s="234">
        <f t="shared" si="444"/>
        <v>2197</v>
      </c>
      <c r="L1206" s="234">
        <f t="shared" si="444"/>
        <v>2120</v>
      </c>
      <c r="M1206" s="234">
        <f t="shared" si="444"/>
        <v>2120</v>
      </c>
      <c r="N1206" s="234">
        <f t="shared" si="444"/>
        <v>2120</v>
      </c>
      <c r="O1206" s="234">
        <f t="shared" si="444"/>
        <v>2197</v>
      </c>
      <c r="P1206" s="234">
        <f t="shared" si="444"/>
        <v>2300</v>
      </c>
      <c r="Q1206" s="234">
        <f t="shared" si="444"/>
        <v>2300</v>
      </c>
      <c r="R1206" s="234">
        <f t="shared" si="444"/>
        <v>2300</v>
      </c>
      <c r="S1206" s="234">
        <f t="shared" si="444"/>
        <v>0</v>
      </c>
      <c r="T1206" s="234">
        <f t="shared" si="444"/>
        <v>23917</v>
      </c>
      <c r="U1206"/>
      <c r="V1206">
        <f>+PRESUPUESTO22[[#This Row],[EJECUTADO ]]-SUM(PRESUPUESTO22[[#This Row],[   ENERO ]:[DIC]])</f>
        <v>0</v>
      </c>
      <c r="W1206"/>
    </row>
    <row r="1207" spans="1:24" ht="15.95" customHeight="1" x14ac:dyDescent="0.25">
      <c r="A1207" s="52"/>
      <c r="B1207" s="156">
        <v>250301</v>
      </c>
      <c r="C1207" s="130" t="str">
        <f t="shared" si="436"/>
        <v>E-250301</v>
      </c>
      <c r="D1207" s="130">
        <v>1157</v>
      </c>
      <c r="E1207" s="156" t="s">
        <v>72</v>
      </c>
      <c r="F1207" s="216" t="s">
        <v>972</v>
      </c>
      <c r="G1207" s="193">
        <v>14300</v>
      </c>
      <c r="H1207" s="193">
        <v>1100</v>
      </c>
      <c r="I1207" s="193">
        <v>1003</v>
      </c>
      <c r="J1207" s="193">
        <v>1100</v>
      </c>
      <c r="K1207" s="193">
        <v>1177</v>
      </c>
      <c r="L1207" s="193">
        <v>1100</v>
      </c>
      <c r="M1207" s="193">
        <v>1100</v>
      </c>
      <c r="N1207" s="193">
        <v>1100</v>
      </c>
      <c r="O1207" s="193">
        <v>1177</v>
      </c>
      <c r="P1207" s="193">
        <v>1100</v>
      </c>
      <c r="Q1207" s="193">
        <v>1100</v>
      </c>
      <c r="R1207" s="193">
        <v>1100</v>
      </c>
      <c r="S1207" s="193">
        <v>0</v>
      </c>
      <c r="T1207" s="193">
        <f>SUM(H1207:S1207)</f>
        <v>12157</v>
      </c>
      <c r="U1207" s="126">
        <v>137.47999999999999</v>
      </c>
      <c r="V1207">
        <f>+PRESUPUESTO22[[#This Row],[EJECUTADO ]]-SUM(PRESUPUESTO22[[#This Row],[   ENERO ]:[DIC]])</f>
        <v>0</v>
      </c>
      <c r="W1207"/>
    </row>
    <row r="1208" spans="1:24" ht="15.95" customHeight="1" x14ac:dyDescent="0.25">
      <c r="A1208" s="52"/>
      <c r="B1208" s="156">
        <v>250302</v>
      </c>
      <c r="C1208" s="130" t="str">
        <f t="shared" si="436"/>
        <v>E-250302</v>
      </c>
      <c r="D1208" s="130">
        <v>1158</v>
      </c>
      <c r="E1208" s="156" t="s">
        <v>72</v>
      </c>
      <c r="F1208" s="216" t="s">
        <v>966</v>
      </c>
      <c r="G1208" s="193">
        <f>1020*12</f>
        <v>12240</v>
      </c>
      <c r="H1208" s="193">
        <v>1020</v>
      </c>
      <c r="I1208" s="193">
        <v>1020</v>
      </c>
      <c r="J1208" s="193">
        <v>1020</v>
      </c>
      <c r="K1208" s="193">
        <v>1020</v>
      </c>
      <c r="L1208" s="193">
        <v>1020</v>
      </c>
      <c r="M1208" s="193">
        <v>1020</v>
      </c>
      <c r="N1208" s="193">
        <v>1020</v>
      </c>
      <c r="O1208" s="193">
        <v>1020</v>
      </c>
      <c r="P1208" s="193">
        <v>1200</v>
      </c>
      <c r="Q1208" s="193">
        <v>1200</v>
      </c>
      <c r="R1208" s="193">
        <v>1200</v>
      </c>
      <c r="S1208" s="193">
        <v>0</v>
      </c>
      <c r="T1208" s="193">
        <f>SUM(H1208:S1208)</f>
        <v>11760</v>
      </c>
      <c r="U1208"/>
      <c r="V1208">
        <f>+PRESUPUESTO22[[#This Row],[EJECUTADO ]]-SUM(PRESUPUESTO22[[#This Row],[   ENERO ]:[DIC]])</f>
        <v>0</v>
      </c>
      <c r="W1208"/>
    </row>
    <row r="1209" spans="1:24" ht="15.95" customHeight="1" x14ac:dyDescent="0.25">
      <c r="A1209" s="52">
        <v>25.5</v>
      </c>
      <c r="B1209" s="157">
        <v>2504</v>
      </c>
      <c r="C1209" s="130" t="str">
        <f t="shared" si="436"/>
        <v>E-2504</v>
      </c>
      <c r="D1209" s="130">
        <v>1159</v>
      </c>
      <c r="E1209" s="157" t="s">
        <v>69</v>
      </c>
      <c r="F1209" s="219" t="s">
        <v>973</v>
      </c>
      <c r="G1209" s="234">
        <f>+G1210</f>
        <v>15600</v>
      </c>
      <c r="H1209" s="234">
        <f>+H1210</f>
        <v>1200</v>
      </c>
      <c r="I1209" s="234">
        <f t="shared" ref="I1209:T1209" si="445">+I1210</f>
        <v>1200</v>
      </c>
      <c r="J1209" s="234">
        <f t="shared" si="445"/>
        <v>1200</v>
      </c>
      <c r="K1209" s="234">
        <f t="shared" si="445"/>
        <v>1284</v>
      </c>
      <c r="L1209" s="234">
        <f t="shared" si="445"/>
        <v>1200</v>
      </c>
      <c r="M1209" s="234">
        <f t="shared" si="445"/>
        <v>1200</v>
      </c>
      <c r="N1209" s="234">
        <f t="shared" si="445"/>
        <v>1200</v>
      </c>
      <c r="O1209" s="234">
        <f t="shared" si="445"/>
        <v>1284</v>
      </c>
      <c r="P1209" s="234">
        <f t="shared" si="445"/>
        <v>1200</v>
      </c>
      <c r="Q1209" s="234">
        <f t="shared" si="445"/>
        <v>1200</v>
      </c>
      <c r="R1209" s="234">
        <f t="shared" si="445"/>
        <v>1160</v>
      </c>
      <c r="S1209" s="234">
        <f t="shared" si="445"/>
        <v>0</v>
      </c>
      <c r="T1209" s="234">
        <f t="shared" si="445"/>
        <v>13328</v>
      </c>
      <c r="U1209"/>
      <c r="V1209">
        <f>+PRESUPUESTO22[[#This Row],[EJECUTADO ]]-SUM(PRESUPUESTO22[[#This Row],[   ENERO ]:[DIC]])</f>
        <v>0</v>
      </c>
      <c r="W1209"/>
    </row>
    <row r="1210" spans="1:24" ht="15.95" customHeight="1" x14ac:dyDescent="0.25">
      <c r="A1210" s="52"/>
      <c r="B1210" s="156">
        <v>250401</v>
      </c>
      <c r="C1210" s="130" t="str">
        <f t="shared" si="436"/>
        <v>E-250401</v>
      </c>
      <c r="D1210" s="130">
        <v>1160</v>
      </c>
      <c r="E1210" s="156" t="s">
        <v>72</v>
      </c>
      <c r="F1210" s="216" t="s">
        <v>974</v>
      </c>
      <c r="G1210" s="193">
        <v>15600</v>
      </c>
      <c r="H1210" s="193">
        <v>1200</v>
      </c>
      <c r="I1210" s="193">
        <v>1200</v>
      </c>
      <c r="J1210" s="193">
        <v>1200</v>
      </c>
      <c r="K1210" s="193">
        <v>1284</v>
      </c>
      <c r="L1210" s="193">
        <v>1200</v>
      </c>
      <c r="M1210" s="193">
        <v>1200</v>
      </c>
      <c r="N1210" s="193">
        <v>1200</v>
      </c>
      <c r="O1210" s="193">
        <v>1284</v>
      </c>
      <c r="P1210" s="193">
        <v>1200</v>
      </c>
      <c r="Q1210" s="193">
        <v>1200</v>
      </c>
      <c r="R1210" s="193">
        <v>1160</v>
      </c>
      <c r="S1210" s="193">
        <v>0</v>
      </c>
      <c r="T1210" s="193">
        <f>SUM(H1210:S1210)</f>
        <v>13328</v>
      </c>
      <c r="U1210"/>
      <c r="V1210">
        <f>+PRESUPUESTO22[[#This Row],[EJECUTADO ]]-SUM(PRESUPUESTO22[[#This Row],[   ENERO ]:[DIC]])</f>
        <v>0</v>
      </c>
      <c r="W1210"/>
    </row>
    <row r="1211" spans="1:24" ht="15.95" customHeight="1" x14ac:dyDescent="0.25">
      <c r="A1211" s="52">
        <v>25.6</v>
      </c>
      <c r="B1211" s="157">
        <v>2505</v>
      </c>
      <c r="C1211" s="130" t="str">
        <f t="shared" si="436"/>
        <v>E-2505</v>
      </c>
      <c r="D1211" s="130">
        <v>1161</v>
      </c>
      <c r="E1211" s="157" t="s">
        <v>69</v>
      </c>
      <c r="F1211" s="219" t="s">
        <v>975</v>
      </c>
      <c r="G1211" s="234">
        <f t="shared" ref="G1211:T1211" si="446">SUM(G1212:G1216)</f>
        <v>12400</v>
      </c>
      <c r="H1211" s="234">
        <f t="shared" si="446"/>
        <v>763</v>
      </c>
      <c r="I1211" s="234">
        <f t="shared" si="446"/>
        <v>763</v>
      </c>
      <c r="J1211" s="234">
        <f t="shared" si="446"/>
        <v>763</v>
      </c>
      <c r="K1211" s="234">
        <f t="shared" si="446"/>
        <v>823</v>
      </c>
      <c r="L1211" s="234">
        <f t="shared" si="446"/>
        <v>1306</v>
      </c>
      <c r="M1211" s="234">
        <f t="shared" si="446"/>
        <v>1855</v>
      </c>
      <c r="N1211" s="234">
        <f t="shared" si="446"/>
        <v>1854</v>
      </c>
      <c r="O1211" s="234">
        <f t="shared" si="446"/>
        <v>3919</v>
      </c>
      <c r="P1211" s="234">
        <f t="shared" si="446"/>
        <v>1880</v>
      </c>
      <c r="Q1211" s="234">
        <f t="shared" si="446"/>
        <v>2410</v>
      </c>
      <c r="R1211" s="234">
        <f t="shared" si="446"/>
        <v>1906</v>
      </c>
      <c r="S1211" s="234">
        <f t="shared" si="446"/>
        <v>0</v>
      </c>
      <c r="T1211" s="234">
        <f t="shared" si="446"/>
        <v>18242</v>
      </c>
      <c r="U1211"/>
      <c r="V1211">
        <f>+PRESUPUESTO22[[#This Row],[EJECUTADO ]]-SUM(PRESUPUESTO22[[#This Row],[   ENERO ]:[DIC]])</f>
        <v>0</v>
      </c>
      <c r="W1211"/>
    </row>
    <row r="1212" spans="1:24" ht="15.95" customHeight="1" x14ac:dyDescent="0.25">
      <c r="A1212" s="52"/>
      <c r="B1212" s="156">
        <v>250501</v>
      </c>
      <c r="C1212" s="130" t="str">
        <f t="shared" si="436"/>
        <v>E-250501</v>
      </c>
      <c r="D1212" s="130">
        <v>1162</v>
      </c>
      <c r="E1212" s="156" t="s">
        <v>72</v>
      </c>
      <c r="F1212" s="216" t="s">
        <v>976</v>
      </c>
      <c r="G1212" s="193">
        <v>12200</v>
      </c>
      <c r="H1212" s="193">
        <v>750</v>
      </c>
      <c r="I1212" s="193">
        <v>750</v>
      </c>
      <c r="J1212" s="193">
        <v>750</v>
      </c>
      <c r="K1212" s="193">
        <v>803</v>
      </c>
      <c r="L1212" s="193">
        <v>750</v>
      </c>
      <c r="M1212" s="193">
        <v>750</v>
      </c>
      <c r="N1212" s="193">
        <v>750</v>
      </c>
      <c r="O1212" s="193">
        <v>803</v>
      </c>
      <c r="P1212" s="193">
        <v>750</v>
      </c>
      <c r="Q1212" s="193">
        <v>750</v>
      </c>
      <c r="R1212" s="193">
        <v>750</v>
      </c>
      <c r="S1212" s="193">
        <v>0</v>
      </c>
      <c r="T1212" s="193">
        <f>SUM(H1212:S1212)</f>
        <v>8356</v>
      </c>
      <c r="U1212"/>
      <c r="V1212">
        <f>+PRESUPUESTO22[[#This Row],[EJECUTADO ]]-SUM(PRESUPUESTO22[[#This Row],[   ENERO ]:[DIC]])</f>
        <v>0</v>
      </c>
      <c r="W1212"/>
    </row>
    <row r="1213" spans="1:24" ht="15.95" customHeight="1" x14ac:dyDescent="0.25">
      <c r="A1213" s="52"/>
      <c r="B1213" s="156">
        <v>250502</v>
      </c>
      <c r="C1213" s="130" t="str">
        <f t="shared" si="436"/>
        <v>E-250502</v>
      </c>
      <c r="D1213" s="130">
        <v>1163</v>
      </c>
      <c r="E1213" s="156" t="s">
        <v>72</v>
      </c>
      <c r="F1213" s="216" t="s">
        <v>977</v>
      </c>
      <c r="G1213" s="193">
        <v>0</v>
      </c>
      <c r="H1213" s="193">
        <v>0</v>
      </c>
      <c r="I1213" s="193">
        <v>0</v>
      </c>
      <c r="J1213" s="193">
        <v>0</v>
      </c>
      <c r="K1213" s="193">
        <v>0</v>
      </c>
      <c r="L1213" s="193">
        <f>300+250</f>
        <v>550</v>
      </c>
      <c r="M1213" s="193">
        <v>1100</v>
      </c>
      <c r="N1213" s="193">
        <v>1100</v>
      </c>
      <c r="O1213" s="193">
        <v>1100</v>
      </c>
      <c r="P1213" s="193">
        <v>1100</v>
      </c>
      <c r="Q1213" s="193">
        <v>1100</v>
      </c>
      <c r="R1213" s="193">
        <v>1100</v>
      </c>
      <c r="S1213" s="193">
        <v>0</v>
      </c>
      <c r="T1213" s="193">
        <f>SUM(H1213:S1213)</f>
        <v>7150</v>
      </c>
      <c r="U1213"/>
      <c r="V1213">
        <f>+PRESUPUESTO22[[#This Row],[EJECUTADO ]]-SUM(PRESUPUESTO22[[#This Row],[   ENERO ]:[DIC]])</f>
        <v>0</v>
      </c>
      <c r="W1213"/>
    </row>
    <row r="1214" spans="1:24" ht="15.95" customHeight="1" x14ac:dyDescent="0.25">
      <c r="A1214" s="52"/>
      <c r="B1214" s="156">
        <v>250505</v>
      </c>
      <c r="C1214" s="130" t="str">
        <f t="shared" ref="C1214" si="447">"E"&amp;"-"&amp;B1214</f>
        <v>E-250505</v>
      </c>
      <c r="D1214" s="130">
        <v>1164</v>
      </c>
      <c r="E1214" s="156" t="s">
        <v>72</v>
      </c>
      <c r="F1214" s="216" t="s">
        <v>1080</v>
      </c>
      <c r="G1214" s="193">
        <v>0</v>
      </c>
      <c r="H1214" s="193"/>
      <c r="I1214" s="193"/>
      <c r="J1214" s="193"/>
      <c r="K1214" s="193"/>
      <c r="L1214" s="193"/>
      <c r="M1214" s="193"/>
      <c r="N1214" s="193"/>
      <c r="O1214" s="193"/>
      <c r="P1214" s="193">
        <v>0</v>
      </c>
      <c r="Q1214" s="193">
        <v>525</v>
      </c>
      <c r="R1214" s="193">
        <v>0</v>
      </c>
      <c r="S1214" s="193"/>
      <c r="T1214" s="193">
        <f>SUM(H1214:S1214)</f>
        <v>525</v>
      </c>
      <c r="U1214"/>
      <c r="V1214">
        <f>+PRESUPUESTO22[[#This Row],[EJECUTADO ]]-SUM(PRESUPUESTO22[[#This Row],[   ENERO ]:[DIC]])</f>
        <v>0</v>
      </c>
      <c r="W1214"/>
    </row>
    <row r="1215" spans="1:24" ht="15.95" customHeight="1" x14ac:dyDescent="0.25">
      <c r="A1215" s="52"/>
      <c r="B1215" s="156">
        <v>250503</v>
      </c>
      <c r="C1215" s="130" t="str">
        <f t="shared" si="436"/>
        <v>E-250503</v>
      </c>
      <c r="D1215" s="130">
        <v>1165</v>
      </c>
      <c r="E1215" s="156" t="s">
        <v>72</v>
      </c>
      <c r="F1215" s="216" t="s">
        <v>978</v>
      </c>
      <c r="G1215" s="193">
        <v>0</v>
      </c>
      <c r="H1215" s="193">
        <v>0</v>
      </c>
      <c r="I1215" s="193">
        <v>0</v>
      </c>
      <c r="J1215" s="193">
        <v>0</v>
      </c>
      <c r="K1215" s="193">
        <v>0</v>
      </c>
      <c r="L1215" s="193">
        <v>0</v>
      </c>
      <c r="M1215" s="193">
        <v>0</v>
      </c>
      <c r="N1215" s="193">
        <v>0</v>
      </c>
      <c r="O1215" s="193">
        <v>2000</v>
      </c>
      <c r="P1215" s="193">
        <v>0</v>
      </c>
      <c r="Q1215" s="193">
        <v>0</v>
      </c>
      <c r="R1215" s="193">
        <v>0</v>
      </c>
      <c r="S1215" s="193">
        <v>0</v>
      </c>
      <c r="T1215" s="193">
        <f>SUM(H1215:S1215)</f>
        <v>2000</v>
      </c>
      <c r="U1215"/>
      <c r="V1215">
        <f>+PRESUPUESTO22[[#This Row],[EJECUTADO ]]-SUM(PRESUPUESTO22[[#This Row],[   ENERO ]:[DIC]])</f>
        <v>0</v>
      </c>
      <c r="W1215"/>
    </row>
    <row r="1216" spans="1:24" ht="15.95" customHeight="1" x14ac:dyDescent="0.25">
      <c r="A1216" s="52"/>
      <c r="B1216" s="156">
        <v>250504</v>
      </c>
      <c r="C1216" s="130" t="str">
        <f t="shared" si="436"/>
        <v>E-250504</v>
      </c>
      <c r="D1216" s="130">
        <v>1166</v>
      </c>
      <c r="E1216" s="156" t="s">
        <v>72</v>
      </c>
      <c r="F1216" s="216" t="s">
        <v>979</v>
      </c>
      <c r="G1216" s="193">
        <v>200</v>
      </c>
      <c r="H1216" s="193">
        <f>12.75+0.25</f>
        <v>13</v>
      </c>
      <c r="I1216" s="193">
        <v>13</v>
      </c>
      <c r="J1216" s="193">
        <v>13</v>
      </c>
      <c r="K1216" s="193">
        <f>19.95+0.05</f>
        <v>20</v>
      </c>
      <c r="L1216" s="193">
        <f>5.5+0.5</f>
        <v>6</v>
      </c>
      <c r="M1216" s="193">
        <f>3.5+1.11+0.39</f>
        <v>5</v>
      </c>
      <c r="N1216" s="193">
        <v>4</v>
      </c>
      <c r="O1216" s="193">
        <f>15.93+0.07</f>
        <v>16</v>
      </c>
      <c r="P1216" s="193">
        <f>29.86+0.14</f>
        <v>30</v>
      </c>
      <c r="Q1216" s="193">
        <f>34.7+0.3</f>
        <v>35</v>
      </c>
      <c r="R1216" s="193">
        <f>56.25-0.25</f>
        <v>56</v>
      </c>
      <c r="S1216" s="193">
        <v>0</v>
      </c>
      <c r="T1216" s="193">
        <f>SUM(H1216:S1216)</f>
        <v>211</v>
      </c>
      <c r="U1216"/>
      <c r="V1216">
        <f>+PRESUPUESTO22[[#This Row],[EJECUTADO ]]-SUM(PRESUPUESTO22[[#This Row],[   ENERO ]:[DIC]])</f>
        <v>0</v>
      </c>
      <c r="W1216"/>
    </row>
    <row r="1217" spans="1:23" ht="15.95" customHeight="1" x14ac:dyDescent="0.25">
      <c r="A1217" s="49">
        <v>26</v>
      </c>
      <c r="B1217" s="131">
        <v>26</v>
      </c>
      <c r="C1217" s="130" t="str">
        <f t="shared" si="436"/>
        <v>E-26</v>
      </c>
      <c r="D1217" s="130">
        <v>1167</v>
      </c>
      <c r="E1217" s="131" t="s">
        <v>67</v>
      </c>
      <c r="F1217" s="50" t="s">
        <v>980</v>
      </c>
      <c r="G1217" s="188">
        <v>150000</v>
      </c>
      <c r="H1217" s="188">
        <f t="shared" ref="H1217:T1217" si="448">+H1218+H1229</f>
        <v>9249</v>
      </c>
      <c r="I1217" s="188">
        <f t="shared" si="448"/>
        <v>9089</v>
      </c>
      <c r="J1217" s="188">
        <f t="shared" si="448"/>
        <v>13917</v>
      </c>
      <c r="K1217" s="188">
        <f t="shared" si="448"/>
        <v>9111</v>
      </c>
      <c r="L1217" s="188">
        <f t="shared" si="448"/>
        <v>9108</v>
      </c>
      <c r="M1217" s="188">
        <f t="shared" si="448"/>
        <v>13671</v>
      </c>
      <c r="N1217" s="188">
        <f t="shared" si="448"/>
        <v>11517</v>
      </c>
      <c r="O1217" s="188">
        <f t="shared" si="448"/>
        <v>9913</v>
      </c>
      <c r="P1217" s="188">
        <f t="shared" si="448"/>
        <v>10069</v>
      </c>
      <c r="Q1217" s="188">
        <f t="shared" si="448"/>
        <v>15432</v>
      </c>
      <c r="R1217" s="188">
        <f t="shared" si="448"/>
        <v>10573</v>
      </c>
      <c r="S1217" s="188">
        <f t="shared" si="448"/>
        <v>0</v>
      </c>
      <c r="T1217" s="188">
        <f t="shared" si="448"/>
        <v>121649</v>
      </c>
      <c r="U1217"/>
      <c r="V1217">
        <f>+PRESUPUESTO22[[#This Row],[EJECUTADO ]]-SUM(PRESUPUESTO22[[#This Row],[   ENERO ]:[DIC]])</f>
        <v>0</v>
      </c>
      <c r="W1217"/>
    </row>
    <row r="1218" spans="1:23" ht="15.95" customHeight="1" x14ac:dyDescent="0.25">
      <c r="A1218" s="48">
        <v>1</v>
      </c>
      <c r="B1218" s="157">
        <v>2601</v>
      </c>
      <c r="C1218" s="130" t="str">
        <f t="shared" si="436"/>
        <v>E-2601</v>
      </c>
      <c r="D1218" s="130">
        <v>1168</v>
      </c>
      <c r="E1218" s="173" t="s">
        <v>69</v>
      </c>
      <c r="F1218" s="234" t="s">
        <v>981</v>
      </c>
      <c r="G1218" s="234">
        <f t="shared" ref="G1218:T1218" si="449">+G1219+G1226</f>
        <v>111000</v>
      </c>
      <c r="H1218" s="234">
        <f t="shared" si="449"/>
        <v>9249</v>
      </c>
      <c r="I1218" s="234">
        <f t="shared" si="449"/>
        <v>9089</v>
      </c>
      <c r="J1218" s="234">
        <f t="shared" si="449"/>
        <v>13917</v>
      </c>
      <c r="K1218" s="234">
        <f t="shared" si="449"/>
        <v>9111</v>
      </c>
      <c r="L1218" s="234">
        <f t="shared" si="449"/>
        <v>9108</v>
      </c>
      <c r="M1218" s="234">
        <f t="shared" si="449"/>
        <v>13671</v>
      </c>
      <c r="N1218" s="234">
        <f t="shared" si="449"/>
        <v>11517</v>
      </c>
      <c r="O1218" s="234">
        <f t="shared" si="449"/>
        <v>9913</v>
      </c>
      <c r="P1218" s="234">
        <f t="shared" si="449"/>
        <v>10069</v>
      </c>
      <c r="Q1218" s="234">
        <f t="shared" si="449"/>
        <v>15432</v>
      </c>
      <c r="R1218" s="234">
        <f t="shared" si="449"/>
        <v>10573</v>
      </c>
      <c r="S1218" s="234">
        <f t="shared" si="449"/>
        <v>0</v>
      </c>
      <c r="T1218" s="234">
        <f t="shared" si="449"/>
        <v>121649</v>
      </c>
      <c r="U1218"/>
      <c r="V1218">
        <f>+PRESUPUESTO22[[#This Row],[EJECUTADO ]]-SUM(PRESUPUESTO22[[#This Row],[   ENERO ]:[DIC]])</f>
        <v>0</v>
      </c>
      <c r="W1218"/>
    </row>
    <row r="1219" spans="1:23" ht="15.95" customHeight="1" x14ac:dyDescent="0.25">
      <c r="A1219" s="52"/>
      <c r="B1219" s="297">
        <v>260101</v>
      </c>
      <c r="C1219" s="130" t="str">
        <f t="shared" si="436"/>
        <v>E-260101</v>
      </c>
      <c r="D1219" s="130">
        <v>1169</v>
      </c>
      <c r="E1219" s="180" t="s">
        <v>69</v>
      </c>
      <c r="F1219" s="252" t="s">
        <v>982</v>
      </c>
      <c r="G1219" s="252">
        <f t="shared" ref="G1219:T1219" si="450">SUM(G1220:G1225)</f>
        <v>0</v>
      </c>
      <c r="H1219" s="252">
        <f t="shared" si="450"/>
        <v>360</v>
      </c>
      <c r="I1219" s="252">
        <f t="shared" si="450"/>
        <v>0</v>
      </c>
      <c r="J1219" s="252">
        <f t="shared" si="450"/>
        <v>5228</v>
      </c>
      <c r="K1219" s="252">
        <f t="shared" si="450"/>
        <v>222</v>
      </c>
      <c r="L1219" s="252">
        <f t="shared" si="450"/>
        <v>219</v>
      </c>
      <c r="M1219" s="252">
        <f t="shared" si="450"/>
        <v>4782</v>
      </c>
      <c r="N1219" s="252">
        <f t="shared" si="450"/>
        <v>914</v>
      </c>
      <c r="O1219" s="252">
        <f t="shared" si="450"/>
        <v>1024</v>
      </c>
      <c r="P1219" s="252">
        <f t="shared" si="450"/>
        <v>1180</v>
      </c>
      <c r="Q1219" s="252">
        <f t="shared" si="450"/>
        <v>423</v>
      </c>
      <c r="R1219" s="252">
        <f t="shared" si="450"/>
        <v>218</v>
      </c>
      <c r="S1219" s="252">
        <f t="shared" si="450"/>
        <v>0</v>
      </c>
      <c r="T1219" s="252">
        <f t="shared" si="450"/>
        <v>14570</v>
      </c>
      <c r="U1219"/>
      <c r="V1219">
        <f>+PRESUPUESTO22[[#This Row],[EJECUTADO ]]-SUM(PRESUPUESTO22[[#This Row],[   ENERO ]:[DIC]])</f>
        <v>0</v>
      </c>
      <c r="W1219"/>
    </row>
    <row r="1220" spans="1:23" ht="15.95" customHeight="1" x14ac:dyDescent="0.25">
      <c r="A1220" s="52"/>
      <c r="B1220" s="156">
        <v>26010101</v>
      </c>
      <c r="C1220" s="130" t="str">
        <f t="shared" si="436"/>
        <v>E-26010101</v>
      </c>
      <c r="D1220" s="130">
        <v>1170</v>
      </c>
      <c r="E1220" s="156" t="s">
        <v>72</v>
      </c>
      <c r="F1220" s="216" t="s">
        <v>983</v>
      </c>
      <c r="G1220" s="193">
        <v>0</v>
      </c>
      <c r="H1220" s="193">
        <f>158.95+0.05</f>
        <v>159</v>
      </c>
      <c r="I1220" s="193">
        <v>0</v>
      </c>
      <c r="J1220" s="193">
        <f>129.2+653+591.5+0.3</f>
        <v>1374</v>
      </c>
      <c r="K1220" s="193">
        <v>0</v>
      </c>
      <c r="L1220" s="193">
        <f>215.94+0.06</f>
        <v>216</v>
      </c>
      <c r="M1220" s="193">
        <f>609+124.52+0.48</f>
        <v>734</v>
      </c>
      <c r="N1220" s="193">
        <f>594+126</f>
        <v>720</v>
      </c>
      <c r="O1220" s="193">
        <f>147.94+382.35-0.29</f>
        <v>530</v>
      </c>
      <c r="P1220" s="193">
        <v>0</v>
      </c>
      <c r="Q1220" s="193">
        <f>88.48+52.74-0.22</f>
        <v>141</v>
      </c>
      <c r="R1220" s="193">
        <v>0</v>
      </c>
      <c r="S1220" s="193">
        <v>0</v>
      </c>
      <c r="T1220" s="193">
        <f t="shared" ref="T1220:T1225" si="451">SUM(H1220:S1220)</f>
        <v>3874</v>
      </c>
      <c r="U1220"/>
      <c r="V1220">
        <f>+PRESUPUESTO22[[#This Row],[EJECUTADO ]]-SUM(PRESUPUESTO22[[#This Row],[   ENERO ]:[DIC]])</f>
        <v>0</v>
      </c>
      <c r="W1220"/>
    </row>
    <row r="1221" spans="1:23" ht="15.95" customHeight="1" x14ac:dyDescent="0.25">
      <c r="A1221" s="52"/>
      <c r="B1221" s="156">
        <v>26010102</v>
      </c>
      <c r="C1221" s="130" t="str">
        <f t="shared" si="436"/>
        <v>E-26010102</v>
      </c>
      <c r="D1221" s="130">
        <v>1171</v>
      </c>
      <c r="E1221" s="156" t="s">
        <v>72</v>
      </c>
      <c r="F1221" s="216" t="s">
        <v>984</v>
      </c>
      <c r="G1221" s="193">
        <v>0</v>
      </c>
      <c r="H1221" s="193">
        <f>0.95+135.3+64.77-0.02</f>
        <v>200.99999999999997</v>
      </c>
      <c r="I1221" s="193">
        <v>0</v>
      </c>
      <c r="J1221" s="193">
        <f>28.84+0.16</f>
        <v>29</v>
      </c>
      <c r="K1221" s="193">
        <f>221.55+0.45</f>
        <v>222</v>
      </c>
      <c r="L1221" s="193">
        <v>0</v>
      </c>
      <c r="M1221" s="193">
        <f>84+138.89+0.11</f>
        <v>223</v>
      </c>
      <c r="N1221" s="193">
        <f>193.6+0.4</f>
        <v>194</v>
      </c>
      <c r="O1221" s="193">
        <f>277.34+193.89-0.23</f>
        <v>470.99999999999994</v>
      </c>
      <c r="P1221" s="193">
        <f>371.16+203.39+189.31+0.14</f>
        <v>763.99999999999989</v>
      </c>
      <c r="Q1221" s="193">
        <f>274.25+8-0.25</f>
        <v>282</v>
      </c>
      <c r="R1221" s="193">
        <f>152.62+0.38</f>
        <v>153</v>
      </c>
      <c r="S1221" s="193">
        <v>0</v>
      </c>
      <c r="T1221" s="193">
        <f t="shared" si="451"/>
        <v>2539</v>
      </c>
      <c r="U1221"/>
      <c r="V1221">
        <f>+PRESUPUESTO22[[#This Row],[EJECUTADO ]]-SUM(PRESUPUESTO22[[#This Row],[   ENERO ]:[DIC]])</f>
        <v>0</v>
      </c>
    </row>
    <row r="1222" spans="1:23" ht="15.95" customHeight="1" x14ac:dyDescent="0.25">
      <c r="A1222" s="52"/>
      <c r="B1222" s="156">
        <v>26010103</v>
      </c>
      <c r="C1222" s="130" t="str">
        <f t="shared" si="436"/>
        <v>E-26010103</v>
      </c>
      <c r="D1222" s="130">
        <v>1172</v>
      </c>
      <c r="E1222" s="156" t="s">
        <v>72</v>
      </c>
      <c r="F1222" s="216" t="s">
        <v>985</v>
      </c>
      <c r="G1222" s="193">
        <v>0</v>
      </c>
      <c r="H1222" s="193">
        <v>0</v>
      </c>
      <c r="I1222" s="193">
        <v>0</v>
      </c>
      <c r="J1222" s="193">
        <v>3825</v>
      </c>
      <c r="K1222" s="193">
        <v>0</v>
      </c>
      <c r="L1222" s="193">
        <v>0</v>
      </c>
      <c r="M1222" s="193">
        <v>3825</v>
      </c>
      <c r="N1222" s="193">
        <v>0</v>
      </c>
      <c r="O1222" s="193">
        <v>0</v>
      </c>
      <c r="P1222" s="193">
        <v>0</v>
      </c>
      <c r="Q1222" s="193">
        <v>0</v>
      </c>
      <c r="R1222" s="193">
        <v>0</v>
      </c>
      <c r="S1222" s="193">
        <v>0</v>
      </c>
      <c r="T1222" s="193">
        <f t="shared" si="451"/>
        <v>7650</v>
      </c>
      <c r="U1222"/>
      <c r="V1222">
        <f>+PRESUPUESTO22[[#This Row],[EJECUTADO ]]-SUM(PRESUPUESTO22[[#This Row],[   ENERO ]:[DIC]])</f>
        <v>0</v>
      </c>
    </row>
    <row r="1223" spans="1:23" ht="15.95" customHeight="1" x14ac:dyDescent="0.25">
      <c r="A1223" s="52"/>
      <c r="B1223" s="156">
        <v>26010104</v>
      </c>
      <c r="C1223" s="130" t="str">
        <f t="shared" si="436"/>
        <v>E-26010104</v>
      </c>
      <c r="D1223" s="130">
        <v>1173</v>
      </c>
      <c r="E1223" s="156" t="s">
        <v>72</v>
      </c>
      <c r="F1223" s="216" t="s">
        <v>986</v>
      </c>
      <c r="G1223" s="193">
        <v>0</v>
      </c>
      <c r="H1223" s="193">
        <v>0</v>
      </c>
      <c r="I1223" s="193">
        <v>0</v>
      </c>
      <c r="J1223" s="193">
        <v>0</v>
      </c>
      <c r="K1223" s="193">
        <v>0</v>
      </c>
      <c r="L1223" s="193">
        <v>3</v>
      </c>
      <c r="M1223" s="193">
        <v>0</v>
      </c>
      <c r="N1223" s="193">
        <v>0</v>
      </c>
      <c r="O1223" s="193">
        <f>22.95+0.05</f>
        <v>23</v>
      </c>
      <c r="P1223" s="193">
        <f>415.74+0.26</f>
        <v>416</v>
      </c>
      <c r="Q1223" s="193">
        <v>0</v>
      </c>
      <c r="R1223" s="193">
        <v>0</v>
      </c>
      <c r="S1223" s="193">
        <v>0</v>
      </c>
      <c r="T1223" s="193">
        <f t="shared" si="451"/>
        <v>442</v>
      </c>
      <c r="U1223"/>
      <c r="V1223">
        <f>+PRESUPUESTO22[[#This Row],[EJECUTADO ]]-SUM(PRESUPUESTO22[[#This Row],[   ENERO ]:[DIC]])</f>
        <v>0</v>
      </c>
    </row>
    <row r="1224" spans="1:23" ht="15.95" customHeight="1" x14ac:dyDescent="0.25">
      <c r="A1224" s="52"/>
      <c r="B1224" s="156">
        <v>26010105</v>
      </c>
      <c r="C1224" s="130" t="str">
        <f t="shared" si="436"/>
        <v>E-26010105</v>
      </c>
      <c r="D1224" s="130">
        <v>1174</v>
      </c>
      <c r="E1224" s="156" t="s">
        <v>72</v>
      </c>
      <c r="F1224" s="216" t="s">
        <v>987</v>
      </c>
      <c r="G1224" s="193">
        <v>0</v>
      </c>
      <c r="H1224" s="193">
        <v>0</v>
      </c>
      <c r="I1224" s="193">
        <v>0</v>
      </c>
      <c r="J1224" s="193">
        <v>0</v>
      </c>
      <c r="K1224" s="193">
        <v>0</v>
      </c>
      <c r="L1224" s="193">
        <v>0</v>
      </c>
      <c r="M1224" s="193">
        <v>0</v>
      </c>
      <c r="N1224" s="193">
        <v>0</v>
      </c>
      <c r="O1224" s="193">
        <v>0</v>
      </c>
      <c r="P1224" s="193">
        <v>0</v>
      </c>
      <c r="Q1224" s="193">
        <v>0</v>
      </c>
      <c r="R1224" s="193">
        <v>0</v>
      </c>
      <c r="S1224" s="193">
        <v>0</v>
      </c>
      <c r="T1224" s="193">
        <f t="shared" si="451"/>
        <v>0</v>
      </c>
      <c r="U1224"/>
      <c r="V1224">
        <f>+PRESUPUESTO22[[#This Row],[EJECUTADO ]]-SUM(PRESUPUESTO22[[#This Row],[   ENERO ]:[DIC]])</f>
        <v>0</v>
      </c>
    </row>
    <row r="1225" spans="1:23" ht="15.95" customHeight="1" x14ac:dyDescent="0.25">
      <c r="A1225" s="52"/>
      <c r="B1225" s="156">
        <v>26010106</v>
      </c>
      <c r="C1225" s="130" t="str">
        <f t="shared" si="436"/>
        <v>E-26010106</v>
      </c>
      <c r="D1225" s="130">
        <v>1175</v>
      </c>
      <c r="E1225" s="156" t="s">
        <v>72</v>
      </c>
      <c r="F1225" s="216" t="s">
        <v>988</v>
      </c>
      <c r="G1225" s="193">
        <v>0</v>
      </c>
      <c r="H1225" s="193">
        <v>0</v>
      </c>
      <c r="I1225" s="193">
        <v>0</v>
      </c>
      <c r="J1225" s="193">
        <v>0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93">
        <v>0</v>
      </c>
      <c r="R1225" s="193">
        <v>65</v>
      </c>
      <c r="S1225" s="193">
        <v>0</v>
      </c>
      <c r="T1225" s="193">
        <f t="shared" si="451"/>
        <v>65</v>
      </c>
      <c r="U1225"/>
      <c r="V1225">
        <f>+PRESUPUESTO22[[#This Row],[EJECUTADO ]]-SUM(PRESUPUESTO22[[#This Row],[   ENERO ]:[DIC]])</f>
        <v>0</v>
      </c>
    </row>
    <row r="1226" spans="1:23" ht="15.95" customHeight="1" x14ac:dyDescent="0.25">
      <c r="A1226" s="52"/>
      <c r="B1226" s="181">
        <v>260102</v>
      </c>
      <c r="C1226" s="130" t="str">
        <f t="shared" si="436"/>
        <v>E-260102</v>
      </c>
      <c r="D1226" s="130">
        <v>1176</v>
      </c>
      <c r="E1226" s="181" t="s">
        <v>69</v>
      </c>
      <c r="F1226" s="253" t="s">
        <v>989</v>
      </c>
      <c r="G1226" s="252">
        <v>111000</v>
      </c>
      <c r="H1226" s="252">
        <f>SUM(H1227:H1228)</f>
        <v>8889</v>
      </c>
      <c r="I1226" s="252">
        <f t="shared" ref="I1226:T1226" si="452">SUM(I1227:I1228)</f>
        <v>9089</v>
      </c>
      <c r="J1226" s="252">
        <f t="shared" si="452"/>
        <v>8689</v>
      </c>
      <c r="K1226" s="252">
        <f t="shared" si="452"/>
        <v>8889</v>
      </c>
      <c r="L1226" s="252">
        <f t="shared" si="452"/>
        <v>8889</v>
      </c>
      <c r="M1226" s="252">
        <f t="shared" si="452"/>
        <v>8889</v>
      </c>
      <c r="N1226" s="252">
        <f t="shared" si="452"/>
        <v>10603</v>
      </c>
      <c r="O1226" s="252">
        <f t="shared" si="452"/>
        <v>8889</v>
      </c>
      <c r="P1226" s="252">
        <f t="shared" si="452"/>
        <v>8889</v>
      </c>
      <c r="Q1226" s="252">
        <f t="shared" si="452"/>
        <v>15009</v>
      </c>
      <c r="R1226" s="252">
        <f t="shared" si="452"/>
        <v>10355</v>
      </c>
      <c r="S1226" s="252">
        <f t="shared" si="452"/>
        <v>0</v>
      </c>
      <c r="T1226" s="252">
        <f t="shared" si="452"/>
        <v>107079</v>
      </c>
      <c r="U1226"/>
      <c r="V1226">
        <f>+PRESUPUESTO22[[#This Row],[EJECUTADO ]]-SUM(PRESUPUESTO22[[#This Row],[   ENERO ]:[DIC]])</f>
        <v>0</v>
      </c>
    </row>
    <row r="1227" spans="1:23" ht="15.95" customHeight="1" x14ac:dyDescent="0.25">
      <c r="A1227" s="52"/>
      <c r="B1227" s="156">
        <v>26010201</v>
      </c>
      <c r="C1227" s="130" t="str">
        <f t="shared" si="436"/>
        <v>E-26010201</v>
      </c>
      <c r="D1227" s="130">
        <v>1177</v>
      </c>
      <c r="E1227" s="156" t="s">
        <v>72</v>
      </c>
      <c r="F1227" s="216" t="s">
        <v>990</v>
      </c>
      <c r="G1227" s="193">
        <f>1714*2</f>
        <v>3428</v>
      </c>
      <c r="H1227" s="193">
        <v>0</v>
      </c>
      <c r="I1227" s="193">
        <v>0</v>
      </c>
      <c r="J1227" s="193">
        <v>0</v>
      </c>
      <c r="K1227" s="193">
        <v>0</v>
      </c>
      <c r="L1227" s="193">
        <v>0</v>
      </c>
      <c r="M1227" s="193">
        <v>0</v>
      </c>
      <c r="N1227" s="193">
        <f>1714.29-0.29</f>
        <v>1714</v>
      </c>
      <c r="O1227" s="193">
        <v>0</v>
      </c>
      <c r="P1227" s="193">
        <v>0</v>
      </c>
      <c r="Q1227" s="193">
        <v>0</v>
      </c>
      <c r="R1227" s="193">
        <v>0</v>
      </c>
      <c r="S1227" s="193">
        <v>0</v>
      </c>
      <c r="T1227" s="193">
        <f>SUM(H1227:S1227)</f>
        <v>1714</v>
      </c>
      <c r="U1227"/>
      <c r="V1227">
        <f>+PRESUPUESTO22[[#This Row],[EJECUTADO ]]-SUM(PRESUPUESTO22[[#This Row],[   ENERO ]:[DIC]])</f>
        <v>0</v>
      </c>
    </row>
    <row r="1228" spans="1:23" ht="15.95" customHeight="1" x14ac:dyDescent="0.25">
      <c r="A1228" s="52"/>
      <c r="B1228" s="156">
        <v>26010202</v>
      </c>
      <c r="C1228" s="130" t="str">
        <f t="shared" si="436"/>
        <v>E-26010202</v>
      </c>
      <c r="D1228" s="130">
        <v>1178</v>
      </c>
      <c r="E1228" s="156" t="s">
        <v>72</v>
      </c>
      <c r="F1228" s="216" t="s">
        <v>991</v>
      </c>
      <c r="G1228" s="193">
        <f>8889*12</f>
        <v>106668</v>
      </c>
      <c r="H1228" s="193">
        <v>8889</v>
      </c>
      <c r="I1228" s="193">
        <f>8889+200</f>
        <v>9089</v>
      </c>
      <c r="J1228" s="193">
        <f>8889-200</f>
        <v>8689</v>
      </c>
      <c r="K1228" s="193">
        <v>8889</v>
      </c>
      <c r="L1228" s="193">
        <v>8889</v>
      </c>
      <c r="M1228" s="193">
        <v>8889</v>
      </c>
      <c r="N1228" s="193">
        <v>8889</v>
      </c>
      <c r="O1228" s="193">
        <v>8889</v>
      </c>
      <c r="P1228" s="193">
        <v>8889</v>
      </c>
      <c r="Q1228" s="193">
        <f>8889+6120</f>
        <v>15009</v>
      </c>
      <c r="R1228" s="193">
        <f>2768.89+858.85+6727.12+0.14</f>
        <v>10355</v>
      </c>
      <c r="S1228" s="193">
        <v>0</v>
      </c>
      <c r="T1228" s="193">
        <f>SUM(H1228:S1228)</f>
        <v>105365</v>
      </c>
      <c r="U1228" t="s">
        <v>1</v>
      </c>
      <c r="V1228">
        <f>+PRESUPUESTO22[[#This Row],[EJECUTADO ]]-SUM(PRESUPUESTO22[[#This Row],[   ENERO ]:[DIC]])</f>
        <v>0</v>
      </c>
    </row>
    <row r="1229" spans="1:23" ht="15.95" customHeight="1" x14ac:dyDescent="0.25">
      <c r="A1229" s="48">
        <v>2</v>
      </c>
      <c r="B1229" s="157">
        <v>2602</v>
      </c>
      <c r="C1229" s="130" t="str">
        <f t="shared" si="436"/>
        <v>E-2602</v>
      </c>
      <c r="D1229" s="130">
        <v>1179</v>
      </c>
      <c r="E1229" s="173" t="s">
        <v>69</v>
      </c>
      <c r="F1229" s="234" t="s">
        <v>992</v>
      </c>
      <c r="G1229" s="234">
        <f>+G1230+G1231+G1236</f>
        <v>0</v>
      </c>
      <c r="H1229" s="234">
        <f t="shared" ref="H1229:T1229" si="453">+H1230+H1231+H1236</f>
        <v>0</v>
      </c>
      <c r="I1229" s="234">
        <f t="shared" si="453"/>
        <v>0</v>
      </c>
      <c r="J1229" s="234">
        <f t="shared" si="453"/>
        <v>0</v>
      </c>
      <c r="K1229" s="234">
        <f t="shared" si="453"/>
        <v>0</v>
      </c>
      <c r="L1229" s="234">
        <f t="shared" si="453"/>
        <v>0</v>
      </c>
      <c r="M1229" s="234">
        <f t="shared" si="453"/>
        <v>0</v>
      </c>
      <c r="N1229" s="234">
        <f t="shared" si="453"/>
        <v>0</v>
      </c>
      <c r="O1229" s="234">
        <f t="shared" si="453"/>
        <v>0</v>
      </c>
      <c r="P1229" s="234">
        <f t="shared" si="453"/>
        <v>0</v>
      </c>
      <c r="Q1229" s="234">
        <f t="shared" si="453"/>
        <v>0</v>
      </c>
      <c r="R1229" s="234">
        <f t="shared" si="453"/>
        <v>0</v>
      </c>
      <c r="S1229" s="234">
        <f t="shared" si="453"/>
        <v>0</v>
      </c>
      <c r="T1229" s="234">
        <f t="shared" si="453"/>
        <v>0</v>
      </c>
      <c r="U1229"/>
      <c r="V1229">
        <f>+PRESUPUESTO22[[#This Row],[EJECUTADO ]]-SUM(PRESUPUESTO22[[#This Row],[   ENERO ]:[DIC]])</f>
        <v>0</v>
      </c>
    </row>
    <row r="1230" spans="1:23" ht="15.95" customHeight="1" x14ac:dyDescent="0.25">
      <c r="A1230" s="52">
        <v>2.1</v>
      </c>
      <c r="B1230" s="151">
        <v>260201</v>
      </c>
      <c r="C1230" s="130" t="str">
        <f t="shared" si="436"/>
        <v>E-260201</v>
      </c>
      <c r="D1230" s="130">
        <v>1180</v>
      </c>
      <c r="E1230" s="151" t="s">
        <v>72</v>
      </c>
      <c r="F1230" s="247" t="s">
        <v>993</v>
      </c>
      <c r="G1230" s="192">
        <f>+G1231+G1236</f>
        <v>0</v>
      </c>
      <c r="H1230" s="192">
        <f t="shared" ref="H1230:T1230" si="454">+H1231+H1236</f>
        <v>0</v>
      </c>
      <c r="I1230" s="192">
        <f t="shared" si="454"/>
        <v>0</v>
      </c>
      <c r="J1230" s="192">
        <f t="shared" si="454"/>
        <v>0</v>
      </c>
      <c r="K1230" s="192">
        <f t="shared" si="454"/>
        <v>0</v>
      </c>
      <c r="L1230" s="192">
        <f t="shared" si="454"/>
        <v>0</v>
      </c>
      <c r="M1230" s="192">
        <f t="shared" si="454"/>
        <v>0</v>
      </c>
      <c r="N1230" s="192">
        <f t="shared" si="454"/>
        <v>0</v>
      </c>
      <c r="O1230" s="192">
        <f t="shared" si="454"/>
        <v>0</v>
      </c>
      <c r="P1230" s="192">
        <f t="shared" si="454"/>
        <v>0</v>
      </c>
      <c r="Q1230" s="192">
        <f t="shared" si="454"/>
        <v>0</v>
      </c>
      <c r="R1230" s="192">
        <f t="shared" si="454"/>
        <v>0</v>
      </c>
      <c r="S1230" s="192">
        <f t="shared" si="454"/>
        <v>0</v>
      </c>
      <c r="T1230" s="192">
        <f t="shared" si="454"/>
        <v>0</v>
      </c>
      <c r="U1230"/>
      <c r="V1230">
        <f>+PRESUPUESTO22[[#This Row],[EJECUTADO ]]-SUM(PRESUPUESTO22[[#This Row],[   ENERO ]:[DIC]])</f>
        <v>0</v>
      </c>
    </row>
    <row r="1231" spans="1:23" ht="15.95" customHeight="1" x14ac:dyDescent="0.25">
      <c r="A1231" s="52">
        <v>2.2000000000000002</v>
      </c>
      <c r="B1231" s="151">
        <v>260202</v>
      </c>
      <c r="C1231" s="130" t="str">
        <f t="shared" si="436"/>
        <v>E-260202</v>
      </c>
      <c r="D1231" s="130">
        <v>1181</v>
      </c>
      <c r="E1231" s="151" t="s">
        <v>69</v>
      </c>
      <c r="F1231" s="247" t="s">
        <v>994</v>
      </c>
      <c r="G1231" s="192">
        <f>SUM(G1232:G1235)</f>
        <v>0</v>
      </c>
      <c r="H1231" s="192">
        <f>SUM(H1232:H1235)</f>
        <v>0</v>
      </c>
      <c r="I1231" s="192">
        <f t="shared" ref="I1231:T1231" si="455">SUM(I1232:I1235)</f>
        <v>0</v>
      </c>
      <c r="J1231" s="192">
        <f t="shared" si="455"/>
        <v>0</v>
      </c>
      <c r="K1231" s="192">
        <f t="shared" si="455"/>
        <v>0</v>
      </c>
      <c r="L1231" s="192">
        <f t="shared" si="455"/>
        <v>0</v>
      </c>
      <c r="M1231" s="192">
        <f t="shared" si="455"/>
        <v>0</v>
      </c>
      <c r="N1231" s="192">
        <f t="shared" si="455"/>
        <v>0</v>
      </c>
      <c r="O1231" s="192">
        <f t="shared" si="455"/>
        <v>0</v>
      </c>
      <c r="P1231" s="192">
        <f t="shared" si="455"/>
        <v>0</v>
      </c>
      <c r="Q1231" s="192">
        <f t="shared" si="455"/>
        <v>0</v>
      </c>
      <c r="R1231" s="192">
        <f t="shared" si="455"/>
        <v>0</v>
      </c>
      <c r="S1231" s="192">
        <f t="shared" si="455"/>
        <v>0</v>
      </c>
      <c r="T1231" s="192">
        <f t="shared" si="455"/>
        <v>0</v>
      </c>
      <c r="U1231"/>
      <c r="V1231">
        <f>+PRESUPUESTO22[[#This Row],[EJECUTADO ]]-SUM(PRESUPUESTO22[[#This Row],[   ENERO ]:[DIC]])</f>
        <v>0</v>
      </c>
    </row>
    <row r="1232" spans="1:23" ht="15.95" customHeight="1" x14ac:dyDescent="0.25">
      <c r="A1232" s="52"/>
      <c r="B1232" s="156">
        <v>26020201</v>
      </c>
      <c r="C1232" s="130" t="str">
        <f t="shared" si="436"/>
        <v>E-26020201</v>
      </c>
      <c r="D1232" s="130">
        <v>1182</v>
      </c>
      <c r="E1232" s="156" t="s">
        <v>72</v>
      </c>
      <c r="F1232" s="216" t="s">
        <v>167</v>
      </c>
      <c r="G1232" s="193">
        <v>0</v>
      </c>
      <c r="H1232" s="193">
        <v>0</v>
      </c>
      <c r="I1232" s="193">
        <v>0</v>
      </c>
      <c r="J1232" s="193">
        <v>0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93">
        <v>0</v>
      </c>
      <c r="R1232" s="193">
        <v>0</v>
      </c>
      <c r="S1232" s="193">
        <v>0</v>
      </c>
      <c r="T1232" s="193">
        <f>SUM(H1232:S1232)</f>
        <v>0</v>
      </c>
      <c r="U1232"/>
      <c r="V1232">
        <f>+PRESUPUESTO22[[#This Row],[EJECUTADO ]]-SUM(PRESUPUESTO22[[#This Row],[   ENERO ]:[DIC]])</f>
        <v>0</v>
      </c>
    </row>
    <row r="1233" spans="1:22" ht="15.95" customHeight="1" x14ac:dyDescent="0.25">
      <c r="A1233" s="52"/>
      <c r="B1233" s="156">
        <v>26020202</v>
      </c>
      <c r="C1233" s="130" t="str">
        <f t="shared" si="436"/>
        <v>E-26020202</v>
      </c>
      <c r="D1233" s="130">
        <v>1183</v>
      </c>
      <c r="E1233" s="156" t="s">
        <v>72</v>
      </c>
      <c r="F1233" s="216" t="s">
        <v>168</v>
      </c>
      <c r="G1233" s="193">
        <v>0</v>
      </c>
      <c r="H1233" s="193">
        <v>0</v>
      </c>
      <c r="I1233" s="193">
        <v>0</v>
      </c>
      <c r="J1233" s="193">
        <v>0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93">
        <v>0</v>
      </c>
      <c r="R1233" s="193">
        <v>0</v>
      </c>
      <c r="S1233" s="193">
        <v>0</v>
      </c>
      <c r="T1233" s="193">
        <f>SUM(H1233:S1233)</f>
        <v>0</v>
      </c>
      <c r="U1233"/>
      <c r="V1233">
        <f>+PRESUPUESTO22[[#This Row],[EJECUTADO ]]-SUM(PRESUPUESTO22[[#This Row],[   ENERO ]:[DIC]])</f>
        <v>0</v>
      </c>
    </row>
    <row r="1234" spans="1:22" ht="15.95" customHeight="1" x14ac:dyDescent="0.25">
      <c r="A1234" s="52"/>
      <c r="B1234" s="156">
        <v>26020203</v>
      </c>
      <c r="C1234" s="130" t="str">
        <f t="shared" si="436"/>
        <v>E-26020203</v>
      </c>
      <c r="D1234" s="130">
        <v>1184</v>
      </c>
      <c r="E1234" s="156" t="s">
        <v>72</v>
      </c>
      <c r="F1234" s="216" t="s">
        <v>995</v>
      </c>
      <c r="G1234" s="193">
        <v>0</v>
      </c>
      <c r="H1234" s="193">
        <v>0</v>
      </c>
      <c r="I1234" s="193">
        <v>0</v>
      </c>
      <c r="J1234" s="193">
        <v>0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93">
        <v>0</v>
      </c>
      <c r="R1234" s="193">
        <v>0</v>
      </c>
      <c r="S1234" s="193">
        <v>0</v>
      </c>
      <c r="T1234" s="193">
        <f>SUM(H1234:S1234)</f>
        <v>0</v>
      </c>
      <c r="U1234"/>
      <c r="V1234">
        <f>+PRESUPUESTO22[[#This Row],[EJECUTADO ]]-SUM(PRESUPUESTO22[[#This Row],[   ENERO ]:[DIC]])</f>
        <v>0</v>
      </c>
    </row>
    <row r="1235" spans="1:22" ht="15.95" customHeight="1" x14ac:dyDescent="0.25">
      <c r="A1235" s="52"/>
      <c r="B1235" s="156">
        <v>26020204</v>
      </c>
      <c r="C1235" s="130" t="str">
        <f t="shared" si="436"/>
        <v>E-26020204</v>
      </c>
      <c r="D1235" s="130">
        <v>1185</v>
      </c>
      <c r="E1235" s="156" t="s">
        <v>72</v>
      </c>
      <c r="F1235" s="216" t="s">
        <v>170</v>
      </c>
      <c r="G1235" s="193">
        <v>0</v>
      </c>
      <c r="H1235" s="193">
        <v>0</v>
      </c>
      <c r="I1235" s="193">
        <v>0</v>
      </c>
      <c r="J1235" s="193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>
        <v>0</v>
      </c>
      <c r="P1235" s="193">
        <v>0</v>
      </c>
      <c r="Q1235" s="193">
        <v>0</v>
      </c>
      <c r="R1235" s="193">
        <v>0</v>
      </c>
      <c r="S1235" s="193">
        <v>0</v>
      </c>
      <c r="T1235" s="193">
        <f>SUM(H1235:S1235)</f>
        <v>0</v>
      </c>
      <c r="U1235"/>
      <c r="V1235">
        <f>+PRESUPUESTO22[[#This Row],[EJECUTADO ]]-SUM(PRESUPUESTO22[[#This Row],[   ENERO ]:[DIC]])</f>
        <v>0</v>
      </c>
    </row>
    <row r="1236" spans="1:22" ht="15.95" customHeight="1" x14ac:dyDescent="0.25">
      <c r="A1236" s="52">
        <v>2.2999999999999998</v>
      </c>
      <c r="B1236" s="151">
        <v>260203</v>
      </c>
      <c r="C1236" s="130" t="str">
        <f t="shared" si="436"/>
        <v>E-260203</v>
      </c>
      <c r="D1236" s="130">
        <v>1186</v>
      </c>
      <c r="E1236" s="151" t="s">
        <v>69</v>
      </c>
      <c r="F1236" s="247" t="s">
        <v>996</v>
      </c>
      <c r="G1236" s="192">
        <f>SUM(G1237:G1240)</f>
        <v>0</v>
      </c>
      <c r="H1236" s="192">
        <f>SUM(H1237:H1240)</f>
        <v>0</v>
      </c>
      <c r="I1236" s="192">
        <f t="shared" ref="I1236:T1236" si="456">SUM(I1237:I1240)</f>
        <v>0</v>
      </c>
      <c r="J1236" s="192">
        <f t="shared" si="456"/>
        <v>0</v>
      </c>
      <c r="K1236" s="192">
        <f t="shared" si="456"/>
        <v>0</v>
      </c>
      <c r="L1236" s="192">
        <f t="shared" si="456"/>
        <v>0</v>
      </c>
      <c r="M1236" s="192">
        <f t="shared" si="456"/>
        <v>0</v>
      </c>
      <c r="N1236" s="192">
        <f t="shared" si="456"/>
        <v>0</v>
      </c>
      <c r="O1236" s="192">
        <f t="shared" si="456"/>
        <v>0</v>
      </c>
      <c r="P1236" s="192">
        <f t="shared" si="456"/>
        <v>0</v>
      </c>
      <c r="Q1236" s="192">
        <f t="shared" si="456"/>
        <v>0</v>
      </c>
      <c r="R1236" s="192">
        <f t="shared" si="456"/>
        <v>0</v>
      </c>
      <c r="S1236" s="192">
        <f t="shared" si="456"/>
        <v>0</v>
      </c>
      <c r="T1236" s="192">
        <f t="shared" si="456"/>
        <v>0</v>
      </c>
      <c r="U1236"/>
      <c r="V1236">
        <f>+PRESUPUESTO22[[#This Row],[EJECUTADO ]]-SUM(PRESUPUESTO22[[#This Row],[   ENERO ]:[DIC]])</f>
        <v>0</v>
      </c>
    </row>
    <row r="1237" spans="1:22" ht="15.95" customHeight="1" x14ac:dyDescent="0.25">
      <c r="A1237" s="52"/>
      <c r="B1237" s="156">
        <v>26020301</v>
      </c>
      <c r="C1237" s="130" t="str">
        <f t="shared" si="436"/>
        <v>E-26020301</v>
      </c>
      <c r="D1237" s="130">
        <v>1187</v>
      </c>
      <c r="E1237" s="156" t="s">
        <v>72</v>
      </c>
      <c r="F1237" s="216" t="s">
        <v>167</v>
      </c>
      <c r="G1237" s="193">
        <v>0</v>
      </c>
      <c r="H1237" s="193">
        <v>0</v>
      </c>
      <c r="I1237" s="193">
        <v>0</v>
      </c>
      <c r="J1237" s="193">
        <v>0</v>
      </c>
      <c r="K1237" s="193">
        <v>0</v>
      </c>
      <c r="L1237" s="193">
        <v>0</v>
      </c>
      <c r="M1237" s="193">
        <v>0</v>
      </c>
      <c r="N1237" s="193">
        <v>0</v>
      </c>
      <c r="O1237" s="193">
        <v>0</v>
      </c>
      <c r="P1237" s="193">
        <v>0</v>
      </c>
      <c r="Q1237" s="193">
        <v>0</v>
      </c>
      <c r="R1237" s="193">
        <v>0</v>
      </c>
      <c r="S1237" s="193">
        <v>0</v>
      </c>
      <c r="T1237" s="193">
        <f>SUM(H1237:S1237)</f>
        <v>0</v>
      </c>
      <c r="U1237"/>
      <c r="V1237">
        <f>+PRESUPUESTO22[[#This Row],[EJECUTADO ]]-SUM(PRESUPUESTO22[[#This Row],[   ENERO ]:[DIC]])</f>
        <v>0</v>
      </c>
    </row>
    <row r="1238" spans="1:22" ht="15.95" customHeight="1" x14ac:dyDescent="0.25">
      <c r="A1238" s="52"/>
      <c r="B1238" s="156">
        <v>26020302</v>
      </c>
      <c r="C1238" s="130" t="str">
        <f t="shared" si="436"/>
        <v>E-26020302</v>
      </c>
      <c r="D1238" s="130">
        <v>1188</v>
      </c>
      <c r="E1238" s="156" t="s">
        <v>72</v>
      </c>
      <c r="F1238" s="216" t="s">
        <v>168</v>
      </c>
      <c r="G1238" s="193">
        <v>0</v>
      </c>
      <c r="H1238" s="193">
        <v>0</v>
      </c>
      <c r="I1238" s="193">
        <v>0</v>
      </c>
      <c r="J1238" s="193">
        <v>0</v>
      </c>
      <c r="K1238" s="193">
        <v>0</v>
      </c>
      <c r="L1238" s="193">
        <v>0</v>
      </c>
      <c r="M1238" s="193">
        <v>0</v>
      </c>
      <c r="N1238" s="193">
        <v>0</v>
      </c>
      <c r="O1238" s="193">
        <v>0</v>
      </c>
      <c r="P1238" s="193">
        <v>0</v>
      </c>
      <c r="Q1238" s="193">
        <v>0</v>
      </c>
      <c r="R1238" s="193">
        <v>0</v>
      </c>
      <c r="S1238" s="193">
        <v>0</v>
      </c>
      <c r="T1238" s="193">
        <f>SUM(H1238:S1238)</f>
        <v>0</v>
      </c>
      <c r="U1238"/>
      <c r="V1238">
        <f>+PRESUPUESTO22[[#This Row],[EJECUTADO ]]-SUM(PRESUPUESTO22[[#This Row],[   ENERO ]:[DIC]])</f>
        <v>0</v>
      </c>
    </row>
    <row r="1239" spans="1:22" ht="15.95" customHeight="1" x14ac:dyDescent="0.25">
      <c r="A1239" s="52"/>
      <c r="B1239" s="156">
        <v>26020303</v>
      </c>
      <c r="C1239" s="130" t="str">
        <f t="shared" si="436"/>
        <v>E-26020303</v>
      </c>
      <c r="D1239" s="130">
        <v>1189</v>
      </c>
      <c r="E1239" s="156" t="s">
        <v>72</v>
      </c>
      <c r="F1239" s="216" t="s">
        <v>995</v>
      </c>
      <c r="G1239" s="193">
        <v>0</v>
      </c>
      <c r="H1239" s="193">
        <v>0</v>
      </c>
      <c r="I1239" s="193">
        <v>0</v>
      </c>
      <c r="J1239" s="193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>
        <v>0</v>
      </c>
      <c r="P1239" s="193">
        <v>0</v>
      </c>
      <c r="Q1239" s="193">
        <v>0</v>
      </c>
      <c r="R1239" s="193">
        <v>0</v>
      </c>
      <c r="S1239" s="193">
        <v>0</v>
      </c>
      <c r="T1239" s="193">
        <f>SUM(H1239:S1239)</f>
        <v>0</v>
      </c>
      <c r="U1239"/>
      <c r="V1239">
        <f>+PRESUPUESTO22[[#This Row],[EJECUTADO ]]-SUM(PRESUPUESTO22[[#This Row],[   ENERO ]:[DIC]])</f>
        <v>0</v>
      </c>
    </row>
    <row r="1240" spans="1:22" ht="15.95" customHeight="1" x14ac:dyDescent="0.25">
      <c r="A1240" s="52"/>
      <c r="B1240" s="156">
        <v>26020304</v>
      </c>
      <c r="C1240" s="130" t="str">
        <f t="shared" si="436"/>
        <v>E-26020304</v>
      </c>
      <c r="D1240" s="130">
        <v>1190</v>
      </c>
      <c r="E1240" s="156" t="s">
        <v>72</v>
      </c>
      <c r="F1240" s="216" t="s">
        <v>170</v>
      </c>
      <c r="G1240" s="193">
        <v>0</v>
      </c>
      <c r="H1240" s="193">
        <v>0</v>
      </c>
      <c r="I1240" s="193">
        <v>0</v>
      </c>
      <c r="J1240" s="193">
        <v>0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93">
        <v>0</v>
      </c>
      <c r="R1240" s="193">
        <v>0</v>
      </c>
      <c r="S1240" s="193">
        <v>0</v>
      </c>
      <c r="T1240" s="193">
        <f>SUM(H1240:S1240)</f>
        <v>0</v>
      </c>
      <c r="U1240"/>
      <c r="V1240">
        <f>+PRESUPUESTO22[[#This Row],[EJECUTADO ]]-SUM(PRESUPUESTO22[[#This Row],[   ENERO ]:[DIC]])</f>
        <v>0</v>
      </c>
    </row>
    <row r="1241" spans="1:22" ht="15.95" customHeight="1" x14ac:dyDescent="0.25">
      <c r="A1241" s="49">
        <v>27</v>
      </c>
      <c r="B1241" s="131">
        <v>27</v>
      </c>
      <c r="C1241" s="130" t="str">
        <f t="shared" si="436"/>
        <v>E-27</v>
      </c>
      <c r="D1241" s="130">
        <v>1191</v>
      </c>
      <c r="E1241" s="131" t="s">
        <v>67</v>
      </c>
      <c r="F1241" s="50" t="s">
        <v>51</v>
      </c>
      <c r="G1241" s="188">
        <v>100000</v>
      </c>
      <c r="H1241" s="188">
        <f t="shared" ref="H1241:T1241" si="457">SUM(H1242:H1248)</f>
        <v>8712</v>
      </c>
      <c r="I1241" s="188">
        <f t="shared" si="457"/>
        <v>7044</v>
      </c>
      <c r="J1241" s="188">
        <f t="shared" si="457"/>
        <v>11047</v>
      </c>
      <c r="K1241" s="188">
        <f t="shared" si="457"/>
        <v>8150</v>
      </c>
      <c r="L1241" s="188">
        <f t="shared" si="457"/>
        <v>8996</v>
      </c>
      <c r="M1241" s="188">
        <f t="shared" si="457"/>
        <v>14627</v>
      </c>
      <c r="N1241" s="188">
        <f t="shared" si="457"/>
        <v>10590</v>
      </c>
      <c r="O1241" s="188">
        <f t="shared" si="457"/>
        <v>9589</v>
      </c>
      <c r="P1241" s="188">
        <f t="shared" si="457"/>
        <v>12653</v>
      </c>
      <c r="Q1241" s="188">
        <f t="shared" si="457"/>
        <v>7109</v>
      </c>
      <c r="R1241" s="188">
        <f t="shared" si="457"/>
        <v>7205</v>
      </c>
      <c r="S1241" s="188">
        <f t="shared" si="457"/>
        <v>0</v>
      </c>
      <c r="T1241" s="188">
        <f t="shared" si="457"/>
        <v>105722</v>
      </c>
      <c r="U1241"/>
      <c r="V1241">
        <f>+PRESUPUESTO22[[#This Row],[EJECUTADO ]]-SUM(PRESUPUESTO22[[#This Row],[   ENERO ]:[DIC]])</f>
        <v>0</v>
      </c>
    </row>
    <row r="1242" spans="1:22" ht="15.95" customHeight="1" x14ac:dyDescent="0.25">
      <c r="A1242" s="52"/>
      <c r="B1242" s="156">
        <v>2701</v>
      </c>
      <c r="C1242" s="130" t="str">
        <f t="shared" si="436"/>
        <v>E-2701</v>
      </c>
      <c r="D1242" s="130">
        <v>1192</v>
      </c>
      <c r="E1242" s="156" t="s">
        <v>72</v>
      </c>
      <c r="F1242" s="216" t="s">
        <v>1441</v>
      </c>
      <c r="G1242" s="193">
        <v>0</v>
      </c>
      <c r="H1242" s="193">
        <v>5300</v>
      </c>
      <c r="I1242" s="193">
        <v>5300</v>
      </c>
      <c r="J1242" s="193">
        <v>5300</v>
      </c>
      <c r="K1242" s="193">
        <v>7540</v>
      </c>
      <c r="L1242" s="193">
        <v>7540</v>
      </c>
      <c r="M1242" s="193">
        <v>7540</v>
      </c>
      <c r="N1242" s="193">
        <v>7540</v>
      </c>
      <c r="O1242" s="193">
        <v>7540</v>
      </c>
      <c r="P1242" s="193">
        <v>5500</v>
      </c>
      <c r="Q1242" s="193">
        <f>5900+400</f>
        <v>6300</v>
      </c>
      <c r="R1242" s="193">
        <v>5900</v>
      </c>
      <c r="S1242" s="193">
        <v>0</v>
      </c>
      <c r="T1242" s="193">
        <f t="shared" ref="T1242:T1248" si="458">SUM(H1242:S1242)</f>
        <v>71300</v>
      </c>
      <c r="U1242"/>
      <c r="V1242">
        <f>+PRESUPUESTO22[[#This Row],[EJECUTADO ]]-SUM(PRESUPUESTO22[[#This Row],[   ENERO ]:[DIC]])</f>
        <v>0</v>
      </c>
    </row>
    <row r="1243" spans="1:22" ht="15.95" customHeight="1" x14ac:dyDescent="0.25">
      <c r="A1243" s="52"/>
      <c r="B1243" s="156">
        <v>2702</v>
      </c>
      <c r="C1243" s="130" t="str">
        <f t="shared" si="436"/>
        <v>E-2702</v>
      </c>
      <c r="D1243" s="130">
        <v>1193</v>
      </c>
      <c r="E1243" s="156" t="s">
        <v>72</v>
      </c>
      <c r="F1243" s="216" t="s">
        <v>997</v>
      </c>
      <c r="G1243" s="193">
        <v>0</v>
      </c>
      <c r="H1243" s="193">
        <f>58.45-0.45</f>
        <v>58</v>
      </c>
      <c r="I1243" s="193">
        <f>397.47+593.5+0.03</f>
        <v>991</v>
      </c>
      <c r="J1243" s="193">
        <f>117.32-0.32</f>
        <v>117</v>
      </c>
      <c r="K1243" s="193">
        <v>0</v>
      </c>
      <c r="L1243" s="193">
        <f>165.24-0.24</f>
        <v>165</v>
      </c>
      <c r="M1243" s="193">
        <f>926.97+0.03</f>
        <v>927</v>
      </c>
      <c r="N1243" s="193">
        <f>905.62+0.38</f>
        <v>906</v>
      </c>
      <c r="O1243" s="193">
        <v>0</v>
      </c>
      <c r="P1243" s="193">
        <f>170.88+0.12</f>
        <v>171</v>
      </c>
      <c r="Q1243" s="193">
        <v>0</v>
      </c>
      <c r="R1243" s="193">
        <v>0</v>
      </c>
      <c r="S1243" s="193">
        <v>0</v>
      </c>
      <c r="T1243" s="193">
        <f t="shared" si="458"/>
        <v>3335</v>
      </c>
      <c r="U1243"/>
      <c r="V1243">
        <f>+PRESUPUESTO22[[#This Row],[EJECUTADO ]]-SUM(PRESUPUESTO22[[#This Row],[   ENERO ]:[DIC]])</f>
        <v>0</v>
      </c>
    </row>
    <row r="1244" spans="1:22" ht="15.95" customHeight="1" x14ac:dyDescent="0.25">
      <c r="A1244" s="52"/>
      <c r="B1244" s="156">
        <v>2703</v>
      </c>
      <c r="C1244" s="130" t="str">
        <f t="shared" si="436"/>
        <v>E-2703</v>
      </c>
      <c r="D1244" s="130">
        <v>1194</v>
      </c>
      <c r="E1244" s="156" t="s">
        <v>72</v>
      </c>
      <c r="F1244" s="216" t="s">
        <v>998</v>
      </c>
      <c r="G1244" s="193">
        <v>0</v>
      </c>
      <c r="H1244" s="193">
        <f>440+11.5+641.3+0.2</f>
        <v>1093</v>
      </c>
      <c r="I1244" s="193">
        <f>347.5+0.5</f>
        <v>348</v>
      </c>
      <c r="J1244" s="193">
        <f>223+1267+906.15-0.15</f>
        <v>2396</v>
      </c>
      <c r="K1244" s="193">
        <v>0</v>
      </c>
      <c r="L1244" s="193">
        <v>231</v>
      </c>
      <c r="M1244" s="193">
        <f>312.2+825+453.13-0.33</f>
        <v>1590</v>
      </c>
      <c r="N1244" s="193">
        <v>74</v>
      </c>
      <c r="O1244" s="193">
        <f>782.75+0.25</f>
        <v>783</v>
      </c>
      <c r="P1244" s="193">
        <f>551.6+156.1+880+156.1+74.04+0.16</f>
        <v>1818</v>
      </c>
      <c r="Q1244" s="193">
        <v>0</v>
      </c>
      <c r="R1244" s="193">
        <v>0</v>
      </c>
      <c r="S1244" s="193">
        <v>0</v>
      </c>
      <c r="T1244" s="193">
        <f t="shared" si="458"/>
        <v>8333</v>
      </c>
      <c r="U1244"/>
      <c r="V1244">
        <f>+PRESUPUESTO22[[#This Row],[EJECUTADO ]]-SUM(PRESUPUESTO22[[#This Row],[   ENERO ]:[DIC]])</f>
        <v>0</v>
      </c>
    </row>
    <row r="1245" spans="1:22" ht="15.95" customHeight="1" x14ac:dyDescent="0.25">
      <c r="A1245" s="52"/>
      <c r="B1245" s="156">
        <v>2704</v>
      </c>
      <c r="C1245" s="130" t="str">
        <f t="shared" si="436"/>
        <v>E-2704</v>
      </c>
      <c r="D1245" s="130">
        <v>1195</v>
      </c>
      <c r="E1245" s="156" t="s">
        <v>72</v>
      </c>
      <c r="F1245" s="216" t="s">
        <v>999</v>
      </c>
      <c r="G1245" s="193">
        <v>0</v>
      </c>
      <c r="H1245" s="193">
        <f>240+42.4+415.6+528.18-0.18</f>
        <v>1225.9999999999998</v>
      </c>
      <c r="I1245" s="193">
        <f>249.72+0.28</f>
        <v>250</v>
      </c>
      <c r="J1245" s="193">
        <f>324.71+1520.6-0.31</f>
        <v>1845</v>
      </c>
      <c r="K1245" s="193">
        <v>0</v>
      </c>
      <c r="L1245" s="193">
        <f>408+114</f>
        <v>522</v>
      </c>
      <c r="M1245" s="193">
        <f>1037.07+1023.78+885.01+245+190+100.81+0.33</f>
        <v>3481.9999999999995</v>
      </c>
      <c r="N1245" s="193">
        <f>526.07+666-0.07</f>
        <v>1192.0000000000002</v>
      </c>
      <c r="O1245" s="193">
        <v>0</v>
      </c>
      <c r="P1245" s="193">
        <f>71.97+0.03</f>
        <v>72</v>
      </c>
      <c r="Q1245" s="193">
        <v>0</v>
      </c>
      <c r="R1245" s="193">
        <f>178.5+0.5</f>
        <v>179</v>
      </c>
      <c r="S1245" s="193">
        <v>0</v>
      </c>
      <c r="T1245" s="193">
        <f t="shared" si="458"/>
        <v>8768</v>
      </c>
      <c r="U1245"/>
      <c r="V1245">
        <f>+PRESUPUESTO22[[#This Row],[EJECUTADO ]]-SUM(PRESUPUESTO22[[#This Row],[   ENERO ]:[DIC]])</f>
        <v>0</v>
      </c>
    </row>
    <row r="1246" spans="1:22" ht="15.95" customHeight="1" x14ac:dyDescent="0.25">
      <c r="A1246" s="52"/>
      <c r="B1246" s="156">
        <v>2705</v>
      </c>
      <c r="C1246" s="130" t="str">
        <f t="shared" ref="C1246:C1309" si="459">"E"&amp;"-"&amp;B1246</f>
        <v>E-2705</v>
      </c>
      <c r="D1246" s="130">
        <v>1196</v>
      </c>
      <c r="E1246" s="156" t="s">
        <v>72</v>
      </c>
      <c r="F1246" s="216" t="s">
        <v>495</v>
      </c>
      <c r="G1246" s="193">
        <v>0</v>
      </c>
      <c r="H1246" s="193">
        <f>724.49+175.58+135.14-0.21</f>
        <v>1035</v>
      </c>
      <c r="I1246" s="193">
        <f>18.3+78+58.59+0.11</f>
        <v>155</v>
      </c>
      <c r="J1246" s="193">
        <f>16.74+172+92.37+390.26+106+125.75+464.2+22.02-0.34</f>
        <v>1389</v>
      </c>
      <c r="K1246" s="193">
        <f>18.37+6.5+0.13</f>
        <v>25</v>
      </c>
      <c r="L1246" s="193">
        <f>25.11+83.2+7-0.31</f>
        <v>115</v>
      </c>
      <c r="M1246" s="193">
        <f>61.86+687.82+216.86+38.94+82.65-0.13</f>
        <v>1088</v>
      </c>
      <c r="N1246" s="193">
        <f>331.41+380.35+166.49-0.25</f>
        <v>878</v>
      </c>
      <c r="O1246" s="193">
        <f>24.2+3.75+275+12.9+0.15</f>
        <v>315.99999999999994</v>
      </c>
      <c r="P1246" s="193">
        <f>249+1500+35.28+113.6+781.36+115.32+110.23+37.2+0.01</f>
        <v>2942</v>
      </c>
      <c r="Q1246" s="193">
        <f>615.29+68.67+4.48+3.6+116.75+0.21</f>
        <v>809</v>
      </c>
      <c r="R1246" s="193">
        <f>149.46+892.05+72.23+12.24+0.02</f>
        <v>1126</v>
      </c>
      <c r="S1246" s="193">
        <v>0</v>
      </c>
      <c r="T1246" s="193">
        <f t="shared" si="458"/>
        <v>9878</v>
      </c>
      <c r="U1246"/>
      <c r="V1246">
        <f>+PRESUPUESTO22[[#This Row],[EJECUTADO ]]-SUM(PRESUPUESTO22[[#This Row],[   ENERO ]:[DIC]])</f>
        <v>0</v>
      </c>
    </row>
    <row r="1247" spans="1:22" ht="15.95" customHeight="1" x14ac:dyDescent="0.25">
      <c r="A1247" s="52"/>
      <c r="B1247" s="156">
        <v>2706</v>
      </c>
      <c r="C1247" s="130" t="str">
        <f t="shared" si="459"/>
        <v>E-2706</v>
      </c>
      <c r="D1247" s="130">
        <v>1197</v>
      </c>
      <c r="E1247" s="156" t="s">
        <v>72</v>
      </c>
      <c r="F1247" s="216" t="s">
        <v>1000</v>
      </c>
      <c r="G1247" s="193">
        <v>0</v>
      </c>
      <c r="H1247" s="193">
        <v>0</v>
      </c>
      <c r="I1247" s="193">
        <v>0</v>
      </c>
      <c r="J1247" s="193">
        <v>0</v>
      </c>
      <c r="K1247" s="193">
        <v>260</v>
      </c>
      <c r="L1247" s="193">
        <v>0</v>
      </c>
      <c r="M1247" s="193">
        <v>0</v>
      </c>
      <c r="N1247" s="193">
        <v>0</v>
      </c>
      <c r="O1247" s="193">
        <v>0</v>
      </c>
      <c r="P1247" s="193">
        <v>0</v>
      </c>
      <c r="Q1247" s="193">
        <v>0</v>
      </c>
      <c r="R1247" s="193">
        <v>0</v>
      </c>
      <c r="S1247" s="193">
        <v>0</v>
      </c>
      <c r="T1247" s="193">
        <f t="shared" si="458"/>
        <v>260</v>
      </c>
      <c r="U1247"/>
      <c r="V1247">
        <f>+PRESUPUESTO22[[#This Row],[EJECUTADO ]]-SUM(PRESUPUESTO22[[#This Row],[   ENERO ]:[DIC]])</f>
        <v>0</v>
      </c>
    </row>
    <row r="1248" spans="1:22" ht="15.95" customHeight="1" x14ac:dyDescent="0.25">
      <c r="A1248" s="52"/>
      <c r="B1248" s="156">
        <v>2707</v>
      </c>
      <c r="C1248" s="130" t="str">
        <f t="shared" si="459"/>
        <v>E-2707</v>
      </c>
      <c r="D1248" s="130">
        <v>1198</v>
      </c>
      <c r="E1248" s="156" t="s">
        <v>72</v>
      </c>
      <c r="F1248" s="216" t="s">
        <v>1001</v>
      </c>
      <c r="G1248" s="193">
        <v>0</v>
      </c>
      <c r="H1248" s="193">
        <v>0</v>
      </c>
      <c r="I1248" s="193">
        <v>0</v>
      </c>
      <c r="J1248" s="193">
        <v>0</v>
      </c>
      <c r="K1248" s="193">
        <v>325</v>
      </c>
      <c r="L1248" s="193">
        <f>422.5+0.5</f>
        <v>423</v>
      </c>
      <c r="M1248" s="193">
        <v>0</v>
      </c>
      <c r="N1248" s="193">
        <v>0</v>
      </c>
      <c r="O1248" s="193">
        <f>949.51+0.49</f>
        <v>950</v>
      </c>
      <c r="P1248" s="193">
        <f>949.5+600+600+0.5</f>
        <v>2150</v>
      </c>
      <c r="Q1248" s="193">
        <v>0</v>
      </c>
      <c r="R1248" s="193">
        <v>0</v>
      </c>
      <c r="S1248" s="193">
        <v>0</v>
      </c>
      <c r="T1248" s="193">
        <f t="shared" si="458"/>
        <v>3848</v>
      </c>
      <c r="U1248"/>
      <c r="V1248">
        <f>+PRESUPUESTO22[[#This Row],[EJECUTADO ]]-SUM(PRESUPUESTO22[[#This Row],[   ENERO ]:[DIC]])</f>
        <v>0</v>
      </c>
    </row>
    <row r="1249" spans="1:23" ht="15.95" customHeight="1" x14ac:dyDescent="0.25">
      <c r="A1249" s="49">
        <v>28</v>
      </c>
      <c r="B1249" s="131">
        <v>28</v>
      </c>
      <c r="C1249" s="130" t="str">
        <f t="shared" si="459"/>
        <v>E-28</v>
      </c>
      <c r="D1249" s="130">
        <v>1199</v>
      </c>
      <c r="E1249" s="131" t="s">
        <v>67</v>
      </c>
      <c r="F1249" s="50" t="s">
        <v>23</v>
      </c>
      <c r="G1249" s="188">
        <v>50000</v>
      </c>
      <c r="H1249" s="188">
        <f t="shared" ref="H1249:R1249" si="460">+H1250+H1254</f>
        <v>0</v>
      </c>
      <c r="I1249" s="188">
        <f t="shared" si="460"/>
        <v>5725</v>
      </c>
      <c r="J1249" s="188">
        <f t="shared" si="460"/>
        <v>9455</v>
      </c>
      <c r="K1249" s="188">
        <f t="shared" si="460"/>
        <v>0</v>
      </c>
      <c r="L1249" s="188">
        <f t="shared" si="460"/>
        <v>2825</v>
      </c>
      <c r="M1249" s="188">
        <f t="shared" si="460"/>
        <v>0</v>
      </c>
      <c r="N1249" s="188">
        <f t="shared" si="460"/>
        <v>0</v>
      </c>
      <c r="O1249" s="188">
        <f t="shared" si="460"/>
        <v>0</v>
      </c>
      <c r="P1249" s="188">
        <f t="shared" si="460"/>
        <v>0</v>
      </c>
      <c r="Q1249" s="188">
        <f t="shared" si="460"/>
        <v>0</v>
      </c>
      <c r="R1249" s="188">
        <f t="shared" si="460"/>
        <v>0</v>
      </c>
      <c r="S1249" s="188">
        <f>+S1250+S1254</f>
        <v>0</v>
      </c>
      <c r="T1249" s="188">
        <f>+T1250+T1254</f>
        <v>18005</v>
      </c>
      <c r="U1249" t="s">
        <v>1</v>
      </c>
      <c r="V1249">
        <f>+PRESUPUESTO22[[#This Row],[EJECUTADO ]]-SUM(PRESUPUESTO22[[#This Row],[   ENERO ]:[DIC]])</f>
        <v>0</v>
      </c>
    </row>
    <row r="1250" spans="1:23" ht="15.95" customHeight="1" x14ac:dyDescent="0.25">
      <c r="A1250" s="52">
        <v>1</v>
      </c>
      <c r="B1250" s="157">
        <v>2801</v>
      </c>
      <c r="C1250" s="130" t="str">
        <f t="shared" si="459"/>
        <v>E-2801</v>
      </c>
      <c r="D1250" s="130">
        <v>1200</v>
      </c>
      <c r="E1250" s="157" t="s">
        <v>69</v>
      </c>
      <c r="F1250" s="234" t="s">
        <v>1002</v>
      </c>
      <c r="G1250" s="234">
        <f>SUM(G1251:G1253)</f>
        <v>0</v>
      </c>
      <c r="H1250" s="234">
        <f>SUM(H1251:H1253)</f>
        <v>0</v>
      </c>
      <c r="I1250" s="234">
        <f t="shared" ref="I1250:T1250" si="461">SUM(I1251:I1253)</f>
        <v>0</v>
      </c>
      <c r="J1250" s="234">
        <f t="shared" si="461"/>
        <v>0</v>
      </c>
      <c r="K1250" s="234">
        <f t="shared" si="461"/>
        <v>0</v>
      </c>
      <c r="L1250" s="234">
        <f t="shared" si="461"/>
        <v>0</v>
      </c>
      <c r="M1250" s="234">
        <f t="shared" si="461"/>
        <v>0</v>
      </c>
      <c r="N1250" s="234">
        <f t="shared" si="461"/>
        <v>0</v>
      </c>
      <c r="O1250" s="234">
        <f t="shared" si="461"/>
        <v>0</v>
      </c>
      <c r="P1250" s="234">
        <f t="shared" si="461"/>
        <v>0</v>
      </c>
      <c r="Q1250" s="234">
        <f t="shared" si="461"/>
        <v>0</v>
      </c>
      <c r="R1250" s="234">
        <f t="shared" si="461"/>
        <v>0</v>
      </c>
      <c r="S1250" s="234">
        <f t="shared" si="461"/>
        <v>0</v>
      </c>
      <c r="T1250" s="234">
        <f t="shared" si="461"/>
        <v>0</v>
      </c>
      <c r="U1250"/>
      <c r="V1250">
        <f>+PRESUPUESTO22[[#This Row],[EJECUTADO ]]-SUM(PRESUPUESTO22[[#This Row],[   ENERO ]:[DIC]])</f>
        <v>0</v>
      </c>
    </row>
    <row r="1251" spans="1:23" ht="15.95" customHeight="1" x14ac:dyDescent="0.25">
      <c r="A1251" s="52"/>
      <c r="B1251" s="156">
        <v>280101</v>
      </c>
      <c r="C1251" s="130" t="str">
        <f t="shared" si="459"/>
        <v>E-280101</v>
      </c>
      <c r="D1251" s="130">
        <v>1201</v>
      </c>
      <c r="E1251" s="156" t="s">
        <v>72</v>
      </c>
      <c r="F1251" s="216" t="s">
        <v>1003</v>
      </c>
      <c r="G1251" s="193">
        <v>0</v>
      </c>
      <c r="H1251" s="193">
        <v>0</v>
      </c>
      <c r="I1251" s="193">
        <v>0</v>
      </c>
      <c r="J1251" s="193">
        <v>0</v>
      </c>
      <c r="K1251" s="193">
        <v>0</v>
      </c>
      <c r="L1251" s="193">
        <v>0</v>
      </c>
      <c r="M1251" s="193">
        <v>0</v>
      </c>
      <c r="N1251" s="193">
        <v>0</v>
      </c>
      <c r="O1251" s="193">
        <v>0</v>
      </c>
      <c r="P1251" s="193">
        <v>0</v>
      </c>
      <c r="Q1251" s="193">
        <v>0</v>
      </c>
      <c r="R1251" s="193">
        <v>0</v>
      </c>
      <c r="S1251" s="193">
        <v>0</v>
      </c>
      <c r="T1251" s="193">
        <f>SUM(H1251:S1251)</f>
        <v>0</v>
      </c>
      <c r="U1251"/>
      <c r="V1251">
        <f>+PRESUPUESTO22[[#This Row],[EJECUTADO ]]-SUM(PRESUPUESTO22[[#This Row],[   ENERO ]:[DIC]])</f>
        <v>0</v>
      </c>
    </row>
    <row r="1252" spans="1:23" ht="15.95" customHeight="1" x14ac:dyDescent="0.25">
      <c r="A1252" s="52"/>
      <c r="B1252" s="156">
        <v>280102</v>
      </c>
      <c r="C1252" s="130" t="str">
        <f t="shared" si="459"/>
        <v>E-280102</v>
      </c>
      <c r="D1252" s="130">
        <v>1202</v>
      </c>
      <c r="E1252" s="156" t="s">
        <v>72</v>
      </c>
      <c r="F1252" s="216" t="s">
        <v>1004</v>
      </c>
      <c r="G1252" s="193">
        <v>0</v>
      </c>
      <c r="H1252" s="193">
        <v>0</v>
      </c>
      <c r="I1252" s="193">
        <v>0</v>
      </c>
      <c r="J1252" s="193">
        <v>0</v>
      </c>
      <c r="K1252" s="193">
        <v>0</v>
      </c>
      <c r="L1252" s="193">
        <v>0</v>
      </c>
      <c r="M1252" s="193">
        <v>0</v>
      </c>
      <c r="N1252" s="193">
        <v>0</v>
      </c>
      <c r="O1252" s="193">
        <v>0</v>
      </c>
      <c r="P1252" s="193">
        <v>0</v>
      </c>
      <c r="Q1252" s="193">
        <v>0</v>
      </c>
      <c r="R1252" s="193">
        <v>0</v>
      </c>
      <c r="S1252" s="193">
        <v>0</v>
      </c>
      <c r="T1252" s="193">
        <f>SUM(H1252:S1252)</f>
        <v>0</v>
      </c>
      <c r="U1252"/>
      <c r="V1252">
        <f>+PRESUPUESTO22[[#This Row],[EJECUTADO ]]-SUM(PRESUPUESTO22[[#This Row],[   ENERO ]:[DIC]])</f>
        <v>0</v>
      </c>
    </row>
    <row r="1253" spans="1:23" ht="15.95" customHeight="1" x14ac:dyDescent="0.25">
      <c r="A1253" s="52"/>
      <c r="B1253" s="156">
        <v>280103</v>
      </c>
      <c r="C1253" s="130" t="str">
        <f t="shared" si="459"/>
        <v>E-280103</v>
      </c>
      <c r="D1253" s="130">
        <v>1203</v>
      </c>
      <c r="E1253" s="156" t="s">
        <v>72</v>
      </c>
      <c r="F1253" s="216" t="s">
        <v>1005</v>
      </c>
      <c r="G1253" s="193">
        <v>0</v>
      </c>
      <c r="H1253" s="193">
        <v>0</v>
      </c>
      <c r="I1253" s="193">
        <v>0</v>
      </c>
      <c r="J1253" s="193">
        <v>0</v>
      </c>
      <c r="K1253" s="193">
        <v>0</v>
      </c>
      <c r="L1253" s="193">
        <v>0</v>
      </c>
      <c r="M1253" s="193">
        <v>0</v>
      </c>
      <c r="N1253" s="193">
        <v>0</v>
      </c>
      <c r="O1253" s="193">
        <v>0</v>
      </c>
      <c r="P1253" s="193">
        <v>0</v>
      </c>
      <c r="Q1253" s="193">
        <v>0</v>
      </c>
      <c r="R1253" s="193">
        <v>0</v>
      </c>
      <c r="S1253" s="193">
        <v>0</v>
      </c>
      <c r="T1253" s="193">
        <f>SUM(H1253:S1253)</f>
        <v>0</v>
      </c>
      <c r="U1253"/>
      <c r="V1253">
        <f>+PRESUPUESTO22[[#This Row],[EJECUTADO ]]-SUM(PRESUPUESTO22[[#This Row],[   ENERO ]:[DIC]])</f>
        <v>0</v>
      </c>
    </row>
    <row r="1254" spans="1:23" ht="15.95" customHeight="1" x14ac:dyDescent="0.25">
      <c r="A1254" s="52">
        <v>2</v>
      </c>
      <c r="B1254" s="157">
        <v>2802</v>
      </c>
      <c r="C1254" s="130" t="str">
        <f t="shared" si="459"/>
        <v>E-2802</v>
      </c>
      <c r="D1254" s="130">
        <v>1204</v>
      </c>
      <c r="E1254" s="173" t="s">
        <v>69</v>
      </c>
      <c r="F1254" s="234" t="s">
        <v>1006</v>
      </c>
      <c r="G1254" s="234">
        <f>+G1255+G1260</f>
        <v>18005</v>
      </c>
      <c r="H1254" s="234">
        <f>+H1255+H1260</f>
        <v>0</v>
      </c>
      <c r="I1254" s="234">
        <f t="shared" ref="I1254:T1254" si="462">+I1255+I1260</f>
        <v>5725</v>
      </c>
      <c r="J1254" s="234">
        <f t="shared" si="462"/>
        <v>9455</v>
      </c>
      <c r="K1254" s="234">
        <f t="shared" si="462"/>
        <v>0</v>
      </c>
      <c r="L1254" s="234">
        <f t="shared" si="462"/>
        <v>2825</v>
      </c>
      <c r="M1254" s="234">
        <f t="shared" si="462"/>
        <v>0</v>
      </c>
      <c r="N1254" s="234">
        <f t="shared" si="462"/>
        <v>0</v>
      </c>
      <c r="O1254" s="234">
        <f t="shared" si="462"/>
        <v>0</v>
      </c>
      <c r="P1254" s="234">
        <f t="shared" si="462"/>
        <v>0</v>
      </c>
      <c r="Q1254" s="234">
        <f t="shared" si="462"/>
        <v>0</v>
      </c>
      <c r="R1254" s="234">
        <f t="shared" si="462"/>
        <v>0</v>
      </c>
      <c r="S1254" s="234">
        <f t="shared" si="462"/>
        <v>0</v>
      </c>
      <c r="T1254" s="234">
        <f t="shared" si="462"/>
        <v>18005</v>
      </c>
      <c r="U1254"/>
      <c r="V1254">
        <f>+PRESUPUESTO22[[#This Row],[EJECUTADO ]]-SUM(PRESUPUESTO22[[#This Row],[   ENERO ]:[DIC]])</f>
        <v>0</v>
      </c>
    </row>
    <row r="1255" spans="1:23" ht="15.75" customHeight="1" x14ac:dyDescent="0.25">
      <c r="A1255" s="52"/>
      <c r="B1255" s="138">
        <v>280201</v>
      </c>
      <c r="C1255" s="130" t="str">
        <f t="shared" si="459"/>
        <v>E-280201</v>
      </c>
      <c r="D1255" s="130">
        <v>1205</v>
      </c>
      <c r="E1255" s="138" t="s">
        <v>69</v>
      </c>
      <c r="F1255" s="116" t="s">
        <v>1007</v>
      </c>
      <c r="G1255" s="254">
        <f>SUM(G1256:G1259)</f>
        <v>9225</v>
      </c>
      <c r="H1255" s="254">
        <f>SUM(H1256:H1259)</f>
        <v>0</v>
      </c>
      <c r="I1255" s="254">
        <f t="shared" ref="I1255:T1255" si="463">SUM(I1256:I1259)</f>
        <v>5725</v>
      </c>
      <c r="J1255" s="254">
        <f t="shared" si="463"/>
        <v>3500</v>
      </c>
      <c r="K1255" s="254">
        <f t="shared" si="463"/>
        <v>0</v>
      </c>
      <c r="L1255" s="254">
        <f t="shared" si="463"/>
        <v>0</v>
      </c>
      <c r="M1255" s="254">
        <f t="shared" si="463"/>
        <v>0</v>
      </c>
      <c r="N1255" s="254">
        <f t="shared" si="463"/>
        <v>0</v>
      </c>
      <c r="O1255" s="254">
        <f t="shared" si="463"/>
        <v>0</v>
      </c>
      <c r="P1255" s="254">
        <f t="shared" si="463"/>
        <v>0</v>
      </c>
      <c r="Q1255" s="254">
        <f t="shared" si="463"/>
        <v>0</v>
      </c>
      <c r="R1255" s="254">
        <f t="shared" si="463"/>
        <v>0</v>
      </c>
      <c r="S1255" s="254">
        <f t="shared" si="463"/>
        <v>0</v>
      </c>
      <c r="T1255" s="254">
        <f t="shared" si="463"/>
        <v>9225</v>
      </c>
      <c r="U1255"/>
      <c r="V1255">
        <f>+PRESUPUESTO22[[#This Row],[EJECUTADO ]]-SUM(PRESUPUESTO22[[#This Row],[   ENERO ]:[DIC]])</f>
        <v>0</v>
      </c>
    </row>
    <row r="1256" spans="1:23" ht="15.95" customHeight="1" x14ac:dyDescent="0.25">
      <c r="A1256" s="52"/>
      <c r="B1256" s="132">
        <v>28020101</v>
      </c>
      <c r="C1256" s="130" t="str">
        <f t="shared" si="459"/>
        <v>E-28020101</v>
      </c>
      <c r="D1256" s="130">
        <v>1206</v>
      </c>
      <c r="E1256" s="132" t="s">
        <v>72</v>
      </c>
      <c r="F1256" s="345" t="s">
        <v>1008</v>
      </c>
      <c r="G1256" s="193">
        <v>1500</v>
      </c>
      <c r="H1256" s="193">
        <v>0</v>
      </c>
      <c r="I1256" s="193">
        <v>0</v>
      </c>
      <c r="J1256" s="193">
        <v>1500</v>
      </c>
      <c r="K1256" s="193">
        <v>0</v>
      </c>
      <c r="L1256" s="193">
        <v>0</v>
      </c>
      <c r="M1256" s="193">
        <v>0</v>
      </c>
      <c r="N1256" s="193">
        <v>0</v>
      </c>
      <c r="O1256" s="193">
        <v>0</v>
      </c>
      <c r="P1256" s="193">
        <v>0</v>
      </c>
      <c r="Q1256" s="193">
        <v>0</v>
      </c>
      <c r="R1256" s="193">
        <v>0</v>
      </c>
      <c r="S1256" s="193">
        <v>0</v>
      </c>
      <c r="T1256" s="193">
        <f>SUM(H1256:S1256)</f>
        <v>1500</v>
      </c>
      <c r="U1256"/>
      <c r="V1256">
        <f>+PRESUPUESTO22[[#This Row],[EJECUTADO ]]-SUM(PRESUPUESTO22[[#This Row],[   ENERO ]:[DIC]])</f>
        <v>0</v>
      </c>
      <c r="W1256"/>
    </row>
    <row r="1257" spans="1:23" ht="15.95" customHeight="1" x14ac:dyDescent="0.25">
      <c r="A1257" s="52"/>
      <c r="B1257" s="132">
        <v>28020102</v>
      </c>
      <c r="C1257" s="130" t="str">
        <f t="shared" si="459"/>
        <v>E-28020102</v>
      </c>
      <c r="D1257" s="130">
        <v>1207</v>
      </c>
      <c r="E1257" s="132" t="s">
        <v>72</v>
      </c>
      <c r="F1257" s="345" t="s">
        <v>1009</v>
      </c>
      <c r="G1257" s="193">
        <v>500</v>
      </c>
      <c r="H1257" s="193">
        <v>0</v>
      </c>
      <c r="I1257" s="193">
        <v>0</v>
      </c>
      <c r="J1257" s="193">
        <v>500</v>
      </c>
      <c r="K1257" s="193">
        <v>0</v>
      </c>
      <c r="L1257" s="193">
        <v>0</v>
      </c>
      <c r="M1257" s="193">
        <v>0</v>
      </c>
      <c r="N1257" s="193">
        <v>0</v>
      </c>
      <c r="O1257" s="193">
        <v>0</v>
      </c>
      <c r="P1257" s="193">
        <v>0</v>
      </c>
      <c r="Q1257" s="193">
        <v>0</v>
      </c>
      <c r="R1257" s="193">
        <v>0</v>
      </c>
      <c r="S1257" s="193">
        <v>0</v>
      </c>
      <c r="T1257" s="193">
        <f>SUM(H1257:S1257)</f>
        <v>500</v>
      </c>
      <c r="U1257"/>
      <c r="V1257">
        <f>+PRESUPUESTO22[[#This Row],[EJECUTADO ]]-SUM(PRESUPUESTO22[[#This Row],[   ENERO ]:[DIC]])</f>
        <v>0</v>
      </c>
      <c r="W1257"/>
    </row>
    <row r="1258" spans="1:23" ht="15.95" customHeight="1" x14ac:dyDescent="0.25">
      <c r="A1258" s="52"/>
      <c r="B1258" s="132">
        <v>28020103</v>
      </c>
      <c r="C1258" s="130" t="str">
        <f t="shared" si="459"/>
        <v>E-28020103</v>
      </c>
      <c r="D1258" s="130">
        <v>1208</v>
      </c>
      <c r="E1258" s="132" t="s">
        <v>72</v>
      </c>
      <c r="F1258" s="345" t="s">
        <v>1010</v>
      </c>
      <c r="G1258" s="193">
        <v>5725</v>
      </c>
      <c r="H1258" s="193">
        <v>0</v>
      </c>
      <c r="I1258" s="193">
        <v>5725</v>
      </c>
      <c r="J1258" s="193">
        <v>0</v>
      </c>
      <c r="K1258" s="193">
        <v>0</v>
      </c>
      <c r="L1258" s="193">
        <v>0</v>
      </c>
      <c r="M1258" s="193">
        <v>0</v>
      </c>
      <c r="N1258" s="193">
        <v>0</v>
      </c>
      <c r="O1258" s="193">
        <v>0</v>
      </c>
      <c r="P1258" s="193">
        <v>0</v>
      </c>
      <c r="Q1258" s="193">
        <v>0</v>
      </c>
      <c r="R1258" s="193">
        <v>0</v>
      </c>
      <c r="S1258" s="193">
        <v>0</v>
      </c>
      <c r="T1258" s="193">
        <f>SUM(H1258:S1258)</f>
        <v>5725</v>
      </c>
      <c r="U1258"/>
      <c r="V1258">
        <f>+PRESUPUESTO22[[#This Row],[EJECUTADO ]]-SUM(PRESUPUESTO22[[#This Row],[   ENERO ]:[DIC]])</f>
        <v>0</v>
      </c>
      <c r="W1258"/>
    </row>
    <row r="1259" spans="1:23" ht="15.95" customHeight="1" x14ac:dyDescent="0.25">
      <c r="A1259" s="52"/>
      <c r="B1259" s="132">
        <v>28020104</v>
      </c>
      <c r="C1259" s="130" t="str">
        <f t="shared" si="459"/>
        <v>E-28020104</v>
      </c>
      <c r="D1259" s="130">
        <v>1209</v>
      </c>
      <c r="E1259" s="132" t="s">
        <v>72</v>
      </c>
      <c r="F1259" s="345" t="s">
        <v>1011</v>
      </c>
      <c r="G1259" s="193">
        <v>1500</v>
      </c>
      <c r="H1259" s="193">
        <v>0</v>
      </c>
      <c r="I1259" s="193">
        <v>0</v>
      </c>
      <c r="J1259" s="193">
        <v>1500</v>
      </c>
      <c r="K1259" s="193">
        <v>0</v>
      </c>
      <c r="L1259" s="193">
        <v>0</v>
      </c>
      <c r="M1259" s="193">
        <v>0</v>
      </c>
      <c r="N1259" s="193">
        <v>0</v>
      </c>
      <c r="O1259" s="193">
        <v>0</v>
      </c>
      <c r="P1259" s="193">
        <v>0</v>
      </c>
      <c r="Q1259" s="193">
        <v>0</v>
      </c>
      <c r="R1259" s="193">
        <v>0</v>
      </c>
      <c r="S1259" s="193">
        <v>0</v>
      </c>
      <c r="T1259" s="193">
        <f>SUM(H1259:S1259)</f>
        <v>1500</v>
      </c>
      <c r="U1259"/>
      <c r="V1259">
        <f>+PRESUPUESTO22[[#This Row],[EJECUTADO ]]-SUM(PRESUPUESTO22[[#This Row],[   ENERO ]:[DIC]])</f>
        <v>0</v>
      </c>
      <c r="W1259"/>
    </row>
    <row r="1260" spans="1:23" ht="15.95" customHeight="1" x14ac:dyDescent="0.25">
      <c r="A1260" s="52"/>
      <c r="B1260" s="138">
        <v>280202</v>
      </c>
      <c r="C1260" s="130" t="str">
        <f t="shared" si="459"/>
        <v>E-280202</v>
      </c>
      <c r="D1260" s="130">
        <v>1210</v>
      </c>
      <c r="E1260" s="138" t="s">
        <v>69</v>
      </c>
      <c r="F1260" s="116" t="s">
        <v>1012</v>
      </c>
      <c r="G1260" s="254">
        <f t="shared" ref="G1260:T1260" si="464">SUM(G1261:G1264)</f>
        <v>8780</v>
      </c>
      <c r="H1260" s="254">
        <f t="shared" si="464"/>
        <v>0</v>
      </c>
      <c r="I1260" s="254">
        <f t="shared" si="464"/>
        <v>0</v>
      </c>
      <c r="J1260" s="254">
        <f t="shared" si="464"/>
        <v>5955</v>
      </c>
      <c r="K1260" s="254">
        <f t="shared" si="464"/>
        <v>0</v>
      </c>
      <c r="L1260" s="254">
        <f t="shared" si="464"/>
        <v>2825</v>
      </c>
      <c r="M1260" s="254">
        <f t="shared" si="464"/>
        <v>0</v>
      </c>
      <c r="N1260" s="254">
        <f t="shared" si="464"/>
        <v>0</v>
      </c>
      <c r="O1260" s="254">
        <f t="shared" si="464"/>
        <v>0</v>
      </c>
      <c r="P1260" s="254">
        <f t="shared" si="464"/>
        <v>0</v>
      </c>
      <c r="Q1260" s="254">
        <f t="shared" si="464"/>
        <v>0</v>
      </c>
      <c r="R1260" s="254">
        <f t="shared" si="464"/>
        <v>0</v>
      </c>
      <c r="S1260" s="254">
        <f t="shared" si="464"/>
        <v>0</v>
      </c>
      <c r="T1260" s="254">
        <f t="shared" si="464"/>
        <v>8780</v>
      </c>
      <c r="U1260"/>
      <c r="V1260">
        <f>+PRESUPUESTO22[[#This Row],[EJECUTADO ]]-SUM(PRESUPUESTO22[[#This Row],[   ENERO ]:[DIC]])</f>
        <v>0</v>
      </c>
      <c r="W1260"/>
    </row>
    <row r="1261" spans="1:23" ht="15.95" customHeight="1" x14ac:dyDescent="0.25">
      <c r="A1261" s="52"/>
      <c r="B1261" s="132">
        <v>28020201</v>
      </c>
      <c r="C1261" s="130" t="str">
        <f t="shared" si="459"/>
        <v>E-28020201</v>
      </c>
      <c r="D1261" s="130">
        <v>1211</v>
      </c>
      <c r="E1261" s="132" t="s">
        <v>72</v>
      </c>
      <c r="F1261" s="345" t="s">
        <v>1013</v>
      </c>
      <c r="G1261" s="193">
        <v>2825</v>
      </c>
      <c r="H1261" s="193">
        <v>0</v>
      </c>
      <c r="I1261" s="193">
        <v>0</v>
      </c>
      <c r="J1261" s="193">
        <v>0</v>
      </c>
      <c r="K1261" s="193">
        <v>0</v>
      </c>
      <c r="L1261" s="193">
        <v>2825</v>
      </c>
      <c r="M1261" s="193">
        <v>0</v>
      </c>
      <c r="N1261" s="193">
        <v>0</v>
      </c>
      <c r="O1261" s="193">
        <v>0</v>
      </c>
      <c r="P1261" s="193">
        <v>0</v>
      </c>
      <c r="Q1261" s="193">
        <v>0</v>
      </c>
      <c r="R1261" s="193">
        <v>0</v>
      </c>
      <c r="S1261" s="193">
        <v>0</v>
      </c>
      <c r="T1261" s="193">
        <f>SUM(H1261:S1261)</f>
        <v>2825</v>
      </c>
      <c r="U1261"/>
      <c r="V1261">
        <f>+PRESUPUESTO22[[#This Row],[EJECUTADO ]]-SUM(PRESUPUESTO22[[#This Row],[   ENERO ]:[DIC]])</f>
        <v>0</v>
      </c>
      <c r="W1261"/>
    </row>
    <row r="1262" spans="1:23" ht="15.95" customHeight="1" x14ac:dyDescent="0.25">
      <c r="A1262" s="52"/>
      <c r="B1262" s="132">
        <v>28020202</v>
      </c>
      <c r="C1262" s="130" t="str">
        <f t="shared" si="459"/>
        <v>E-28020202</v>
      </c>
      <c r="D1262" s="130">
        <v>1212</v>
      </c>
      <c r="E1262" s="132" t="s">
        <v>72</v>
      </c>
      <c r="F1262" s="345" t="s">
        <v>1014</v>
      </c>
      <c r="G1262" s="193">
        <f>1140+215</f>
        <v>1355</v>
      </c>
      <c r="H1262" s="193">
        <v>0</v>
      </c>
      <c r="I1262" s="193">
        <v>0</v>
      </c>
      <c r="J1262" s="193">
        <v>1355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93">
        <v>0</v>
      </c>
      <c r="R1262" s="193">
        <v>0</v>
      </c>
      <c r="S1262" s="193">
        <v>0</v>
      </c>
      <c r="T1262" s="193">
        <f>SUM(H1262:S1262)</f>
        <v>1355</v>
      </c>
      <c r="U1262"/>
      <c r="V1262">
        <f>+PRESUPUESTO22[[#This Row],[EJECUTADO ]]-SUM(PRESUPUESTO22[[#This Row],[   ENERO ]:[DIC]])</f>
        <v>0</v>
      </c>
      <c r="W1262"/>
    </row>
    <row r="1263" spans="1:23" ht="15.95" customHeight="1" x14ac:dyDescent="0.25">
      <c r="A1263" s="52"/>
      <c r="B1263" s="132">
        <v>28020203</v>
      </c>
      <c r="C1263" s="130" t="str">
        <f t="shared" si="459"/>
        <v>E-28020203</v>
      </c>
      <c r="D1263" s="130">
        <v>1213</v>
      </c>
      <c r="E1263" s="132" t="s">
        <v>72</v>
      </c>
      <c r="F1263" s="345" t="s">
        <v>1015</v>
      </c>
      <c r="G1263" s="193">
        <v>800</v>
      </c>
      <c r="H1263" s="193">
        <v>0</v>
      </c>
      <c r="I1263" s="193">
        <v>0</v>
      </c>
      <c r="J1263" s="193">
        <v>800</v>
      </c>
      <c r="K1263" s="193">
        <v>0</v>
      </c>
      <c r="L1263" s="193">
        <v>0</v>
      </c>
      <c r="M1263" s="193">
        <v>0</v>
      </c>
      <c r="N1263" s="193">
        <v>0</v>
      </c>
      <c r="O1263" s="193">
        <v>0</v>
      </c>
      <c r="P1263" s="193">
        <v>0</v>
      </c>
      <c r="Q1263" s="193">
        <v>0</v>
      </c>
      <c r="R1263" s="193">
        <v>0</v>
      </c>
      <c r="S1263" s="193">
        <v>0</v>
      </c>
      <c r="T1263" s="193">
        <f>SUM(H1263:S1263)</f>
        <v>800</v>
      </c>
      <c r="U1263"/>
      <c r="V1263">
        <f>+PRESUPUESTO22[[#This Row],[EJECUTADO ]]-SUM(PRESUPUESTO22[[#This Row],[   ENERO ]:[DIC]])</f>
        <v>0</v>
      </c>
      <c r="W1263"/>
    </row>
    <row r="1264" spans="1:23" ht="15.95" customHeight="1" x14ac:dyDescent="0.25">
      <c r="A1264" s="52"/>
      <c r="B1264" s="132">
        <v>28020204</v>
      </c>
      <c r="C1264" s="130" t="str">
        <f t="shared" si="459"/>
        <v>E-28020204</v>
      </c>
      <c r="D1264" s="130">
        <v>1214</v>
      </c>
      <c r="E1264" s="132" t="s">
        <v>72</v>
      </c>
      <c r="F1264" s="345" t="s">
        <v>927</v>
      </c>
      <c r="G1264" s="193">
        <v>3800</v>
      </c>
      <c r="H1264" s="193">
        <v>0</v>
      </c>
      <c r="I1264" s="193">
        <v>0</v>
      </c>
      <c r="J1264" s="193">
        <v>3800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93">
        <v>0</v>
      </c>
      <c r="R1264" s="193">
        <v>0</v>
      </c>
      <c r="S1264" s="193">
        <v>0</v>
      </c>
      <c r="T1264" s="193">
        <f>SUM(H1264:S1264)</f>
        <v>3800</v>
      </c>
      <c r="U1264"/>
      <c r="V1264">
        <f>+PRESUPUESTO22[[#This Row],[EJECUTADO ]]-SUM(PRESUPUESTO22[[#This Row],[   ENERO ]:[DIC]])</f>
        <v>0</v>
      </c>
    </row>
    <row r="1265" spans="1:23" ht="15.95" customHeight="1" x14ac:dyDescent="0.25">
      <c r="A1265" s="49">
        <v>29</v>
      </c>
      <c r="B1265" s="131">
        <v>29</v>
      </c>
      <c r="C1265" s="130" t="str">
        <f t="shared" si="459"/>
        <v>E-29</v>
      </c>
      <c r="D1265" s="130">
        <v>1215</v>
      </c>
      <c r="E1265" s="131" t="s">
        <v>67</v>
      </c>
      <c r="F1265" s="50" t="s">
        <v>52</v>
      </c>
      <c r="G1265" s="188">
        <v>65000</v>
      </c>
      <c r="H1265" s="188">
        <f t="shared" ref="H1265:T1265" si="465">+H1266+H1267+H1269+H1277+H1274</f>
        <v>5242</v>
      </c>
      <c r="I1265" s="188">
        <f t="shared" si="465"/>
        <v>4598</v>
      </c>
      <c r="J1265" s="188">
        <f t="shared" si="465"/>
        <v>5485</v>
      </c>
      <c r="K1265" s="188">
        <f t="shared" si="465"/>
        <v>5182</v>
      </c>
      <c r="L1265" s="188">
        <f t="shared" si="465"/>
        <v>6769</v>
      </c>
      <c r="M1265" s="188">
        <f t="shared" si="465"/>
        <v>11527</v>
      </c>
      <c r="N1265" s="188">
        <f t="shared" si="465"/>
        <v>4320</v>
      </c>
      <c r="O1265" s="188">
        <f t="shared" si="465"/>
        <v>5182</v>
      </c>
      <c r="P1265" s="188">
        <f t="shared" si="465"/>
        <v>5210</v>
      </c>
      <c r="Q1265" s="188">
        <f t="shared" si="465"/>
        <v>4014</v>
      </c>
      <c r="R1265" s="188">
        <f t="shared" si="465"/>
        <v>7572</v>
      </c>
      <c r="S1265" s="188">
        <f t="shared" si="465"/>
        <v>0</v>
      </c>
      <c r="T1265" s="188">
        <f t="shared" si="465"/>
        <v>65101</v>
      </c>
      <c r="U1265"/>
      <c r="V1265">
        <f>+PRESUPUESTO22[[#This Row],[EJECUTADO ]]-SUM(PRESUPUESTO22[[#This Row],[   ENERO ]:[DIC]])</f>
        <v>0</v>
      </c>
      <c r="W1265"/>
    </row>
    <row r="1266" spans="1:23" ht="15.95" customHeight="1" x14ac:dyDescent="0.25">
      <c r="A1266" s="48">
        <v>1</v>
      </c>
      <c r="B1266" s="296">
        <v>2901</v>
      </c>
      <c r="C1266" s="130" t="str">
        <f t="shared" si="459"/>
        <v>E-2901</v>
      </c>
      <c r="D1266" s="130">
        <v>1216</v>
      </c>
      <c r="E1266" s="182" t="s">
        <v>72</v>
      </c>
      <c r="F1266" s="255" t="s">
        <v>1016</v>
      </c>
      <c r="G1266" s="234">
        <v>46200</v>
      </c>
      <c r="H1266" s="234">
        <v>3550</v>
      </c>
      <c r="I1266" s="234">
        <v>3550</v>
      </c>
      <c r="J1266" s="234">
        <v>3550</v>
      </c>
      <c r="K1266" s="234">
        <f>3798.5+0.5</f>
        <v>3799</v>
      </c>
      <c r="L1266" s="234">
        <v>3550</v>
      </c>
      <c r="M1266" s="234">
        <v>3550</v>
      </c>
      <c r="N1266" s="234">
        <v>3550</v>
      </c>
      <c r="O1266" s="234">
        <v>3799</v>
      </c>
      <c r="P1266" s="234">
        <v>3550</v>
      </c>
      <c r="Q1266" s="234">
        <v>3550</v>
      </c>
      <c r="R1266" s="234">
        <v>3550</v>
      </c>
      <c r="S1266" s="234">
        <v>0</v>
      </c>
      <c r="T1266" s="234">
        <f>SUM(H1266:S1266)</f>
        <v>39548</v>
      </c>
      <c r="U1266"/>
      <c r="V1266">
        <f>+PRESUPUESTO22[[#This Row],[EJECUTADO ]]-SUM(PRESUPUESTO22[[#This Row],[   ENERO ]:[DIC]])</f>
        <v>0</v>
      </c>
      <c r="W1266"/>
    </row>
    <row r="1267" spans="1:23" ht="15.95" customHeight="1" x14ac:dyDescent="0.25">
      <c r="A1267" s="48">
        <v>2</v>
      </c>
      <c r="B1267" s="157">
        <v>2902</v>
      </c>
      <c r="C1267" s="130" t="str">
        <f t="shared" si="459"/>
        <v>E-2902</v>
      </c>
      <c r="D1267" s="130">
        <v>1217</v>
      </c>
      <c r="E1267" s="173" t="s">
        <v>69</v>
      </c>
      <c r="F1267" s="234" t="s">
        <v>1017</v>
      </c>
      <c r="G1267" s="234">
        <f>SUM(G1268:G1268)</f>
        <v>4068</v>
      </c>
      <c r="H1267" s="234">
        <f>SUM(H1268:H1268)</f>
        <v>339</v>
      </c>
      <c r="I1267" s="234">
        <f>SUM(I1268:I1268)</f>
        <v>339</v>
      </c>
      <c r="J1267" s="234">
        <f>SUM(J1268:J1268)</f>
        <v>339</v>
      </c>
      <c r="K1267" s="234">
        <f>SUM(K1268:K1268)</f>
        <v>339</v>
      </c>
      <c r="L1267" s="234">
        <f t="shared" ref="L1267:T1267" si="466">SUM(L1268:L1268)</f>
        <v>339</v>
      </c>
      <c r="M1267" s="234">
        <f t="shared" si="466"/>
        <v>339</v>
      </c>
      <c r="N1267" s="234">
        <f t="shared" si="466"/>
        <v>339</v>
      </c>
      <c r="O1267" s="234">
        <f t="shared" si="466"/>
        <v>339</v>
      </c>
      <c r="P1267" s="234">
        <f t="shared" si="466"/>
        <v>339</v>
      </c>
      <c r="Q1267" s="234">
        <f t="shared" si="466"/>
        <v>339</v>
      </c>
      <c r="R1267" s="234">
        <f t="shared" si="466"/>
        <v>339</v>
      </c>
      <c r="S1267" s="234">
        <f t="shared" si="466"/>
        <v>0</v>
      </c>
      <c r="T1267" s="234">
        <f t="shared" si="466"/>
        <v>3729</v>
      </c>
      <c r="U1267"/>
      <c r="V1267">
        <f>+PRESUPUESTO22[[#This Row],[EJECUTADO ]]-SUM(PRESUPUESTO22[[#This Row],[   ENERO ]:[DIC]])</f>
        <v>0</v>
      </c>
      <c r="W1267"/>
    </row>
    <row r="1268" spans="1:23" ht="21.75" customHeight="1" x14ac:dyDescent="0.25">
      <c r="A1268" s="48"/>
      <c r="B1268" s="156">
        <v>290201</v>
      </c>
      <c r="C1268" s="130" t="str">
        <f t="shared" si="459"/>
        <v>E-290201</v>
      </c>
      <c r="D1268" s="130">
        <v>1218</v>
      </c>
      <c r="E1268" s="156" t="s">
        <v>72</v>
      </c>
      <c r="F1268" s="216" t="s">
        <v>1018</v>
      </c>
      <c r="G1268" s="193">
        <f>339*12</f>
        <v>4068</v>
      </c>
      <c r="H1268" s="193">
        <v>339</v>
      </c>
      <c r="I1268" s="193">
        <v>339</v>
      </c>
      <c r="J1268" s="193">
        <v>339</v>
      </c>
      <c r="K1268" s="193">
        <v>339</v>
      </c>
      <c r="L1268" s="193">
        <v>339</v>
      </c>
      <c r="M1268" s="193">
        <v>339</v>
      </c>
      <c r="N1268" s="193">
        <v>339</v>
      </c>
      <c r="O1268" s="193">
        <v>339</v>
      </c>
      <c r="P1268" s="193">
        <v>339</v>
      </c>
      <c r="Q1268" s="193">
        <v>339</v>
      </c>
      <c r="R1268" s="193">
        <v>339</v>
      </c>
      <c r="S1268" s="193">
        <v>0</v>
      </c>
      <c r="T1268" s="193">
        <f>SUM(H1268:S1268)</f>
        <v>3729</v>
      </c>
      <c r="U1268"/>
      <c r="V1268">
        <f>+PRESUPUESTO22[[#This Row],[EJECUTADO ]]-SUM(PRESUPUESTO22[[#This Row],[   ENERO ]:[DIC]])</f>
        <v>0</v>
      </c>
      <c r="W1268"/>
    </row>
    <row r="1269" spans="1:23" ht="15.95" customHeight="1" x14ac:dyDescent="0.25">
      <c r="A1269" s="48">
        <v>3</v>
      </c>
      <c r="B1269" s="157">
        <v>2903</v>
      </c>
      <c r="C1269" s="130" t="str">
        <f t="shared" si="459"/>
        <v>E-2903</v>
      </c>
      <c r="D1269" s="130">
        <v>1219</v>
      </c>
      <c r="E1269" s="173" t="s">
        <v>69</v>
      </c>
      <c r="F1269" s="234" t="s">
        <v>51</v>
      </c>
      <c r="G1269" s="234">
        <f>SUM(G1270:G1273)</f>
        <v>2100</v>
      </c>
      <c r="H1269" s="234">
        <f>SUM(H1270:H1273)</f>
        <v>279</v>
      </c>
      <c r="I1269" s="234">
        <f t="shared" ref="I1269:T1269" si="467">SUM(I1270:I1273)</f>
        <v>0</v>
      </c>
      <c r="J1269" s="234">
        <f t="shared" si="467"/>
        <v>503</v>
      </c>
      <c r="K1269" s="234">
        <f t="shared" si="467"/>
        <v>0</v>
      </c>
      <c r="L1269" s="234">
        <f t="shared" si="467"/>
        <v>0</v>
      </c>
      <c r="M1269" s="234">
        <f t="shared" si="467"/>
        <v>0</v>
      </c>
      <c r="N1269" s="234">
        <f t="shared" si="467"/>
        <v>0</v>
      </c>
      <c r="O1269" s="234">
        <f t="shared" si="467"/>
        <v>0</v>
      </c>
      <c r="P1269" s="234">
        <f t="shared" si="467"/>
        <v>0</v>
      </c>
      <c r="Q1269" s="234">
        <f t="shared" si="467"/>
        <v>0</v>
      </c>
      <c r="R1269" s="234">
        <f t="shared" si="467"/>
        <v>0</v>
      </c>
      <c r="S1269" s="234">
        <f t="shared" si="467"/>
        <v>0</v>
      </c>
      <c r="T1269" s="234">
        <f t="shared" si="467"/>
        <v>782</v>
      </c>
      <c r="U1269"/>
      <c r="V1269">
        <f>+PRESUPUESTO22[[#This Row],[EJECUTADO ]]-SUM(PRESUPUESTO22[[#This Row],[   ENERO ]:[DIC]])</f>
        <v>0</v>
      </c>
    </row>
    <row r="1270" spans="1:23" ht="15.95" customHeight="1" x14ac:dyDescent="0.25">
      <c r="A1270" s="48"/>
      <c r="B1270" s="156">
        <v>290301</v>
      </c>
      <c r="C1270" s="130" t="str">
        <f t="shared" si="459"/>
        <v>E-290301</v>
      </c>
      <c r="D1270" s="130">
        <v>1220</v>
      </c>
      <c r="E1270" s="156" t="s">
        <v>72</v>
      </c>
      <c r="F1270" s="216" t="s">
        <v>1019</v>
      </c>
      <c r="G1270" s="193">
        <v>600</v>
      </c>
      <c r="H1270" s="193">
        <v>19</v>
      </c>
      <c r="I1270" s="193">
        <v>0</v>
      </c>
      <c r="J1270" s="193">
        <f>502.55+0.45</f>
        <v>503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93">
        <v>0</v>
      </c>
      <c r="R1270" s="193">
        <v>0</v>
      </c>
      <c r="S1270" s="193">
        <v>0</v>
      </c>
      <c r="T1270" s="193">
        <f>SUM(H1270:S1270)</f>
        <v>522</v>
      </c>
      <c r="U1270"/>
      <c r="V1270">
        <f>+PRESUPUESTO22[[#This Row],[EJECUTADO ]]-SUM(PRESUPUESTO22[[#This Row],[   ENERO ]:[DIC]])</f>
        <v>0</v>
      </c>
    </row>
    <row r="1271" spans="1:23" ht="15.95" customHeight="1" x14ac:dyDescent="0.25">
      <c r="A1271" s="48"/>
      <c r="B1271" s="156">
        <v>290302</v>
      </c>
      <c r="C1271" s="130" t="str">
        <f t="shared" si="459"/>
        <v>E-290302</v>
      </c>
      <c r="D1271" s="130">
        <v>1221</v>
      </c>
      <c r="E1271" s="156" t="s">
        <v>72</v>
      </c>
      <c r="F1271" s="216" t="s">
        <v>1020</v>
      </c>
      <c r="G1271" s="193">
        <v>1000</v>
      </c>
      <c r="H1271" s="193">
        <v>0</v>
      </c>
      <c r="I1271" s="193">
        <v>0</v>
      </c>
      <c r="J1271" s="193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>
        <v>0</v>
      </c>
      <c r="P1271" s="193">
        <v>0</v>
      </c>
      <c r="Q1271" s="193">
        <v>0</v>
      </c>
      <c r="R1271" s="193">
        <v>0</v>
      </c>
      <c r="S1271" s="193">
        <v>0</v>
      </c>
      <c r="T1271" s="193">
        <f>SUM(H1271:S1271)</f>
        <v>0</v>
      </c>
      <c r="U1271"/>
      <c r="V1271">
        <f>+PRESUPUESTO22[[#This Row],[EJECUTADO ]]-SUM(PRESUPUESTO22[[#This Row],[   ENERO ]:[DIC]])</f>
        <v>0</v>
      </c>
    </row>
    <row r="1272" spans="1:23" ht="15.95" customHeight="1" x14ac:dyDescent="0.25">
      <c r="A1272" s="48"/>
      <c r="B1272" s="156">
        <v>290303</v>
      </c>
      <c r="C1272" s="130" t="str">
        <f t="shared" si="459"/>
        <v>E-290303</v>
      </c>
      <c r="D1272" s="130">
        <v>1222</v>
      </c>
      <c r="E1272" s="156" t="s">
        <v>72</v>
      </c>
      <c r="F1272" s="216" t="s">
        <v>1021</v>
      </c>
      <c r="G1272" s="193">
        <v>500</v>
      </c>
      <c r="H1272" s="193">
        <v>0</v>
      </c>
      <c r="I1272" s="193">
        <v>0</v>
      </c>
      <c r="J1272" s="193">
        <v>0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93">
        <v>0</v>
      </c>
      <c r="R1272" s="193">
        <v>0</v>
      </c>
      <c r="S1272" s="193">
        <v>0</v>
      </c>
      <c r="T1272" s="193">
        <f>SUM(H1272:S1272)</f>
        <v>0</v>
      </c>
      <c r="U1272"/>
      <c r="V1272">
        <f>+PRESUPUESTO22[[#This Row],[EJECUTADO ]]-SUM(PRESUPUESTO22[[#This Row],[   ENERO ]:[DIC]])</f>
        <v>0</v>
      </c>
    </row>
    <row r="1273" spans="1:23" ht="15.95" customHeight="1" x14ac:dyDescent="0.25">
      <c r="A1273" s="48"/>
      <c r="B1273" s="156">
        <v>290304</v>
      </c>
      <c r="C1273" s="130" t="str">
        <f t="shared" si="459"/>
        <v>E-290304</v>
      </c>
      <c r="D1273" s="130">
        <v>1223</v>
      </c>
      <c r="E1273" s="156" t="s">
        <v>72</v>
      </c>
      <c r="F1273" s="216" t="s">
        <v>413</v>
      </c>
      <c r="G1273" s="193">
        <v>0</v>
      </c>
      <c r="H1273" s="193">
        <f>259.79+0.21</f>
        <v>260</v>
      </c>
      <c r="I1273" s="193">
        <v>0</v>
      </c>
      <c r="J1273" s="193">
        <v>0</v>
      </c>
      <c r="K1273" s="193">
        <v>0</v>
      </c>
      <c r="L1273" s="193">
        <v>0</v>
      </c>
      <c r="M1273" s="193">
        <v>0</v>
      </c>
      <c r="N1273" s="193">
        <v>0</v>
      </c>
      <c r="O1273" s="193">
        <v>0</v>
      </c>
      <c r="P1273" s="193">
        <v>0</v>
      </c>
      <c r="Q1273" s="193">
        <v>0</v>
      </c>
      <c r="R1273" s="193">
        <v>0</v>
      </c>
      <c r="S1273" s="193">
        <v>0</v>
      </c>
      <c r="T1273" s="193">
        <f>SUM(H1273:S1273)</f>
        <v>260</v>
      </c>
      <c r="U1273"/>
      <c r="V1273">
        <f>+PRESUPUESTO22[[#This Row],[EJECUTADO ]]-SUM(PRESUPUESTO22[[#This Row],[   ENERO ]:[DIC]])</f>
        <v>0</v>
      </c>
    </row>
    <row r="1274" spans="1:23" ht="15.95" customHeight="1" x14ac:dyDescent="0.25">
      <c r="A1274" s="48"/>
      <c r="B1274" s="157">
        <v>2904</v>
      </c>
      <c r="C1274" s="130" t="str">
        <f t="shared" si="459"/>
        <v>E-2904</v>
      </c>
      <c r="D1274" s="130">
        <v>1224</v>
      </c>
      <c r="E1274" s="173" t="s">
        <v>69</v>
      </c>
      <c r="F1274" s="234" t="s">
        <v>686</v>
      </c>
      <c r="G1274" s="234">
        <f>SUM(G1275:G1276)</f>
        <v>7000</v>
      </c>
      <c r="H1274" s="234">
        <f t="shared" ref="H1274:T1274" si="468">SUM(H1275:H1276)</f>
        <v>0</v>
      </c>
      <c r="I1274" s="234">
        <f t="shared" si="468"/>
        <v>0</v>
      </c>
      <c r="J1274" s="234">
        <f t="shared" si="468"/>
        <v>0</v>
      </c>
      <c r="K1274" s="234">
        <f t="shared" si="468"/>
        <v>0</v>
      </c>
      <c r="L1274" s="234">
        <f t="shared" si="468"/>
        <v>0</v>
      </c>
      <c r="M1274" s="234">
        <f t="shared" si="468"/>
        <v>4408</v>
      </c>
      <c r="N1274" s="234">
        <f t="shared" si="468"/>
        <v>0</v>
      </c>
      <c r="O1274" s="234">
        <f t="shared" si="468"/>
        <v>0</v>
      </c>
      <c r="P1274" s="234">
        <f t="shared" si="468"/>
        <v>0</v>
      </c>
      <c r="Q1274" s="234">
        <f t="shared" si="468"/>
        <v>0</v>
      </c>
      <c r="R1274" s="234">
        <f t="shared" si="468"/>
        <v>0</v>
      </c>
      <c r="S1274" s="234">
        <f t="shared" si="468"/>
        <v>0</v>
      </c>
      <c r="T1274" s="234">
        <f t="shared" si="468"/>
        <v>4408</v>
      </c>
      <c r="U1274"/>
      <c r="V1274">
        <f>+PRESUPUESTO22[[#This Row],[EJECUTADO ]]-SUM(PRESUPUESTO22[[#This Row],[   ENERO ]:[DIC]])</f>
        <v>0</v>
      </c>
    </row>
    <row r="1275" spans="1:23" ht="15.95" customHeight="1" x14ac:dyDescent="0.25">
      <c r="A1275" s="48"/>
      <c r="B1275" s="156">
        <v>290401</v>
      </c>
      <c r="C1275" s="130" t="str">
        <f t="shared" si="459"/>
        <v>E-290401</v>
      </c>
      <c r="D1275" s="130">
        <v>1225</v>
      </c>
      <c r="E1275" s="156" t="s">
        <v>72</v>
      </c>
      <c r="F1275" s="216" t="s">
        <v>1022</v>
      </c>
      <c r="G1275" s="193">
        <v>7000</v>
      </c>
      <c r="H1275" s="193">
        <v>0</v>
      </c>
      <c r="I1275" s="193">
        <v>0</v>
      </c>
      <c r="J1275" s="193">
        <v>0</v>
      </c>
      <c r="K1275" s="193">
        <v>0</v>
      </c>
      <c r="L1275" s="193">
        <v>0</v>
      </c>
      <c r="M1275" s="193">
        <f>4408.25-0.25</f>
        <v>4408</v>
      </c>
      <c r="N1275" s="193">
        <v>0</v>
      </c>
      <c r="O1275" s="193">
        <v>0</v>
      </c>
      <c r="P1275" s="193">
        <v>0</v>
      </c>
      <c r="Q1275" s="193">
        <v>0</v>
      </c>
      <c r="R1275" s="193">
        <v>0</v>
      </c>
      <c r="S1275" s="193">
        <v>0</v>
      </c>
      <c r="T1275" s="193">
        <f>SUM(H1275:S1275)</f>
        <v>4408</v>
      </c>
      <c r="U1275"/>
      <c r="V1275">
        <f>+PRESUPUESTO22[[#This Row],[EJECUTADO ]]-SUM(PRESUPUESTO22[[#This Row],[   ENERO ]:[DIC]])</f>
        <v>0</v>
      </c>
    </row>
    <row r="1276" spans="1:23" ht="15.95" customHeight="1" x14ac:dyDescent="0.25">
      <c r="A1276" s="48"/>
      <c r="B1276" s="156">
        <v>290402</v>
      </c>
      <c r="C1276" s="130" t="str">
        <f t="shared" si="459"/>
        <v>E-290402</v>
      </c>
      <c r="D1276" s="130">
        <v>1226</v>
      </c>
      <c r="E1276" s="156" t="s">
        <v>72</v>
      </c>
      <c r="F1276" s="216" t="s">
        <v>1023</v>
      </c>
      <c r="G1276" s="193">
        <v>0</v>
      </c>
      <c r="H1276" s="193">
        <v>0</v>
      </c>
      <c r="I1276" s="193">
        <v>0</v>
      </c>
      <c r="J1276" s="193">
        <v>0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93">
        <v>0</v>
      </c>
      <c r="R1276" s="193">
        <v>0</v>
      </c>
      <c r="S1276" s="193">
        <v>0</v>
      </c>
      <c r="T1276" s="193">
        <f>SUM(H1276:S1276)</f>
        <v>0</v>
      </c>
      <c r="U1276"/>
      <c r="V1276">
        <f>+PRESUPUESTO22[[#This Row],[EJECUTADO ]]-SUM(PRESUPUESTO22[[#This Row],[   ENERO ]:[DIC]])</f>
        <v>0</v>
      </c>
    </row>
    <row r="1277" spans="1:23" ht="15.95" customHeight="1" x14ac:dyDescent="0.25">
      <c r="A1277" s="48">
        <v>4</v>
      </c>
      <c r="B1277" s="157">
        <v>2905</v>
      </c>
      <c r="C1277" s="130" t="str">
        <f t="shared" si="459"/>
        <v>E-2905</v>
      </c>
      <c r="D1277" s="130">
        <v>1227</v>
      </c>
      <c r="E1277" s="173" t="s">
        <v>69</v>
      </c>
      <c r="F1277" s="234" t="s">
        <v>1024</v>
      </c>
      <c r="G1277" s="234">
        <f>SUM(G1278:G1281)</f>
        <v>9038</v>
      </c>
      <c r="H1277" s="234">
        <f>SUM(H1278:H1281)</f>
        <v>1074</v>
      </c>
      <c r="I1277" s="234">
        <f t="shared" ref="I1277:T1277" si="469">SUM(I1278:I1281)</f>
        <v>709</v>
      </c>
      <c r="J1277" s="234">
        <f t="shared" si="469"/>
        <v>1093</v>
      </c>
      <c r="K1277" s="234">
        <f t="shared" si="469"/>
        <v>1044</v>
      </c>
      <c r="L1277" s="234">
        <f t="shared" si="469"/>
        <v>2880</v>
      </c>
      <c r="M1277" s="234">
        <f t="shared" si="469"/>
        <v>3230</v>
      </c>
      <c r="N1277" s="234">
        <f t="shared" si="469"/>
        <v>431</v>
      </c>
      <c r="O1277" s="234">
        <f t="shared" si="469"/>
        <v>1044</v>
      </c>
      <c r="P1277" s="234">
        <f t="shared" si="469"/>
        <v>1321</v>
      </c>
      <c r="Q1277" s="234">
        <f t="shared" si="469"/>
        <v>125</v>
      </c>
      <c r="R1277" s="234">
        <f t="shared" si="469"/>
        <v>3683</v>
      </c>
      <c r="S1277" s="234">
        <f t="shared" si="469"/>
        <v>0</v>
      </c>
      <c r="T1277" s="234">
        <f t="shared" si="469"/>
        <v>16634</v>
      </c>
      <c r="U1277"/>
      <c r="V1277">
        <f>+PRESUPUESTO22[[#This Row],[EJECUTADO ]]-SUM(PRESUPUESTO22[[#This Row],[   ENERO ]:[DIC]])</f>
        <v>0</v>
      </c>
    </row>
    <row r="1278" spans="1:23" ht="15.95" customHeight="1" x14ac:dyDescent="0.25">
      <c r="A1278" s="48"/>
      <c r="B1278" s="156">
        <v>290501</v>
      </c>
      <c r="C1278" s="130" t="str">
        <f t="shared" si="459"/>
        <v>E-290501</v>
      </c>
      <c r="D1278" s="130">
        <v>1228</v>
      </c>
      <c r="E1278" s="156" t="s">
        <v>72</v>
      </c>
      <c r="F1278" s="216" t="s">
        <v>1025</v>
      </c>
      <c r="G1278" s="193">
        <v>2500</v>
      </c>
      <c r="H1278" s="193">
        <v>0</v>
      </c>
      <c r="I1278" s="193">
        <v>0</v>
      </c>
      <c r="J1278" s="193">
        <v>0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93">
        <v>0</v>
      </c>
      <c r="R1278" s="193">
        <v>0</v>
      </c>
      <c r="S1278" s="193">
        <v>0</v>
      </c>
      <c r="T1278" s="193">
        <f>SUM(H1278:S1278)</f>
        <v>0</v>
      </c>
      <c r="U1278"/>
      <c r="V1278">
        <f>+PRESUPUESTO22[[#This Row],[EJECUTADO ]]-SUM(PRESUPUESTO22[[#This Row],[   ENERO ]:[DIC]])</f>
        <v>0</v>
      </c>
    </row>
    <row r="1279" spans="1:23" ht="15.95" customHeight="1" x14ac:dyDescent="0.25">
      <c r="A1279" s="48"/>
      <c r="B1279" s="156">
        <v>290502</v>
      </c>
      <c r="C1279" s="130" t="str">
        <f t="shared" si="459"/>
        <v>E-290502</v>
      </c>
      <c r="D1279" s="130">
        <v>1229</v>
      </c>
      <c r="E1279" s="156" t="s">
        <v>72</v>
      </c>
      <c r="F1279" s="216" t="s">
        <v>1026</v>
      </c>
      <c r="G1279" s="193">
        <v>1500</v>
      </c>
      <c r="H1279" s="193">
        <v>125</v>
      </c>
      <c r="I1279" s="193">
        <v>125</v>
      </c>
      <c r="J1279" s="193">
        <v>125</v>
      </c>
      <c r="K1279" s="193">
        <v>125</v>
      </c>
      <c r="L1279" s="193">
        <v>125</v>
      </c>
      <c r="M1279" s="193">
        <v>125</v>
      </c>
      <c r="N1279" s="193">
        <v>125</v>
      </c>
      <c r="O1279" s="193">
        <v>125</v>
      </c>
      <c r="P1279" s="193">
        <v>125</v>
      </c>
      <c r="Q1279" s="193">
        <v>125</v>
      </c>
      <c r="R1279" s="193">
        <v>125</v>
      </c>
      <c r="S1279" s="193">
        <v>0</v>
      </c>
      <c r="T1279" s="193">
        <f>SUM(H1279:S1279)</f>
        <v>1375</v>
      </c>
      <c r="U1279"/>
      <c r="V1279">
        <f>+PRESUPUESTO22[[#This Row],[EJECUTADO ]]-SUM(PRESUPUESTO22[[#This Row],[   ENERO ]:[DIC]])</f>
        <v>0</v>
      </c>
    </row>
    <row r="1280" spans="1:23" ht="15.95" customHeight="1" x14ac:dyDescent="0.25">
      <c r="A1280" s="48" t="s">
        <v>1</v>
      </c>
      <c r="B1280" s="156">
        <v>290503</v>
      </c>
      <c r="C1280" s="130" t="str">
        <f t="shared" si="459"/>
        <v>E-290503</v>
      </c>
      <c r="D1280" s="130">
        <v>1230</v>
      </c>
      <c r="E1280" s="156" t="s">
        <v>72</v>
      </c>
      <c r="F1280" s="216" t="s">
        <v>1027</v>
      </c>
      <c r="G1280" s="193">
        <v>0</v>
      </c>
      <c r="H1280" s="193">
        <f>30.67+612.46+306.23-0.36</f>
        <v>949</v>
      </c>
      <c r="I1280" s="193">
        <f>583.6+0.4</f>
        <v>584</v>
      </c>
      <c r="J1280" s="193">
        <f>306.23+49.11+612.46+0.2</f>
        <v>968.00000000000011</v>
      </c>
      <c r="K1280" s="193">
        <f>306.24+306.24+306.24+0.28</f>
        <v>919</v>
      </c>
      <c r="L1280" s="193">
        <f>306.23+363.89+306.23-0.35</f>
        <v>976</v>
      </c>
      <c r="M1280" s="193">
        <f>363.89+655.72+306.24+0.15</f>
        <v>1326</v>
      </c>
      <c r="N1280" s="193">
        <f>306.24-0.24</f>
        <v>306</v>
      </c>
      <c r="O1280" s="193">
        <f>306.23+612.46+0.31</f>
        <v>919</v>
      </c>
      <c r="P1280" s="193">
        <v>1196</v>
      </c>
      <c r="Q1280" s="193">
        <v>0</v>
      </c>
      <c r="R1280" s="193">
        <v>0</v>
      </c>
      <c r="S1280" s="193">
        <v>0</v>
      </c>
      <c r="T1280" s="193">
        <f>SUM(H1280:S1280)</f>
        <v>8143</v>
      </c>
      <c r="U1280"/>
      <c r="V1280">
        <f>+PRESUPUESTO22[[#This Row],[EJECUTADO ]]-SUM(PRESUPUESTO22[[#This Row],[   ENERO ]:[DIC]])</f>
        <v>0</v>
      </c>
    </row>
    <row r="1281" spans="1:23" ht="15.95" customHeight="1" x14ac:dyDescent="0.25">
      <c r="A1281" s="48"/>
      <c r="B1281" s="137">
        <v>290504</v>
      </c>
      <c r="C1281" s="130" t="str">
        <f t="shared" si="459"/>
        <v>E-290504</v>
      </c>
      <c r="D1281" s="130">
        <v>1231</v>
      </c>
      <c r="E1281" s="137" t="s">
        <v>72</v>
      </c>
      <c r="F1281" s="57" t="s">
        <v>1442</v>
      </c>
      <c r="G1281" s="193">
        <v>5038</v>
      </c>
      <c r="H1281" s="193">
        <v>0</v>
      </c>
      <c r="I1281" s="193">
        <v>0</v>
      </c>
      <c r="J1281" s="193">
        <v>0</v>
      </c>
      <c r="K1281" s="193">
        <v>0</v>
      </c>
      <c r="L1281" s="193">
        <f>1779.04-0.04</f>
        <v>1779</v>
      </c>
      <c r="M1281" s="193">
        <v>1779</v>
      </c>
      <c r="N1281" s="193">
        <v>0</v>
      </c>
      <c r="O1281" s="193">
        <v>0</v>
      </c>
      <c r="P1281" s="193">
        <v>0</v>
      </c>
      <c r="Q1281" s="193">
        <v>0</v>
      </c>
      <c r="R1281" s="193">
        <f>1779.04+1779.04-0.08</f>
        <v>3558</v>
      </c>
      <c r="S1281" s="193">
        <v>0</v>
      </c>
      <c r="T1281" s="193">
        <f>SUM(H1281:S1281)</f>
        <v>7116</v>
      </c>
      <c r="U1281"/>
      <c r="V1281">
        <f>+PRESUPUESTO22[[#This Row],[EJECUTADO ]]-SUM(PRESUPUESTO22[[#This Row],[   ENERO ]:[DIC]])</f>
        <v>0</v>
      </c>
    </row>
    <row r="1282" spans="1:23" ht="15.95" customHeight="1" x14ac:dyDescent="0.25">
      <c r="A1282" s="49">
        <v>30</v>
      </c>
      <c r="B1282" s="131">
        <v>30</v>
      </c>
      <c r="C1282" s="130" t="str">
        <f t="shared" si="459"/>
        <v>E-30</v>
      </c>
      <c r="D1282" s="130">
        <v>1232</v>
      </c>
      <c r="E1282" s="131" t="s">
        <v>67</v>
      </c>
      <c r="F1282" s="50" t="s">
        <v>1028</v>
      </c>
      <c r="G1282" s="188">
        <v>50000</v>
      </c>
      <c r="H1282" s="188">
        <f t="shared" ref="H1282:T1282" si="470">+H1283+H1285+H1290+H1291</f>
        <v>1020</v>
      </c>
      <c r="I1282" s="188">
        <f t="shared" si="470"/>
        <v>19180</v>
      </c>
      <c r="J1282" s="188">
        <f t="shared" si="470"/>
        <v>3329</v>
      </c>
      <c r="K1282" s="188">
        <f t="shared" si="470"/>
        <v>1020</v>
      </c>
      <c r="L1282" s="188">
        <f t="shared" si="470"/>
        <v>24200</v>
      </c>
      <c r="M1282" s="188">
        <f t="shared" si="470"/>
        <v>1140</v>
      </c>
      <c r="N1282" s="188">
        <f t="shared" si="470"/>
        <v>1020</v>
      </c>
      <c r="O1282" s="188">
        <f t="shared" si="470"/>
        <v>2460</v>
      </c>
      <c r="P1282" s="188">
        <f t="shared" si="470"/>
        <v>7587</v>
      </c>
      <c r="Q1282" s="188">
        <f t="shared" si="470"/>
        <v>8275</v>
      </c>
      <c r="R1282" s="188">
        <f t="shared" si="470"/>
        <v>7373</v>
      </c>
      <c r="S1282" s="188">
        <f t="shared" si="470"/>
        <v>0</v>
      </c>
      <c r="T1282" s="188">
        <f t="shared" si="470"/>
        <v>76604</v>
      </c>
      <c r="U1282"/>
      <c r="V1282">
        <f>+PRESUPUESTO22[[#This Row],[EJECUTADO ]]-SUM(PRESUPUESTO22[[#This Row],[   ENERO ]:[DIC]])</f>
        <v>0</v>
      </c>
    </row>
    <row r="1283" spans="1:23" ht="15.95" customHeight="1" x14ac:dyDescent="0.25">
      <c r="A1283" s="48">
        <v>1</v>
      </c>
      <c r="B1283" s="157">
        <v>3001</v>
      </c>
      <c r="C1283" s="130" t="str">
        <f t="shared" si="459"/>
        <v>E-3001</v>
      </c>
      <c r="D1283" s="130">
        <v>1233</v>
      </c>
      <c r="E1283" s="173" t="s">
        <v>69</v>
      </c>
      <c r="F1283" s="234" t="s">
        <v>1029</v>
      </c>
      <c r="G1283" s="234">
        <f>SUM(G1284:G1284)</f>
        <v>10000</v>
      </c>
      <c r="H1283" s="234">
        <f>SUM(H1284:H1284)</f>
        <v>0</v>
      </c>
      <c r="I1283" s="234">
        <f t="shared" ref="I1283:T1283" si="471">SUM(I1284:I1284)</f>
        <v>0</v>
      </c>
      <c r="J1283" s="234">
        <f t="shared" si="471"/>
        <v>1700</v>
      </c>
      <c r="K1283" s="234">
        <f t="shared" si="471"/>
        <v>0</v>
      </c>
      <c r="L1283" s="234">
        <f t="shared" si="471"/>
        <v>10000</v>
      </c>
      <c r="M1283" s="234">
        <f t="shared" si="471"/>
        <v>0</v>
      </c>
      <c r="N1283" s="234">
        <f t="shared" si="471"/>
        <v>0</v>
      </c>
      <c r="O1283" s="234">
        <f t="shared" si="471"/>
        <v>0</v>
      </c>
      <c r="P1283" s="234">
        <f t="shared" si="471"/>
        <v>6000</v>
      </c>
      <c r="Q1283" s="234">
        <f t="shared" si="471"/>
        <v>7275</v>
      </c>
      <c r="R1283" s="234">
        <f t="shared" si="471"/>
        <v>6000</v>
      </c>
      <c r="S1283" s="234">
        <f t="shared" si="471"/>
        <v>0</v>
      </c>
      <c r="T1283" s="234">
        <f t="shared" si="471"/>
        <v>30975</v>
      </c>
      <c r="U1283"/>
      <c r="V1283">
        <f>+PRESUPUESTO22[[#This Row],[EJECUTADO ]]-SUM(PRESUPUESTO22[[#This Row],[   ENERO ]:[DIC]])</f>
        <v>0</v>
      </c>
    </row>
    <row r="1284" spans="1:23" ht="15.95" customHeight="1" x14ac:dyDescent="0.25">
      <c r="A1284" s="49"/>
      <c r="B1284" s="156">
        <v>300101</v>
      </c>
      <c r="C1284" s="130" t="str">
        <f t="shared" si="459"/>
        <v>E-300101</v>
      </c>
      <c r="D1284" s="130">
        <v>1234</v>
      </c>
      <c r="E1284" s="156" t="s">
        <v>72</v>
      </c>
      <c r="F1284" s="216" t="s">
        <v>1443</v>
      </c>
      <c r="G1284" s="193">
        <v>10000</v>
      </c>
      <c r="H1284" s="193">
        <v>0</v>
      </c>
      <c r="I1284" s="193">
        <v>0</v>
      </c>
      <c r="J1284" s="193">
        <v>1700</v>
      </c>
      <c r="K1284" s="193">
        <v>0</v>
      </c>
      <c r="L1284" s="193">
        <f>5300+4699.99+0.01</f>
        <v>10000</v>
      </c>
      <c r="M1284" s="193">
        <v>0</v>
      </c>
      <c r="N1284" s="193">
        <v>0</v>
      </c>
      <c r="O1284" s="193">
        <v>0</v>
      </c>
      <c r="P1284" s="193">
        <v>6000</v>
      </c>
      <c r="Q1284" s="193">
        <f>6000+1275</f>
        <v>7275</v>
      </c>
      <c r="R1284" s="193">
        <v>6000</v>
      </c>
      <c r="S1284" s="193">
        <v>0</v>
      </c>
      <c r="T1284" s="193">
        <f>SUM(H1284:S1284)</f>
        <v>30975</v>
      </c>
      <c r="U1284"/>
      <c r="V1284">
        <f>+PRESUPUESTO22[[#This Row],[EJECUTADO ]]-SUM(PRESUPUESTO22[[#This Row],[   ENERO ]:[DIC]])</f>
        <v>0</v>
      </c>
    </row>
    <row r="1285" spans="1:23" ht="15.95" customHeight="1" x14ac:dyDescent="0.25">
      <c r="A1285" s="48">
        <v>2</v>
      </c>
      <c r="B1285" s="157">
        <v>3002</v>
      </c>
      <c r="C1285" s="130" t="str">
        <f t="shared" si="459"/>
        <v>E-3002</v>
      </c>
      <c r="D1285" s="130">
        <v>1235</v>
      </c>
      <c r="E1285" s="173" t="s">
        <v>69</v>
      </c>
      <c r="F1285" s="234" t="s">
        <v>613</v>
      </c>
      <c r="G1285" s="234">
        <f>SUM(G1286:G1289)</f>
        <v>14340</v>
      </c>
      <c r="H1285" s="234">
        <f>SUM(H1286:H1289)</f>
        <v>1020</v>
      </c>
      <c r="I1285" s="234">
        <f>SUM(I1286:I1289)</f>
        <v>1020</v>
      </c>
      <c r="J1285" s="234">
        <f>SUM(J1286:J1289)</f>
        <v>1599</v>
      </c>
      <c r="K1285" s="234">
        <f t="shared" ref="K1285:T1285" si="472">SUM(K1286:K1289)</f>
        <v>1020</v>
      </c>
      <c r="L1285" s="234">
        <f t="shared" si="472"/>
        <v>1020</v>
      </c>
      <c r="M1285" s="234">
        <f t="shared" si="472"/>
        <v>1020</v>
      </c>
      <c r="N1285" s="234">
        <f t="shared" si="472"/>
        <v>1020</v>
      </c>
      <c r="O1285" s="234">
        <f t="shared" si="472"/>
        <v>1020</v>
      </c>
      <c r="P1285" s="234">
        <f t="shared" si="472"/>
        <v>1000</v>
      </c>
      <c r="Q1285" s="234">
        <f t="shared" si="472"/>
        <v>1000</v>
      </c>
      <c r="R1285" s="234">
        <f t="shared" si="472"/>
        <v>1373</v>
      </c>
      <c r="S1285" s="234">
        <f t="shared" si="472"/>
        <v>0</v>
      </c>
      <c r="T1285" s="234">
        <f t="shared" si="472"/>
        <v>12112</v>
      </c>
      <c r="U1285"/>
      <c r="V1285">
        <f>+PRESUPUESTO22[[#This Row],[EJECUTADO ]]-SUM(PRESUPUESTO22[[#This Row],[   ENERO ]:[DIC]])</f>
        <v>0</v>
      </c>
    </row>
    <row r="1286" spans="1:23" ht="15.95" customHeight="1" x14ac:dyDescent="0.25">
      <c r="A1286" s="49"/>
      <c r="B1286" s="156">
        <v>300201</v>
      </c>
      <c r="C1286" s="130" t="str">
        <f t="shared" si="459"/>
        <v>E-300201</v>
      </c>
      <c r="D1286" s="130">
        <v>1236</v>
      </c>
      <c r="E1286" s="156" t="s">
        <v>72</v>
      </c>
      <c r="F1286" s="216" t="s">
        <v>1030</v>
      </c>
      <c r="G1286" s="193">
        <v>1000</v>
      </c>
      <c r="H1286" s="193">
        <v>0</v>
      </c>
      <c r="I1286" s="193">
        <v>0</v>
      </c>
      <c r="J1286" s="193">
        <v>0</v>
      </c>
      <c r="K1286" s="193">
        <v>0</v>
      </c>
      <c r="L1286" s="193">
        <v>0</v>
      </c>
      <c r="M1286" s="193">
        <v>0</v>
      </c>
      <c r="N1286" s="193">
        <v>0</v>
      </c>
      <c r="O1286" s="193">
        <v>0</v>
      </c>
      <c r="P1286" s="193">
        <v>0</v>
      </c>
      <c r="Q1286" s="193">
        <v>0</v>
      </c>
      <c r="R1286" s="193">
        <v>0</v>
      </c>
      <c r="S1286" s="193">
        <v>0</v>
      </c>
      <c r="T1286" s="193">
        <f>SUM(H1286:S1286)</f>
        <v>0</v>
      </c>
      <c r="U1286"/>
      <c r="V1286">
        <f>+PRESUPUESTO22[[#This Row],[EJECUTADO ]]-SUM(PRESUPUESTO22[[#This Row],[   ENERO ]:[DIC]])</f>
        <v>0</v>
      </c>
    </row>
    <row r="1287" spans="1:23" ht="15.95" customHeight="1" x14ac:dyDescent="0.25">
      <c r="A1287" s="49"/>
      <c r="B1287" s="156">
        <v>300202</v>
      </c>
      <c r="C1287" s="130" t="str">
        <f t="shared" si="459"/>
        <v>E-300202</v>
      </c>
      <c r="D1287" s="130">
        <v>1237</v>
      </c>
      <c r="E1287" s="156" t="s">
        <v>72</v>
      </c>
      <c r="F1287" s="216" t="s">
        <v>1031</v>
      </c>
      <c r="G1287" s="193">
        <v>600</v>
      </c>
      <c r="H1287" s="193">
        <v>0</v>
      </c>
      <c r="I1287" s="193">
        <v>0</v>
      </c>
      <c r="J1287" s="193">
        <v>579</v>
      </c>
      <c r="K1287" s="193">
        <v>0</v>
      </c>
      <c r="L1287" s="193">
        <v>0</v>
      </c>
      <c r="M1287" s="193">
        <v>0</v>
      </c>
      <c r="N1287" s="193">
        <v>0</v>
      </c>
      <c r="O1287" s="193">
        <v>0</v>
      </c>
      <c r="P1287" s="193">
        <v>0</v>
      </c>
      <c r="Q1287" s="193">
        <v>0</v>
      </c>
      <c r="R1287" s="193">
        <v>373</v>
      </c>
      <c r="S1287" s="193">
        <v>0</v>
      </c>
      <c r="T1287" s="193">
        <f>SUM(H1287:S1287)</f>
        <v>952</v>
      </c>
      <c r="U1287"/>
      <c r="V1287">
        <f>+PRESUPUESTO22[[#This Row],[EJECUTADO ]]-SUM(PRESUPUESTO22[[#This Row],[   ENERO ]:[DIC]])</f>
        <v>0</v>
      </c>
    </row>
    <row r="1288" spans="1:23" ht="15.95" customHeight="1" x14ac:dyDescent="0.25">
      <c r="A1288" s="49"/>
      <c r="B1288" s="156">
        <v>300203</v>
      </c>
      <c r="C1288" s="130" t="str">
        <f t="shared" si="459"/>
        <v>E-300203</v>
      </c>
      <c r="D1288" s="130">
        <v>1238</v>
      </c>
      <c r="E1288" s="156" t="s">
        <v>72</v>
      </c>
      <c r="F1288" s="216" t="s">
        <v>1032</v>
      </c>
      <c r="G1288" s="193">
        <f>1020*12</f>
        <v>12240</v>
      </c>
      <c r="H1288" s="193">
        <v>1020</v>
      </c>
      <c r="I1288" s="193">
        <v>1020</v>
      </c>
      <c r="J1288" s="193">
        <v>1020</v>
      </c>
      <c r="K1288" s="193">
        <v>1020</v>
      </c>
      <c r="L1288" s="193">
        <v>1020</v>
      </c>
      <c r="M1288" s="193">
        <v>1020</v>
      </c>
      <c r="N1288" s="193">
        <v>1020</v>
      </c>
      <c r="O1288" s="193">
        <v>1020</v>
      </c>
      <c r="P1288" s="193">
        <v>1000</v>
      </c>
      <c r="Q1288" s="193">
        <v>1000</v>
      </c>
      <c r="R1288" s="193">
        <v>1000</v>
      </c>
      <c r="S1288" s="193">
        <v>0</v>
      </c>
      <c r="T1288" s="193">
        <f>SUM(H1288:S1288)</f>
        <v>11160</v>
      </c>
      <c r="U1288"/>
      <c r="V1288">
        <f>+PRESUPUESTO22[[#This Row],[EJECUTADO ]]-SUM(PRESUPUESTO22[[#This Row],[   ENERO ]:[DIC]])</f>
        <v>0</v>
      </c>
    </row>
    <row r="1289" spans="1:23" ht="15.95" customHeight="1" x14ac:dyDescent="0.25">
      <c r="A1289" s="49"/>
      <c r="B1289" s="156">
        <v>300204</v>
      </c>
      <c r="C1289" s="130" t="str">
        <f t="shared" si="459"/>
        <v>E-300204</v>
      </c>
      <c r="D1289" s="130">
        <v>1239</v>
      </c>
      <c r="E1289" s="156" t="s">
        <v>72</v>
      </c>
      <c r="F1289" s="216" t="s">
        <v>1033</v>
      </c>
      <c r="G1289" s="193">
        <v>500</v>
      </c>
      <c r="H1289" s="193">
        <v>0</v>
      </c>
      <c r="I1289" s="193">
        <v>0</v>
      </c>
      <c r="J1289" s="193">
        <v>0</v>
      </c>
      <c r="K1289" s="193">
        <v>0</v>
      </c>
      <c r="L1289" s="193">
        <v>0</v>
      </c>
      <c r="M1289" s="193">
        <v>0</v>
      </c>
      <c r="N1289" s="193">
        <v>0</v>
      </c>
      <c r="O1289" s="193">
        <v>0</v>
      </c>
      <c r="P1289" s="193">
        <v>0</v>
      </c>
      <c r="Q1289" s="193">
        <v>0</v>
      </c>
      <c r="R1289" s="193">
        <v>0</v>
      </c>
      <c r="S1289" s="193">
        <v>0</v>
      </c>
      <c r="T1289" s="193">
        <f>SUM(H1289:S1289)</f>
        <v>0</v>
      </c>
      <c r="U1289"/>
      <c r="V1289">
        <f>+PRESUPUESTO22[[#This Row],[EJECUTADO ]]-SUM(PRESUPUESTO22[[#This Row],[   ENERO ]:[DIC]])</f>
        <v>0</v>
      </c>
    </row>
    <row r="1290" spans="1:23" ht="15.95" customHeight="1" x14ac:dyDescent="0.25">
      <c r="A1290" s="48">
        <v>3</v>
      </c>
      <c r="B1290" s="157">
        <v>3003</v>
      </c>
      <c r="C1290" s="130" t="str">
        <f t="shared" si="459"/>
        <v>E-3003</v>
      </c>
      <c r="D1290" s="130">
        <v>1240</v>
      </c>
      <c r="E1290" s="173" t="s">
        <v>72</v>
      </c>
      <c r="F1290" s="234" t="s">
        <v>1034</v>
      </c>
      <c r="G1290" s="234">
        <v>0</v>
      </c>
      <c r="H1290" s="234">
        <v>0</v>
      </c>
      <c r="I1290" s="234">
        <v>0</v>
      </c>
      <c r="J1290" s="234">
        <v>30</v>
      </c>
      <c r="K1290" s="234">
        <v>0</v>
      </c>
      <c r="L1290" s="234">
        <v>0</v>
      </c>
      <c r="M1290" s="234">
        <v>0</v>
      </c>
      <c r="N1290" s="234">
        <v>0</v>
      </c>
      <c r="O1290" s="234">
        <v>1440</v>
      </c>
      <c r="P1290" s="234">
        <f>586.68+0.32</f>
        <v>587</v>
      </c>
      <c r="Q1290" s="234">
        <v>0</v>
      </c>
      <c r="R1290" s="234">
        <v>0</v>
      </c>
      <c r="S1290" s="234">
        <v>0</v>
      </c>
      <c r="T1290" s="234">
        <f>SUM(H1290:S1290)</f>
        <v>2057</v>
      </c>
      <c r="U1290"/>
      <c r="V1290">
        <f>+PRESUPUESTO22[[#This Row],[EJECUTADO ]]-SUM(PRESUPUESTO22[[#This Row],[   ENERO ]:[DIC]])</f>
        <v>0</v>
      </c>
    </row>
    <row r="1291" spans="1:23" ht="15.95" customHeight="1" x14ac:dyDescent="0.25">
      <c r="A1291" s="48">
        <v>4</v>
      </c>
      <c r="B1291" s="157">
        <v>3004</v>
      </c>
      <c r="C1291" s="130" t="str">
        <f t="shared" si="459"/>
        <v>E-3004</v>
      </c>
      <c r="D1291" s="130">
        <v>1241</v>
      </c>
      <c r="E1291" s="173" t="s">
        <v>69</v>
      </c>
      <c r="F1291" s="234" t="s">
        <v>1035</v>
      </c>
      <c r="G1291" s="234">
        <f t="shared" ref="G1291:T1291" si="473">SUM(G1292:G1298)</f>
        <v>31460</v>
      </c>
      <c r="H1291" s="234">
        <f t="shared" si="473"/>
        <v>0</v>
      </c>
      <c r="I1291" s="234">
        <f t="shared" si="473"/>
        <v>18160</v>
      </c>
      <c r="J1291" s="234">
        <f t="shared" si="473"/>
        <v>0</v>
      </c>
      <c r="K1291" s="234">
        <f t="shared" si="473"/>
        <v>0</v>
      </c>
      <c r="L1291" s="234">
        <f t="shared" si="473"/>
        <v>13180</v>
      </c>
      <c r="M1291" s="234">
        <f t="shared" si="473"/>
        <v>120</v>
      </c>
      <c r="N1291" s="234">
        <f t="shared" si="473"/>
        <v>0</v>
      </c>
      <c r="O1291" s="234">
        <f t="shared" si="473"/>
        <v>0</v>
      </c>
      <c r="P1291" s="234">
        <f t="shared" si="473"/>
        <v>0</v>
      </c>
      <c r="Q1291" s="234">
        <f t="shared" si="473"/>
        <v>0</v>
      </c>
      <c r="R1291" s="234">
        <f t="shared" si="473"/>
        <v>0</v>
      </c>
      <c r="S1291" s="234">
        <f t="shared" si="473"/>
        <v>0</v>
      </c>
      <c r="T1291" s="234">
        <f t="shared" si="473"/>
        <v>31460</v>
      </c>
      <c r="U1291"/>
      <c r="V1291">
        <f>+PRESUPUESTO22[[#This Row],[EJECUTADO ]]-SUM(PRESUPUESTO22[[#This Row],[   ENERO ]:[DIC]])</f>
        <v>0</v>
      </c>
    </row>
    <row r="1292" spans="1:23" ht="15.95" customHeight="1" x14ac:dyDescent="0.25">
      <c r="A1292" s="49"/>
      <c r="B1292" s="156">
        <v>300401</v>
      </c>
      <c r="C1292" s="130" t="str">
        <f t="shared" si="459"/>
        <v>E-300401</v>
      </c>
      <c r="D1292" s="130">
        <v>1242</v>
      </c>
      <c r="E1292" s="156" t="s">
        <v>72</v>
      </c>
      <c r="F1292" s="216" t="s">
        <v>1036</v>
      </c>
      <c r="G1292" s="193">
        <v>13660</v>
      </c>
      <c r="H1292" s="193">
        <v>0</v>
      </c>
      <c r="I1292" s="193">
        <v>13660</v>
      </c>
      <c r="J1292" s="193">
        <v>0</v>
      </c>
      <c r="K1292" s="193">
        <v>0</v>
      </c>
      <c r="L1292" s="193">
        <v>0</v>
      </c>
      <c r="M1292" s="193">
        <v>0</v>
      </c>
      <c r="N1292" s="193">
        <v>0</v>
      </c>
      <c r="O1292" s="193">
        <v>0</v>
      </c>
      <c r="P1292" s="193">
        <v>0</v>
      </c>
      <c r="Q1292" s="193">
        <v>0</v>
      </c>
      <c r="R1292" s="193">
        <v>0</v>
      </c>
      <c r="S1292" s="193">
        <v>0</v>
      </c>
      <c r="T1292" s="193">
        <f t="shared" ref="T1292:T1298" si="474">SUM(H1292:S1292)</f>
        <v>13660</v>
      </c>
      <c r="U1292"/>
      <c r="V1292">
        <f>+PRESUPUESTO22[[#This Row],[EJECUTADO ]]-SUM(PRESUPUESTO22[[#This Row],[   ENERO ]:[DIC]])</f>
        <v>0</v>
      </c>
    </row>
    <row r="1293" spans="1:23" ht="15.95" customHeight="1" x14ac:dyDescent="0.25">
      <c r="A1293" s="49"/>
      <c r="B1293" s="156">
        <v>300402</v>
      </c>
      <c r="C1293" s="130" t="str">
        <f t="shared" si="459"/>
        <v>E-300402</v>
      </c>
      <c r="D1293" s="130">
        <v>1243</v>
      </c>
      <c r="E1293" s="156" t="s">
        <v>72</v>
      </c>
      <c r="F1293" s="216" t="s">
        <v>1037</v>
      </c>
      <c r="G1293" s="193">
        <v>7000</v>
      </c>
      <c r="H1293" s="193">
        <v>0</v>
      </c>
      <c r="I1293" s="193">
        <v>0</v>
      </c>
      <c r="J1293" s="193">
        <v>0</v>
      </c>
      <c r="K1293" s="193">
        <v>0</v>
      </c>
      <c r="L1293" s="193">
        <v>7000</v>
      </c>
      <c r="M1293" s="193">
        <v>0</v>
      </c>
      <c r="N1293" s="193">
        <v>0</v>
      </c>
      <c r="O1293" s="193">
        <v>0</v>
      </c>
      <c r="P1293" s="193">
        <v>0</v>
      </c>
      <c r="Q1293" s="193">
        <v>0</v>
      </c>
      <c r="R1293" s="193">
        <v>0</v>
      </c>
      <c r="S1293" s="193">
        <v>0</v>
      </c>
      <c r="T1293" s="193">
        <f t="shared" si="474"/>
        <v>7000</v>
      </c>
      <c r="U1293"/>
      <c r="V1293">
        <f>+PRESUPUESTO22[[#This Row],[EJECUTADO ]]-SUM(PRESUPUESTO22[[#This Row],[   ENERO ]:[DIC]])</f>
        <v>0</v>
      </c>
      <c r="W1293"/>
    </row>
    <row r="1294" spans="1:23" ht="15.95" customHeight="1" x14ac:dyDescent="0.25">
      <c r="A1294" s="49"/>
      <c r="B1294" s="156">
        <v>300403</v>
      </c>
      <c r="C1294" s="130" t="str">
        <f t="shared" si="459"/>
        <v>E-300403</v>
      </c>
      <c r="D1294" s="130">
        <v>1244</v>
      </c>
      <c r="E1294" s="156" t="s">
        <v>72</v>
      </c>
      <c r="F1294" s="216" t="s">
        <v>1038</v>
      </c>
      <c r="G1294" s="193">
        <v>3500</v>
      </c>
      <c r="H1294" s="193">
        <v>0</v>
      </c>
      <c r="I1294" s="193">
        <v>3500</v>
      </c>
      <c r="J1294" s="193">
        <v>0</v>
      </c>
      <c r="K1294" s="193">
        <v>0</v>
      </c>
      <c r="L1294" s="193">
        <v>0</v>
      </c>
      <c r="M1294" s="193">
        <v>0</v>
      </c>
      <c r="N1294" s="193">
        <v>0</v>
      </c>
      <c r="O1294" s="193">
        <v>0</v>
      </c>
      <c r="P1294" s="193">
        <v>0</v>
      </c>
      <c r="Q1294" s="193">
        <v>0</v>
      </c>
      <c r="R1294" s="193">
        <v>0</v>
      </c>
      <c r="S1294" s="193">
        <v>0</v>
      </c>
      <c r="T1294" s="193">
        <f t="shared" si="474"/>
        <v>3500</v>
      </c>
      <c r="U1294"/>
      <c r="V1294">
        <f>+PRESUPUESTO22[[#This Row],[EJECUTADO ]]-SUM(PRESUPUESTO22[[#This Row],[   ENERO ]:[DIC]])</f>
        <v>0</v>
      </c>
      <c r="W1294"/>
    </row>
    <row r="1295" spans="1:23" ht="15.95" customHeight="1" x14ac:dyDescent="0.25">
      <c r="A1295" s="49"/>
      <c r="B1295" s="156">
        <v>300404</v>
      </c>
      <c r="C1295" s="130" t="str">
        <f t="shared" si="459"/>
        <v>E-300404</v>
      </c>
      <c r="D1295" s="130">
        <v>1245</v>
      </c>
      <c r="E1295" s="156" t="s">
        <v>72</v>
      </c>
      <c r="F1295" s="216" t="s">
        <v>1039</v>
      </c>
      <c r="G1295" s="193">
        <v>4466</v>
      </c>
      <c r="H1295" s="193">
        <v>0</v>
      </c>
      <c r="I1295" s="193">
        <v>0</v>
      </c>
      <c r="J1295" s="193">
        <v>0</v>
      </c>
      <c r="K1295" s="193">
        <v>0</v>
      </c>
      <c r="L1295" s="193">
        <v>4466</v>
      </c>
      <c r="M1295" s="193">
        <v>0</v>
      </c>
      <c r="N1295" s="193">
        <v>0</v>
      </c>
      <c r="O1295" s="193">
        <v>0</v>
      </c>
      <c r="P1295" s="193">
        <v>0</v>
      </c>
      <c r="Q1295" s="193">
        <v>0</v>
      </c>
      <c r="R1295" s="193">
        <v>0</v>
      </c>
      <c r="S1295" s="193">
        <v>0</v>
      </c>
      <c r="T1295" s="193">
        <f t="shared" si="474"/>
        <v>4466</v>
      </c>
      <c r="U1295"/>
      <c r="V1295">
        <f>+PRESUPUESTO22[[#This Row],[EJECUTADO ]]-SUM(PRESUPUESTO22[[#This Row],[   ENERO ]:[DIC]])</f>
        <v>0</v>
      </c>
      <c r="W1295"/>
    </row>
    <row r="1296" spans="1:23" ht="15.95" customHeight="1" x14ac:dyDescent="0.25">
      <c r="A1296" s="49"/>
      <c r="B1296" s="156">
        <v>300405</v>
      </c>
      <c r="C1296" s="130" t="str">
        <f t="shared" si="459"/>
        <v>E-300405</v>
      </c>
      <c r="D1296" s="130">
        <v>1246</v>
      </c>
      <c r="E1296" s="156" t="s">
        <v>72</v>
      </c>
      <c r="F1296" s="216" t="s">
        <v>1040</v>
      </c>
      <c r="G1296" s="193">
        <v>1714</v>
      </c>
      <c r="H1296" s="193">
        <v>0</v>
      </c>
      <c r="I1296" s="193">
        <v>0</v>
      </c>
      <c r="J1296" s="193">
        <v>0</v>
      </c>
      <c r="K1296" s="193">
        <v>0</v>
      </c>
      <c r="L1296" s="193">
        <v>1714</v>
      </c>
      <c r="M1296" s="193">
        <v>0</v>
      </c>
      <c r="N1296" s="193">
        <v>0</v>
      </c>
      <c r="O1296" s="193">
        <v>0</v>
      </c>
      <c r="P1296" s="193">
        <v>0</v>
      </c>
      <c r="Q1296" s="193">
        <v>0</v>
      </c>
      <c r="R1296" s="193">
        <v>0</v>
      </c>
      <c r="S1296" s="193">
        <v>0</v>
      </c>
      <c r="T1296" s="193">
        <f t="shared" si="474"/>
        <v>1714</v>
      </c>
      <c r="U1296"/>
      <c r="V1296">
        <f>+PRESUPUESTO22[[#This Row],[EJECUTADO ]]-SUM(PRESUPUESTO22[[#This Row],[   ENERO ]:[DIC]])</f>
        <v>0</v>
      </c>
      <c r="W1296"/>
    </row>
    <row r="1297" spans="1:23" ht="15.95" customHeight="1" x14ac:dyDescent="0.25">
      <c r="A1297" s="49"/>
      <c r="B1297" s="156">
        <v>300406</v>
      </c>
      <c r="C1297" s="130" t="str">
        <f t="shared" si="459"/>
        <v>E-300406</v>
      </c>
      <c r="D1297" s="130">
        <v>1247</v>
      </c>
      <c r="E1297" s="156" t="s">
        <v>72</v>
      </c>
      <c r="F1297" s="216" t="s">
        <v>1041</v>
      </c>
      <c r="G1297" s="193">
        <v>120</v>
      </c>
      <c r="H1297" s="193">
        <v>0</v>
      </c>
      <c r="I1297" s="193">
        <v>0</v>
      </c>
      <c r="J1297" s="193">
        <v>0</v>
      </c>
      <c r="K1297" s="193">
        <v>0</v>
      </c>
      <c r="L1297" s="193">
        <v>0</v>
      </c>
      <c r="M1297" s="193">
        <v>120</v>
      </c>
      <c r="N1297" s="193">
        <v>0</v>
      </c>
      <c r="O1297" s="193">
        <v>0</v>
      </c>
      <c r="P1297" s="193">
        <v>0</v>
      </c>
      <c r="Q1297" s="193">
        <v>0</v>
      </c>
      <c r="R1297" s="193">
        <v>0</v>
      </c>
      <c r="S1297" s="193">
        <v>0</v>
      </c>
      <c r="T1297" s="193">
        <f t="shared" si="474"/>
        <v>120</v>
      </c>
      <c r="U1297"/>
      <c r="V1297">
        <f>+PRESUPUESTO22[[#This Row],[EJECUTADO ]]-SUM(PRESUPUESTO22[[#This Row],[   ENERO ]:[DIC]])</f>
        <v>0</v>
      </c>
      <c r="W1297"/>
    </row>
    <row r="1298" spans="1:23" ht="15.95" customHeight="1" x14ac:dyDescent="0.25">
      <c r="A1298" s="49"/>
      <c r="B1298" s="156">
        <v>300407</v>
      </c>
      <c r="C1298" s="130" t="str">
        <f t="shared" si="459"/>
        <v>E-300407</v>
      </c>
      <c r="D1298" s="130">
        <v>1248</v>
      </c>
      <c r="E1298" s="156" t="s">
        <v>72</v>
      </c>
      <c r="F1298" s="216" t="s">
        <v>1042</v>
      </c>
      <c r="G1298" s="193">
        <v>1000</v>
      </c>
      <c r="H1298" s="193">
        <v>0</v>
      </c>
      <c r="I1298" s="193">
        <v>1000</v>
      </c>
      <c r="J1298" s="193">
        <v>0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93">
        <v>0</v>
      </c>
      <c r="R1298" s="193">
        <v>0</v>
      </c>
      <c r="S1298" s="193">
        <v>0</v>
      </c>
      <c r="T1298" s="193">
        <f t="shared" si="474"/>
        <v>1000</v>
      </c>
      <c r="U1298"/>
      <c r="V1298">
        <f>+PRESUPUESTO22[[#This Row],[EJECUTADO ]]-SUM(PRESUPUESTO22[[#This Row],[   ENERO ]:[DIC]])</f>
        <v>0</v>
      </c>
      <c r="W1298"/>
    </row>
    <row r="1299" spans="1:23" ht="16.5" customHeight="1" x14ac:dyDescent="0.25">
      <c r="A1299" s="49">
        <v>31</v>
      </c>
      <c r="B1299" s="143">
        <v>31</v>
      </c>
      <c r="C1299" s="130" t="str">
        <f t="shared" si="459"/>
        <v>E-31</v>
      </c>
      <c r="D1299" s="130">
        <v>1249</v>
      </c>
      <c r="E1299" s="143" t="s">
        <v>67</v>
      </c>
      <c r="F1299" s="195" t="s">
        <v>1043</v>
      </c>
      <c r="G1299" s="188">
        <v>10000</v>
      </c>
      <c r="H1299" s="188">
        <f t="shared" ref="H1299:S1299" si="475">+H1300+H1310</f>
        <v>1823</v>
      </c>
      <c r="I1299" s="188">
        <f t="shared" si="475"/>
        <v>694</v>
      </c>
      <c r="J1299" s="188">
        <f t="shared" si="475"/>
        <v>256</v>
      </c>
      <c r="K1299" s="188">
        <f t="shared" si="475"/>
        <v>0</v>
      </c>
      <c r="L1299" s="188">
        <f t="shared" si="475"/>
        <v>574</v>
      </c>
      <c r="M1299" s="188">
        <f t="shared" si="475"/>
        <v>27</v>
      </c>
      <c r="N1299" s="188">
        <f t="shared" si="475"/>
        <v>0</v>
      </c>
      <c r="O1299" s="188">
        <f t="shared" si="475"/>
        <v>632</v>
      </c>
      <c r="P1299" s="188">
        <f t="shared" si="475"/>
        <v>694</v>
      </c>
      <c r="Q1299" s="188">
        <f t="shared" si="475"/>
        <v>155</v>
      </c>
      <c r="R1299" s="188">
        <f t="shared" si="475"/>
        <v>917</v>
      </c>
      <c r="S1299" s="188">
        <f t="shared" si="475"/>
        <v>0</v>
      </c>
      <c r="T1299" s="188">
        <f>+T1300+T1310</f>
        <v>5772</v>
      </c>
      <c r="U1299"/>
      <c r="V1299">
        <f>+PRESUPUESTO22[[#This Row],[EJECUTADO ]]-SUM(PRESUPUESTO22[[#This Row],[   ENERO ]:[DIC]])</f>
        <v>0</v>
      </c>
      <c r="W1299"/>
    </row>
    <row r="1300" spans="1:23" ht="15.95" customHeight="1" x14ac:dyDescent="0.25">
      <c r="A1300" s="52">
        <v>1</v>
      </c>
      <c r="B1300" s="172">
        <v>3101</v>
      </c>
      <c r="C1300" s="130" t="str">
        <f t="shared" si="459"/>
        <v>E-3101</v>
      </c>
      <c r="D1300" s="130">
        <v>1250</v>
      </c>
      <c r="E1300" s="172" t="s">
        <v>69</v>
      </c>
      <c r="F1300" s="239" t="s">
        <v>1044</v>
      </c>
      <c r="G1300" s="192">
        <f>SUM(G1301:G1309)</f>
        <v>2300</v>
      </c>
      <c r="H1300" s="192">
        <f>SUM(H1301:H1309)</f>
        <v>1808</v>
      </c>
      <c r="I1300" s="192">
        <f t="shared" ref="I1300:T1300" si="476">SUM(I1301:I1309)</f>
        <v>694</v>
      </c>
      <c r="J1300" s="192">
        <f t="shared" si="476"/>
        <v>256</v>
      </c>
      <c r="K1300" s="192">
        <f t="shared" si="476"/>
        <v>0</v>
      </c>
      <c r="L1300" s="192">
        <f t="shared" si="476"/>
        <v>574</v>
      </c>
      <c r="M1300" s="192">
        <f t="shared" si="476"/>
        <v>27</v>
      </c>
      <c r="N1300" s="192">
        <f t="shared" si="476"/>
        <v>0</v>
      </c>
      <c r="O1300" s="192">
        <f t="shared" si="476"/>
        <v>632</v>
      </c>
      <c r="P1300" s="192">
        <f t="shared" si="476"/>
        <v>694</v>
      </c>
      <c r="Q1300" s="192">
        <f t="shared" si="476"/>
        <v>155</v>
      </c>
      <c r="R1300" s="192">
        <f t="shared" si="476"/>
        <v>917</v>
      </c>
      <c r="S1300" s="192">
        <f t="shared" si="476"/>
        <v>0</v>
      </c>
      <c r="T1300" s="192">
        <f t="shared" si="476"/>
        <v>5757</v>
      </c>
      <c r="U1300"/>
      <c r="V1300">
        <f>+PRESUPUESTO22[[#This Row],[EJECUTADO ]]-SUM(PRESUPUESTO22[[#This Row],[   ENERO ]:[DIC]])</f>
        <v>0</v>
      </c>
      <c r="W1300"/>
    </row>
    <row r="1301" spans="1:23" ht="15.95" customHeight="1" x14ac:dyDescent="0.25">
      <c r="A1301" s="52"/>
      <c r="B1301" s="156">
        <v>310101</v>
      </c>
      <c r="C1301" s="130" t="str">
        <f t="shared" si="459"/>
        <v>E-310101</v>
      </c>
      <c r="D1301" s="130">
        <v>1251</v>
      </c>
      <c r="E1301" s="156" t="s">
        <v>72</v>
      </c>
      <c r="F1301" s="216" t="s">
        <v>1045</v>
      </c>
      <c r="G1301" s="193">
        <v>0</v>
      </c>
      <c r="H1301" s="193">
        <v>0</v>
      </c>
      <c r="I1301" s="193">
        <v>120</v>
      </c>
      <c r="J1301" s="193">
        <v>120</v>
      </c>
      <c r="K1301" s="193">
        <v>0</v>
      </c>
      <c r="L1301" s="193">
        <v>0</v>
      </c>
      <c r="M1301" s="193">
        <v>0</v>
      </c>
      <c r="N1301" s="193">
        <v>0</v>
      </c>
      <c r="O1301" s="193">
        <v>0</v>
      </c>
      <c r="P1301" s="193">
        <v>120</v>
      </c>
      <c r="Q1301" s="193">
        <v>0</v>
      </c>
      <c r="R1301" s="193">
        <f>574.27-0.27</f>
        <v>574</v>
      </c>
      <c r="S1301" s="193">
        <v>0</v>
      </c>
      <c r="T1301" s="193">
        <f t="shared" ref="T1301:T1309" si="477">SUM(H1301:S1301)</f>
        <v>934</v>
      </c>
      <c r="U1301"/>
      <c r="V1301">
        <f>+PRESUPUESTO22[[#This Row],[EJECUTADO ]]-SUM(PRESUPUESTO22[[#This Row],[   ENERO ]:[DIC]])</f>
        <v>0</v>
      </c>
      <c r="W1301"/>
    </row>
    <row r="1302" spans="1:23" ht="15.95" customHeight="1" x14ac:dyDescent="0.25">
      <c r="A1302" s="52"/>
      <c r="B1302" s="156">
        <v>310102</v>
      </c>
      <c r="C1302" s="130" t="str">
        <f t="shared" si="459"/>
        <v>E-310102</v>
      </c>
      <c r="D1302" s="130">
        <v>1252</v>
      </c>
      <c r="E1302" s="156" t="s">
        <v>72</v>
      </c>
      <c r="F1302" s="216" t="s">
        <v>1046</v>
      </c>
      <c r="G1302" s="193">
        <v>2300</v>
      </c>
      <c r="H1302" s="193">
        <v>0</v>
      </c>
      <c r="I1302" s="193">
        <f>574.27-0.27</f>
        <v>574</v>
      </c>
      <c r="J1302" s="193">
        <v>0</v>
      </c>
      <c r="K1302" s="193">
        <v>0</v>
      </c>
      <c r="L1302" s="193">
        <v>574</v>
      </c>
      <c r="M1302" s="193">
        <v>0</v>
      </c>
      <c r="N1302" s="193">
        <v>0</v>
      </c>
      <c r="O1302" s="193">
        <v>574</v>
      </c>
      <c r="P1302" s="193">
        <f>574.27-0.27</f>
        <v>574</v>
      </c>
      <c r="Q1302" s="193">
        <v>0</v>
      </c>
      <c r="R1302" s="193">
        <v>0</v>
      </c>
      <c r="S1302" s="193">
        <v>0</v>
      </c>
      <c r="T1302" s="193">
        <f t="shared" si="477"/>
        <v>2296</v>
      </c>
      <c r="U1302"/>
      <c r="V1302">
        <f>+PRESUPUESTO22[[#This Row],[EJECUTADO ]]-SUM(PRESUPUESTO22[[#This Row],[   ENERO ]:[DIC]])</f>
        <v>0</v>
      </c>
      <c r="W1302"/>
    </row>
    <row r="1303" spans="1:23" ht="15.95" customHeight="1" x14ac:dyDescent="0.25">
      <c r="A1303" s="52"/>
      <c r="B1303" s="156">
        <v>310103</v>
      </c>
      <c r="C1303" s="130" t="str">
        <f t="shared" si="459"/>
        <v>E-310103</v>
      </c>
      <c r="D1303" s="130">
        <v>1253</v>
      </c>
      <c r="E1303" s="156" t="s">
        <v>72</v>
      </c>
      <c r="F1303" s="216" t="s">
        <v>1047</v>
      </c>
      <c r="G1303" s="193">
        <v>0</v>
      </c>
      <c r="H1303" s="193">
        <v>1808</v>
      </c>
      <c r="I1303" s="193">
        <v>0</v>
      </c>
      <c r="J1303" s="193">
        <v>0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93">
        <v>0</v>
      </c>
      <c r="R1303" s="193">
        <v>0</v>
      </c>
      <c r="S1303" s="193">
        <v>0</v>
      </c>
      <c r="T1303" s="193">
        <f t="shared" si="477"/>
        <v>1808</v>
      </c>
      <c r="U1303"/>
      <c r="V1303">
        <f>+PRESUPUESTO22[[#This Row],[EJECUTADO ]]-SUM(PRESUPUESTO22[[#This Row],[   ENERO ]:[DIC]])</f>
        <v>0</v>
      </c>
      <c r="W1303"/>
    </row>
    <row r="1304" spans="1:23" ht="15.95" customHeight="1" x14ac:dyDescent="0.25">
      <c r="A1304" s="52"/>
      <c r="B1304" s="156">
        <v>310104</v>
      </c>
      <c r="C1304" s="130" t="str">
        <f t="shared" si="459"/>
        <v>E-310104</v>
      </c>
      <c r="D1304" s="130">
        <v>1254</v>
      </c>
      <c r="E1304" s="156" t="s">
        <v>72</v>
      </c>
      <c r="F1304" s="216" t="s">
        <v>1048</v>
      </c>
      <c r="G1304" s="193">
        <v>0</v>
      </c>
      <c r="H1304" s="193">
        <v>0</v>
      </c>
      <c r="I1304" s="193">
        <v>0</v>
      </c>
      <c r="J1304" s="193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>
        <v>0</v>
      </c>
      <c r="P1304" s="193">
        <v>0</v>
      </c>
      <c r="Q1304" s="193">
        <v>0</v>
      </c>
      <c r="R1304" s="193">
        <v>0</v>
      </c>
      <c r="S1304" s="193">
        <v>0</v>
      </c>
      <c r="T1304" s="193">
        <f t="shared" si="477"/>
        <v>0</v>
      </c>
      <c r="U1304"/>
      <c r="V1304">
        <f>+PRESUPUESTO22[[#This Row],[EJECUTADO ]]-SUM(PRESUPUESTO22[[#This Row],[   ENERO ]:[DIC]])</f>
        <v>0</v>
      </c>
    </row>
    <row r="1305" spans="1:23" ht="15.95" customHeight="1" x14ac:dyDescent="0.25">
      <c r="A1305" s="52"/>
      <c r="B1305" s="156">
        <v>310105</v>
      </c>
      <c r="C1305" s="130" t="str">
        <f t="shared" si="459"/>
        <v>E-310105</v>
      </c>
      <c r="D1305" s="130">
        <v>1255</v>
      </c>
      <c r="E1305" s="156" t="s">
        <v>72</v>
      </c>
      <c r="F1305" s="216" t="s">
        <v>1049</v>
      </c>
      <c r="G1305" s="193">
        <v>0</v>
      </c>
      <c r="H1305" s="193">
        <v>0</v>
      </c>
      <c r="I1305" s="193">
        <v>0</v>
      </c>
      <c r="J1305" s="193">
        <f>135.59+0.41</f>
        <v>136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93">
        <v>0</v>
      </c>
      <c r="R1305" s="193">
        <v>0</v>
      </c>
      <c r="S1305" s="193">
        <v>0</v>
      </c>
      <c r="T1305" s="193">
        <f t="shared" si="477"/>
        <v>136</v>
      </c>
      <c r="U1305"/>
      <c r="V1305">
        <f>+PRESUPUESTO22[[#This Row],[EJECUTADO ]]-SUM(PRESUPUESTO22[[#This Row],[   ENERO ]:[DIC]])</f>
        <v>0</v>
      </c>
    </row>
    <row r="1306" spans="1:23" ht="15.95" customHeight="1" x14ac:dyDescent="0.25">
      <c r="A1306" s="52"/>
      <c r="B1306" s="156">
        <v>310106</v>
      </c>
      <c r="C1306" s="130" t="str">
        <f t="shared" si="459"/>
        <v>E-310106</v>
      </c>
      <c r="D1306" s="130">
        <v>1256</v>
      </c>
      <c r="E1306" s="156" t="s">
        <v>72</v>
      </c>
      <c r="F1306" s="216" t="s">
        <v>1050</v>
      </c>
      <c r="G1306" s="193">
        <v>0</v>
      </c>
      <c r="H1306" s="193">
        <v>0</v>
      </c>
      <c r="I1306" s="193">
        <v>0</v>
      </c>
      <c r="J1306" s="193">
        <v>0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93">
        <v>0</v>
      </c>
      <c r="R1306" s="193">
        <v>90</v>
      </c>
      <c r="S1306" s="193">
        <v>0</v>
      </c>
      <c r="T1306" s="193">
        <f t="shared" si="477"/>
        <v>90</v>
      </c>
      <c r="U1306"/>
      <c r="V1306">
        <f>+PRESUPUESTO22[[#This Row],[EJECUTADO ]]-SUM(PRESUPUESTO22[[#This Row],[   ENERO ]:[DIC]])</f>
        <v>0</v>
      </c>
    </row>
    <row r="1307" spans="1:23" ht="15.95" customHeight="1" x14ac:dyDescent="0.25">
      <c r="A1307" s="52"/>
      <c r="B1307" s="156">
        <v>310107</v>
      </c>
      <c r="C1307" s="130" t="str">
        <f t="shared" si="459"/>
        <v>E-310107</v>
      </c>
      <c r="D1307" s="130">
        <v>1257</v>
      </c>
      <c r="E1307" s="156" t="s">
        <v>72</v>
      </c>
      <c r="F1307" s="216" t="s">
        <v>1051</v>
      </c>
      <c r="G1307" s="193">
        <v>0</v>
      </c>
      <c r="H1307" s="193">
        <v>0</v>
      </c>
      <c r="I1307" s="193">
        <v>0</v>
      </c>
      <c r="J1307" s="193">
        <v>0</v>
      </c>
      <c r="K1307" s="193">
        <v>0</v>
      </c>
      <c r="L1307" s="193">
        <v>0</v>
      </c>
      <c r="M1307" s="193">
        <v>0</v>
      </c>
      <c r="N1307" s="193">
        <v>0</v>
      </c>
      <c r="O1307" s="193">
        <v>0</v>
      </c>
      <c r="P1307" s="193">
        <v>0</v>
      </c>
      <c r="Q1307" s="193">
        <v>0</v>
      </c>
      <c r="R1307" s="193">
        <f>203.4-0.4</f>
        <v>203</v>
      </c>
      <c r="S1307" s="193">
        <v>0</v>
      </c>
      <c r="T1307" s="193">
        <f t="shared" si="477"/>
        <v>203</v>
      </c>
      <c r="U1307"/>
      <c r="V1307">
        <f>+PRESUPUESTO22[[#This Row],[EJECUTADO ]]-SUM(PRESUPUESTO22[[#This Row],[   ENERO ]:[DIC]])</f>
        <v>0</v>
      </c>
    </row>
    <row r="1308" spans="1:23" ht="15.95" customHeight="1" x14ac:dyDescent="0.25">
      <c r="A1308" s="52"/>
      <c r="B1308" s="156">
        <v>310108</v>
      </c>
      <c r="C1308" s="130" t="str">
        <f t="shared" si="459"/>
        <v>E-310108</v>
      </c>
      <c r="D1308" s="130">
        <v>1258</v>
      </c>
      <c r="E1308" s="156" t="s">
        <v>72</v>
      </c>
      <c r="F1308" s="216" t="s">
        <v>1052</v>
      </c>
      <c r="G1308" s="193">
        <v>0</v>
      </c>
      <c r="H1308" s="193">
        <v>0</v>
      </c>
      <c r="I1308" s="193">
        <v>0</v>
      </c>
      <c r="J1308" s="193">
        <v>0</v>
      </c>
      <c r="K1308" s="193">
        <v>0</v>
      </c>
      <c r="L1308" s="193">
        <v>0</v>
      </c>
      <c r="M1308" s="193">
        <f>27.4-0.4</f>
        <v>27</v>
      </c>
      <c r="N1308" s="193">
        <v>0</v>
      </c>
      <c r="O1308" s="193">
        <f>50+7.66+0.34</f>
        <v>58</v>
      </c>
      <c r="P1308" s="193">
        <v>0</v>
      </c>
      <c r="Q1308" s="193">
        <v>155</v>
      </c>
      <c r="R1308" s="193">
        <f>45+5.08-0.08</f>
        <v>50</v>
      </c>
      <c r="S1308" s="193">
        <v>0</v>
      </c>
      <c r="T1308" s="193">
        <f t="shared" si="477"/>
        <v>290</v>
      </c>
      <c r="U1308"/>
      <c r="V1308">
        <f>+PRESUPUESTO22[[#This Row],[EJECUTADO ]]-SUM(PRESUPUESTO22[[#This Row],[   ENERO ]:[DIC]])</f>
        <v>0</v>
      </c>
    </row>
    <row r="1309" spans="1:23" ht="15.95" customHeight="1" x14ac:dyDescent="0.25">
      <c r="A1309" s="52"/>
      <c r="B1309" s="156">
        <v>310109</v>
      </c>
      <c r="C1309" s="130" t="str">
        <f t="shared" si="459"/>
        <v>E-310109</v>
      </c>
      <c r="D1309" s="130">
        <v>1259</v>
      </c>
      <c r="E1309" s="156" t="s">
        <v>72</v>
      </c>
      <c r="F1309" s="216" t="s">
        <v>1053</v>
      </c>
      <c r="G1309" s="193">
        <v>0</v>
      </c>
      <c r="H1309" s="193">
        <v>0</v>
      </c>
      <c r="I1309" s="193">
        <v>0</v>
      </c>
      <c r="J1309" s="193">
        <v>0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93">
        <v>0</v>
      </c>
      <c r="R1309" s="193">
        <v>0</v>
      </c>
      <c r="S1309" s="193">
        <v>0</v>
      </c>
      <c r="T1309" s="193">
        <f t="shared" si="477"/>
        <v>0</v>
      </c>
      <c r="U1309"/>
      <c r="V1309">
        <f>+PRESUPUESTO22[[#This Row],[EJECUTADO ]]-SUM(PRESUPUESTO22[[#This Row],[   ENERO ]:[DIC]])</f>
        <v>0</v>
      </c>
    </row>
    <row r="1310" spans="1:23" ht="15.95" customHeight="1" x14ac:dyDescent="0.25">
      <c r="A1310" s="52">
        <v>31.2</v>
      </c>
      <c r="B1310" s="172">
        <v>3102</v>
      </c>
      <c r="C1310" s="130" t="str">
        <f t="shared" ref="C1310:C1375" si="478">"E"&amp;"-"&amp;B1310</f>
        <v>E-3102</v>
      </c>
      <c r="D1310" s="130">
        <v>1260</v>
      </c>
      <c r="E1310" s="172" t="s">
        <v>69</v>
      </c>
      <c r="F1310" s="239" t="s">
        <v>1054</v>
      </c>
      <c r="G1310" s="192">
        <f>SUM(G1311:G1313)</f>
        <v>2900</v>
      </c>
      <c r="H1310" s="192">
        <f>SUM(H1311:H1313)</f>
        <v>15</v>
      </c>
      <c r="I1310" s="192">
        <f t="shared" ref="I1310:T1310" si="479">SUM(I1311:I1313)</f>
        <v>0</v>
      </c>
      <c r="J1310" s="192">
        <f t="shared" si="479"/>
        <v>0</v>
      </c>
      <c r="K1310" s="192">
        <f t="shared" si="479"/>
        <v>0</v>
      </c>
      <c r="L1310" s="192">
        <f t="shared" si="479"/>
        <v>0</v>
      </c>
      <c r="M1310" s="192">
        <f t="shared" si="479"/>
        <v>0</v>
      </c>
      <c r="N1310" s="192">
        <f t="shared" si="479"/>
        <v>0</v>
      </c>
      <c r="O1310" s="192">
        <f t="shared" si="479"/>
        <v>0</v>
      </c>
      <c r="P1310" s="192">
        <f t="shared" si="479"/>
        <v>0</v>
      </c>
      <c r="Q1310" s="192">
        <f t="shared" si="479"/>
        <v>0</v>
      </c>
      <c r="R1310" s="192">
        <f t="shared" si="479"/>
        <v>0</v>
      </c>
      <c r="S1310" s="192">
        <f t="shared" si="479"/>
        <v>0</v>
      </c>
      <c r="T1310" s="192">
        <f t="shared" si="479"/>
        <v>15</v>
      </c>
      <c r="U1310"/>
      <c r="V1310">
        <f>+PRESUPUESTO22[[#This Row],[EJECUTADO ]]-SUM(PRESUPUESTO22[[#This Row],[   ENERO ]:[DIC]])</f>
        <v>0</v>
      </c>
    </row>
    <row r="1311" spans="1:23" ht="15.95" customHeight="1" x14ac:dyDescent="0.25">
      <c r="A1311" s="52"/>
      <c r="B1311" s="156">
        <v>310201</v>
      </c>
      <c r="C1311" s="130" t="str">
        <f t="shared" si="478"/>
        <v>E-310201</v>
      </c>
      <c r="D1311" s="130">
        <v>1261</v>
      </c>
      <c r="E1311" s="156" t="s">
        <v>72</v>
      </c>
      <c r="F1311" s="216" t="s">
        <v>1055</v>
      </c>
      <c r="G1311" s="193">
        <v>750</v>
      </c>
      <c r="H1311" s="193">
        <v>0</v>
      </c>
      <c r="I1311" s="193">
        <v>0</v>
      </c>
      <c r="J1311" s="193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>
        <v>0</v>
      </c>
      <c r="P1311" s="193">
        <v>0</v>
      </c>
      <c r="Q1311" s="193">
        <v>0</v>
      </c>
      <c r="R1311" s="193">
        <v>0</v>
      </c>
      <c r="S1311" s="193">
        <v>0</v>
      </c>
      <c r="T1311" s="193">
        <f>SUM(H1311:S1311)</f>
        <v>0</v>
      </c>
      <c r="U1311"/>
      <c r="V1311">
        <f>+PRESUPUESTO22[[#This Row],[EJECUTADO ]]-SUM(PRESUPUESTO22[[#This Row],[   ENERO ]:[DIC]])</f>
        <v>0</v>
      </c>
    </row>
    <row r="1312" spans="1:23" ht="15.95" customHeight="1" x14ac:dyDescent="0.25">
      <c r="A1312" s="52"/>
      <c r="B1312" s="156">
        <v>310202</v>
      </c>
      <c r="C1312" s="130" t="str">
        <f t="shared" si="478"/>
        <v>E-310202</v>
      </c>
      <c r="D1312" s="130">
        <v>1262</v>
      </c>
      <c r="E1312" s="156" t="s">
        <v>72</v>
      </c>
      <c r="F1312" s="216" t="s">
        <v>1056</v>
      </c>
      <c r="G1312" s="193">
        <v>1700</v>
      </c>
      <c r="H1312" s="193">
        <v>15</v>
      </c>
      <c r="I1312" s="193">
        <v>0</v>
      </c>
      <c r="J1312" s="193">
        <v>0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93">
        <v>0</v>
      </c>
      <c r="R1312" s="193">
        <v>0</v>
      </c>
      <c r="S1312" s="193">
        <v>0</v>
      </c>
      <c r="T1312" s="193">
        <f>SUM(H1312:S1312)</f>
        <v>15</v>
      </c>
      <c r="U1312"/>
      <c r="V1312">
        <f>+PRESUPUESTO22[[#This Row],[EJECUTADO ]]-SUM(PRESUPUESTO22[[#This Row],[   ENERO ]:[DIC]])</f>
        <v>0</v>
      </c>
    </row>
    <row r="1313" spans="1:22" ht="15.95" customHeight="1" x14ac:dyDescent="0.25">
      <c r="A1313" s="52"/>
      <c r="B1313" s="156">
        <v>310203</v>
      </c>
      <c r="C1313" s="130" t="str">
        <f t="shared" si="478"/>
        <v>E-310203</v>
      </c>
      <c r="D1313" s="130">
        <v>1263</v>
      </c>
      <c r="E1313" s="156" t="s">
        <v>72</v>
      </c>
      <c r="F1313" s="216" t="s">
        <v>1057</v>
      </c>
      <c r="G1313" s="193">
        <v>450</v>
      </c>
      <c r="H1313" s="193">
        <v>0</v>
      </c>
      <c r="I1313" s="193">
        <v>0</v>
      </c>
      <c r="J1313" s="193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>
        <v>0</v>
      </c>
      <c r="P1313" s="193">
        <v>0</v>
      </c>
      <c r="Q1313" s="193">
        <v>0</v>
      </c>
      <c r="R1313" s="193">
        <v>0</v>
      </c>
      <c r="S1313" s="193">
        <v>0</v>
      </c>
      <c r="T1313" s="193">
        <f>SUM(H1313:S1313)</f>
        <v>0</v>
      </c>
      <c r="U1313"/>
      <c r="V1313">
        <f>+PRESUPUESTO22[[#This Row],[EJECUTADO ]]-SUM(PRESUPUESTO22[[#This Row],[   ENERO ]:[DIC]])</f>
        <v>0</v>
      </c>
    </row>
    <row r="1314" spans="1:22" ht="15.95" customHeight="1" x14ac:dyDescent="0.25">
      <c r="A1314" s="49">
        <v>32</v>
      </c>
      <c r="B1314" s="143">
        <v>32</v>
      </c>
      <c r="C1314" s="130" t="str">
        <f t="shared" si="478"/>
        <v>E-32</v>
      </c>
      <c r="D1314" s="130">
        <v>1264</v>
      </c>
      <c r="E1314" s="143" t="s">
        <v>67</v>
      </c>
      <c r="F1314" s="195" t="s">
        <v>1058</v>
      </c>
      <c r="G1314" s="188">
        <v>75000</v>
      </c>
      <c r="H1314" s="188">
        <f t="shared" ref="H1314:T1314" si="480">+H1315+H1328+H1340</f>
        <v>4035</v>
      </c>
      <c r="I1314" s="188">
        <f t="shared" si="480"/>
        <v>4674</v>
      </c>
      <c r="J1314" s="188">
        <f t="shared" si="480"/>
        <v>4654</v>
      </c>
      <c r="K1314" s="188">
        <f t="shared" si="480"/>
        <v>7026</v>
      </c>
      <c r="L1314" s="188">
        <f t="shared" si="480"/>
        <v>29009</v>
      </c>
      <c r="M1314" s="188">
        <f t="shared" si="480"/>
        <v>1689</v>
      </c>
      <c r="N1314" s="188">
        <f t="shared" si="480"/>
        <v>1214</v>
      </c>
      <c r="O1314" s="188">
        <f t="shared" si="480"/>
        <v>2168</v>
      </c>
      <c r="P1314" s="188">
        <f t="shared" si="480"/>
        <v>27347</v>
      </c>
      <c r="Q1314" s="188">
        <f t="shared" si="480"/>
        <v>1114</v>
      </c>
      <c r="R1314" s="188">
        <f t="shared" si="480"/>
        <v>2414</v>
      </c>
      <c r="S1314" s="188">
        <f t="shared" si="480"/>
        <v>0</v>
      </c>
      <c r="T1314" s="188">
        <f t="shared" si="480"/>
        <v>85344</v>
      </c>
      <c r="U1314"/>
      <c r="V1314">
        <f>+PRESUPUESTO22[[#This Row],[EJECUTADO ]]-SUM(PRESUPUESTO22[[#This Row],[   ENERO ]:[DIC]])</f>
        <v>0</v>
      </c>
    </row>
    <row r="1315" spans="1:22" ht="15.95" customHeight="1" x14ac:dyDescent="0.25">
      <c r="A1315" s="52"/>
      <c r="B1315" s="151">
        <v>3201</v>
      </c>
      <c r="C1315" s="130" t="str">
        <f t="shared" si="478"/>
        <v>E-3201</v>
      </c>
      <c r="D1315" s="130">
        <v>1265</v>
      </c>
      <c r="E1315" s="151" t="s">
        <v>69</v>
      </c>
      <c r="F1315" s="247" t="s">
        <v>1059</v>
      </c>
      <c r="G1315" s="192">
        <f t="shared" ref="G1315:T1315" si="481">SUM(G1316:G1325)</f>
        <v>14668</v>
      </c>
      <c r="H1315" s="192">
        <f t="shared" si="481"/>
        <v>1873</v>
      </c>
      <c r="I1315" s="192">
        <f t="shared" si="481"/>
        <v>1314</v>
      </c>
      <c r="J1315" s="192">
        <f t="shared" si="481"/>
        <v>1314</v>
      </c>
      <c r="K1315" s="192">
        <f t="shared" si="481"/>
        <v>1114</v>
      </c>
      <c r="L1315" s="192">
        <f t="shared" si="481"/>
        <v>2614</v>
      </c>
      <c r="M1315" s="192">
        <f t="shared" si="481"/>
        <v>1114</v>
      </c>
      <c r="N1315" s="192">
        <f t="shared" si="481"/>
        <v>1214</v>
      </c>
      <c r="O1315" s="192">
        <f t="shared" si="481"/>
        <v>2168</v>
      </c>
      <c r="P1315" s="192">
        <f t="shared" si="481"/>
        <v>5114</v>
      </c>
      <c r="Q1315" s="192">
        <f t="shared" si="481"/>
        <v>1114</v>
      </c>
      <c r="R1315" s="192">
        <f t="shared" si="481"/>
        <v>2414</v>
      </c>
      <c r="S1315" s="192">
        <f t="shared" si="481"/>
        <v>0</v>
      </c>
      <c r="T1315" s="192">
        <f t="shared" si="481"/>
        <v>21367</v>
      </c>
      <c r="U1315"/>
      <c r="V1315">
        <f>+PRESUPUESTO22[[#This Row],[EJECUTADO ]]-SUM(PRESUPUESTO22[[#This Row],[   ENERO ]:[DIC]])</f>
        <v>0</v>
      </c>
    </row>
    <row r="1316" spans="1:22" ht="15.95" customHeight="1" x14ac:dyDescent="0.25">
      <c r="A1316" s="52"/>
      <c r="B1316" s="156">
        <v>320101</v>
      </c>
      <c r="C1316" s="130" t="str">
        <f t="shared" si="478"/>
        <v>E-320101</v>
      </c>
      <c r="D1316" s="130">
        <v>1266</v>
      </c>
      <c r="E1316" s="156" t="s">
        <v>72</v>
      </c>
      <c r="F1316" s="216" t="s">
        <v>1060</v>
      </c>
      <c r="G1316" s="193">
        <f>114*12</f>
        <v>1368</v>
      </c>
      <c r="H1316" s="193">
        <v>114</v>
      </c>
      <c r="I1316" s="193">
        <v>114</v>
      </c>
      <c r="J1316" s="193">
        <v>114</v>
      </c>
      <c r="K1316" s="193">
        <v>114</v>
      </c>
      <c r="L1316" s="193">
        <v>114</v>
      </c>
      <c r="M1316" s="193">
        <v>114</v>
      </c>
      <c r="N1316" s="193">
        <v>114</v>
      </c>
      <c r="O1316" s="193">
        <v>114</v>
      </c>
      <c r="P1316" s="193">
        <v>114</v>
      </c>
      <c r="Q1316" s="193">
        <v>114</v>
      </c>
      <c r="R1316" s="193">
        <v>114</v>
      </c>
      <c r="S1316" s="193">
        <v>0</v>
      </c>
      <c r="T1316" s="193">
        <f t="shared" ref="T1316:T1324" si="482">SUM(H1316:S1316)</f>
        <v>1254</v>
      </c>
      <c r="U1316" t="s">
        <v>1</v>
      </c>
      <c r="V1316">
        <f>+PRESUPUESTO22[[#This Row],[EJECUTADO ]]-SUM(PRESUPUESTO22[[#This Row],[   ENERO ]:[DIC]])</f>
        <v>0</v>
      </c>
    </row>
    <row r="1317" spans="1:22" ht="15.95" customHeight="1" x14ac:dyDescent="0.25">
      <c r="A1317" s="52"/>
      <c r="B1317" s="156">
        <v>320102</v>
      </c>
      <c r="C1317" s="130" t="str">
        <f t="shared" si="478"/>
        <v>E-320102</v>
      </c>
      <c r="D1317" s="130">
        <v>1267</v>
      </c>
      <c r="E1317" s="156" t="s">
        <v>72</v>
      </c>
      <c r="F1317" s="216" t="s">
        <v>1061</v>
      </c>
      <c r="G1317" s="193">
        <v>0</v>
      </c>
      <c r="H1317" s="193">
        <v>0</v>
      </c>
      <c r="I1317" s="193">
        <v>0</v>
      </c>
      <c r="J1317" s="193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>
        <v>0</v>
      </c>
      <c r="P1317" s="193">
        <v>4000</v>
      </c>
      <c r="Q1317" s="193">
        <v>0</v>
      </c>
      <c r="R1317" s="193">
        <v>0</v>
      </c>
      <c r="S1317" s="193">
        <v>0</v>
      </c>
      <c r="T1317" s="193">
        <f t="shared" si="482"/>
        <v>4000</v>
      </c>
      <c r="U1317"/>
      <c r="V1317">
        <f>+PRESUPUESTO22[[#This Row],[EJECUTADO ]]-SUM(PRESUPUESTO22[[#This Row],[   ENERO ]:[DIC]])</f>
        <v>0</v>
      </c>
    </row>
    <row r="1318" spans="1:22" ht="15.95" customHeight="1" x14ac:dyDescent="0.25">
      <c r="A1318" s="52"/>
      <c r="B1318" s="156">
        <v>320103</v>
      </c>
      <c r="C1318" s="130" t="str">
        <f t="shared" si="478"/>
        <v>E-320103</v>
      </c>
      <c r="D1318" s="130">
        <v>1268</v>
      </c>
      <c r="E1318" s="156" t="s">
        <v>72</v>
      </c>
      <c r="F1318" s="216" t="s">
        <v>1062</v>
      </c>
      <c r="G1318" s="193">
        <v>1300</v>
      </c>
      <c r="H1318" s="193">
        <f>759.29-0.29</f>
        <v>759</v>
      </c>
      <c r="I1318" s="193">
        <v>0</v>
      </c>
      <c r="J1318" s="193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>
        <f>954.35-0.35</f>
        <v>954</v>
      </c>
      <c r="P1318" s="193">
        <v>0</v>
      </c>
      <c r="Q1318" s="193">
        <v>0</v>
      </c>
      <c r="R1318" s="193">
        <v>0</v>
      </c>
      <c r="S1318" s="193">
        <v>0</v>
      </c>
      <c r="T1318" s="193">
        <f t="shared" si="482"/>
        <v>1713</v>
      </c>
      <c r="U1318"/>
      <c r="V1318">
        <f>+PRESUPUESTO22[[#This Row],[EJECUTADO ]]-SUM(PRESUPUESTO22[[#This Row],[   ENERO ]:[DIC]])</f>
        <v>0</v>
      </c>
    </row>
    <row r="1319" spans="1:22" ht="15.95" customHeight="1" x14ac:dyDescent="0.25">
      <c r="A1319" s="52"/>
      <c r="B1319" s="156">
        <v>320104</v>
      </c>
      <c r="C1319" s="130" t="str">
        <f t="shared" si="478"/>
        <v>E-320104</v>
      </c>
      <c r="D1319" s="130">
        <v>1269</v>
      </c>
      <c r="E1319" s="156" t="s">
        <v>72</v>
      </c>
      <c r="F1319" s="216" t="s">
        <v>1063</v>
      </c>
      <c r="G1319" s="193">
        <v>0</v>
      </c>
      <c r="H1319" s="193">
        <v>0</v>
      </c>
      <c r="I1319" s="193">
        <v>0</v>
      </c>
      <c r="J1319" s="193">
        <v>200</v>
      </c>
      <c r="K1319" s="193">
        <v>0</v>
      </c>
      <c r="L1319" s="193">
        <v>0</v>
      </c>
      <c r="M1319" s="193">
        <v>0</v>
      </c>
      <c r="N1319" s="193">
        <v>100</v>
      </c>
      <c r="O1319" s="193">
        <v>0</v>
      </c>
      <c r="P1319" s="193">
        <v>0</v>
      </c>
      <c r="Q1319" s="193">
        <v>0</v>
      </c>
      <c r="R1319" s="193">
        <v>0</v>
      </c>
      <c r="S1319" s="193">
        <v>0</v>
      </c>
      <c r="T1319" s="193">
        <f t="shared" si="482"/>
        <v>300</v>
      </c>
      <c r="U1319"/>
      <c r="V1319">
        <f>+PRESUPUESTO22[[#This Row],[EJECUTADO ]]-SUM(PRESUPUESTO22[[#This Row],[   ENERO ]:[DIC]])</f>
        <v>0</v>
      </c>
    </row>
    <row r="1320" spans="1:22" ht="15.95" customHeight="1" x14ac:dyDescent="0.25">
      <c r="A1320" s="52"/>
      <c r="B1320" s="156">
        <v>320105</v>
      </c>
      <c r="C1320" s="130" t="str">
        <f t="shared" si="478"/>
        <v>E-320105</v>
      </c>
      <c r="D1320" s="130">
        <v>1270</v>
      </c>
      <c r="E1320" s="156" t="s">
        <v>72</v>
      </c>
      <c r="F1320" s="216" t="s">
        <v>1064</v>
      </c>
      <c r="G1320" s="193">
        <v>0</v>
      </c>
      <c r="H1320" s="193">
        <v>0</v>
      </c>
      <c r="I1320" s="193">
        <v>200</v>
      </c>
      <c r="J1320" s="193">
        <v>0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93">
        <v>0</v>
      </c>
      <c r="R1320" s="193">
        <v>0</v>
      </c>
      <c r="S1320" s="193">
        <v>0</v>
      </c>
      <c r="T1320" s="193">
        <f t="shared" si="482"/>
        <v>200</v>
      </c>
      <c r="U1320"/>
      <c r="V1320">
        <f>+PRESUPUESTO22[[#This Row],[EJECUTADO ]]-SUM(PRESUPUESTO22[[#This Row],[   ENERO ]:[DIC]])</f>
        <v>0</v>
      </c>
    </row>
    <row r="1321" spans="1:22" ht="15.95" customHeight="1" x14ac:dyDescent="0.25">
      <c r="A1321" s="52"/>
      <c r="B1321" s="156">
        <v>320106</v>
      </c>
      <c r="C1321" s="130" t="str">
        <f t="shared" si="478"/>
        <v>E-320106</v>
      </c>
      <c r="D1321" s="130">
        <v>1271</v>
      </c>
      <c r="E1321" s="156" t="s">
        <v>72</v>
      </c>
      <c r="F1321" s="216" t="s">
        <v>1065</v>
      </c>
      <c r="G1321" s="193">
        <v>0</v>
      </c>
      <c r="H1321" s="193">
        <v>0</v>
      </c>
      <c r="I1321" s="193">
        <v>0</v>
      </c>
      <c r="J1321" s="193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>
        <v>0</v>
      </c>
      <c r="P1321" s="193">
        <v>0</v>
      </c>
      <c r="Q1321" s="193">
        <v>0</v>
      </c>
      <c r="R1321" s="193">
        <v>0</v>
      </c>
      <c r="S1321" s="193">
        <v>0</v>
      </c>
      <c r="T1321" s="193">
        <f t="shared" si="482"/>
        <v>0</v>
      </c>
      <c r="U1321"/>
      <c r="V1321">
        <f>+PRESUPUESTO22[[#This Row],[EJECUTADO ]]-SUM(PRESUPUESTO22[[#This Row],[   ENERO ]:[DIC]])</f>
        <v>0</v>
      </c>
    </row>
    <row r="1322" spans="1:22" ht="15.95" customHeight="1" x14ac:dyDescent="0.25">
      <c r="A1322" s="52"/>
      <c r="B1322" s="156">
        <v>320107</v>
      </c>
      <c r="C1322" s="130" t="str">
        <f t="shared" si="478"/>
        <v>E-320107</v>
      </c>
      <c r="D1322" s="130">
        <v>1272</v>
      </c>
      <c r="E1322" s="156" t="s">
        <v>72</v>
      </c>
      <c r="F1322" s="216" t="s">
        <v>1066</v>
      </c>
      <c r="G1322" s="193">
        <v>0</v>
      </c>
      <c r="H1322" s="193">
        <v>0</v>
      </c>
      <c r="I1322" s="193">
        <v>0</v>
      </c>
      <c r="J1322" s="193">
        <v>0</v>
      </c>
      <c r="K1322" s="193">
        <v>0</v>
      </c>
      <c r="L1322" s="193">
        <v>0</v>
      </c>
      <c r="M1322" s="193">
        <v>0</v>
      </c>
      <c r="N1322" s="193">
        <v>0</v>
      </c>
      <c r="O1322" s="193">
        <v>100</v>
      </c>
      <c r="P1322" s="193">
        <v>0</v>
      </c>
      <c r="Q1322" s="193">
        <v>0</v>
      </c>
      <c r="R1322" s="193">
        <v>0</v>
      </c>
      <c r="S1322" s="193">
        <v>0</v>
      </c>
      <c r="T1322" s="193">
        <f t="shared" si="482"/>
        <v>100</v>
      </c>
      <c r="U1322"/>
      <c r="V1322">
        <f>+PRESUPUESTO22[[#This Row],[EJECUTADO ]]-SUM(PRESUPUESTO22[[#This Row],[   ENERO ]:[DIC]])</f>
        <v>0</v>
      </c>
    </row>
    <row r="1323" spans="1:22" ht="15.95" customHeight="1" x14ac:dyDescent="0.25">
      <c r="A1323" s="52"/>
      <c r="B1323" s="156">
        <v>320108</v>
      </c>
      <c r="C1323" s="130" t="str">
        <f t="shared" si="478"/>
        <v>E-320108</v>
      </c>
      <c r="D1323" s="130">
        <v>1273</v>
      </c>
      <c r="E1323" s="156" t="s">
        <v>72</v>
      </c>
      <c r="F1323" s="216" t="s">
        <v>1067</v>
      </c>
      <c r="G1323" s="193">
        <v>6000</v>
      </c>
      <c r="H1323" s="193">
        <v>500</v>
      </c>
      <c r="I1323" s="193">
        <v>500</v>
      </c>
      <c r="J1323" s="193">
        <v>500</v>
      </c>
      <c r="K1323" s="193">
        <v>500</v>
      </c>
      <c r="L1323" s="193">
        <v>500</v>
      </c>
      <c r="M1323" s="193">
        <v>500</v>
      </c>
      <c r="N1323" s="193">
        <v>500</v>
      </c>
      <c r="O1323" s="193">
        <v>500</v>
      </c>
      <c r="P1323" s="193">
        <v>500</v>
      </c>
      <c r="Q1323" s="193">
        <v>500</v>
      </c>
      <c r="R1323" s="193">
        <v>500</v>
      </c>
      <c r="S1323" s="193">
        <v>0</v>
      </c>
      <c r="T1323" s="193">
        <f t="shared" si="482"/>
        <v>5500</v>
      </c>
      <c r="U1323"/>
      <c r="V1323">
        <f>+PRESUPUESTO22[[#This Row],[EJECUTADO ]]-SUM(PRESUPUESTO22[[#This Row],[   ENERO ]:[DIC]])</f>
        <v>0</v>
      </c>
    </row>
    <row r="1324" spans="1:22" ht="15.95" customHeight="1" x14ac:dyDescent="0.25">
      <c r="A1324" s="52"/>
      <c r="B1324" s="156">
        <v>320109</v>
      </c>
      <c r="C1324" s="130" t="str">
        <f t="shared" si="478"/>
        <v>E-320109</v>
      </c>
      <c r="D1324" s="130">
        <v>1274</v>
      </c>
      <c r="E1324" s="156" t="s">
        <v>72</v>
      </c>
      <c r="F1324" s="216" t="s">
        <v>1068</v>
      </c>
      <c r="G1324" s="193">
        <v>6000</v>
      </c>
      <c r="H1324" s="193">
        <v>500</v>
      </c>
      <c r="I1324" s="193">
        <v>500</v>
      </c>
      <c r="J1324" s="193">
        <v>500</v>
      </c>
      <c r="K1324" s="193">
        <v>500</v>
      </c>
      <c r="L1324" s="193">
        <v>500</v>
      </c>
      <c r="M1324" s="193">
        <v>500</v>
      </c>
      <c r="N1324" s="193">
        <v>500</v>
      </c>
      <c r="O1324" s="193">
        <v>500</v>
      </c>
      <c r="P1324" s="193">
        <v>500</v>
      </c>
      <c r="Q1324" s="193">
        <v>500</v>
      </c>
      <c r="R1324" s="193">
        <v>500</v>
      </c>
      <c r="S1324" s="193">
        <v>0</v>
      </c>
      <c r="T1324" s="193">
        <f t="shared" si="482"/>
        <v>5500</v>
      </c>
      <c r="U1324"/>
      <c r="V1324">
        <f>+PRESUPUESTO22[[#This Row],[EJECUTADO ]]-SUM(PRESUPUESTO22[[#This Row],[   ENERO ]:[DIC]])</f>
        <v>0</v>
      </c>
    </row>
    <row r="1325" spans="1:22" ht="15.95" customHeight="1" x14ac:dyDescent="0.25">
      <c r="A1325" s="52"/>
      <c r="B1325" s="156">
        <v>320110</v>
      </c>
      <c r="C1325" s="130" t="str">
        <f t="shared" si="478"/>
        <v>E-320110</v>
      </c>
      <c r="D1325" s="130">
        <v>1275</v>
      </c>
      <c r="E1325" s="165" t="s">
        <v>72</v>
      </c>
      <c r="F1325" s="228" t="s">
        <v>1069</v>
      </c>
      <c r="G1325" s="229">
        <f>+G1326</f>
        <v>0</v>
      </c>
      <c r="H1325" s="229">
        <f>+H1326</f>
        <v>0</v>
      </c>
      <c r="I1325" s="229">
        <f t="shared" ref="I1325:P1325" si="483">+I1326</f>
        <v>0</v>
      </c>
      <c r="J1325" s="229">
        <f t="shared" si="483"/>
        <v>0</v>
      </c>
      <c r="K1325" s="229">
        <f t="shared" si="483"/>
        <v>0</v>
      </c>
      <c r="L1325" s="229">
        <f t="shared" si="483"/>
        <v>1500</v>
      </c>
      <c r="M1325" s="229">
        <f t="shared" si="483"/>
        <v>0</v>
      </c>
      <c r="N1325" s="229">
        <f t="shared" si="483"/>
        <v>0</v>
      </c>
      <c r="O1325" s="229">
        <f t="shared" si="483"/>
        <v>0</v>
      </c>
      <c r="P1325" s="229">
        <f t="shared" si="483"/>
        <v>0</v>
      </c>
      <c r="Q1325" s="229">
        <f>SUM(Q1326:Q1327)</f>
        <v>0</v>
      </c>
      <c r="R1325" s="229">
        <f t="shared" ref="R1325:T1325" si="484">SUM(R1326:R1327)</f>
        <v>1300</v>
      </c>
      <c r="S1325" s="229">
        <f t="shared" si="484"/>
        <v>0</v>
      </c>
      <c r="T1325" s="229">
        <f t="shared" si="484"/>
        <v>2800</v>
      </c>
      <c r="U1325"/>
      <c r="V1325">
        <f>+PRESUPUESTO22[[#This Row],[EJECUTADO ]]-SUM(PRESUPUESTO22[[#This Row],[   ENERO ]:[DIC]])</f>
        <v>0</v>
      </c>
    </row>
    <row r="1326" spans="1:22" ht="15.95" customHeight="1" x14ac:dyDescent="0.25">
      <c r="A1326" s="52"/>
      <c r="B1326" s="156">
        <v>32011001</v>
      </c>
      <c r="C1326" s="130" t="str">
        <f t="shared" si="478"/>
        <v>E-32011001</v>
      </c>
      <c r="D1326" s="130">
        <v>1276</v>
      </c>
      <c r="E1326" s="156" t="s">
        <v>69</v>
      </c>
      <c r="F1326" s="216" t="s">
        <v>1070</v>
      </c>
      <c r="G1326" s="193">
        <v>0</v>
      </c>
      <c r="H1326" s="193">
        <v>0</v>
      </c>
      <c r="I1326" s="193">
        <v>0</v>
      </c>
      <c r="J1326" s="193">
        <v>0</v>
      </c>
      <c r="K1326" s="193">
        <v>0</v>
      </c>
      <c r="L1326" s="193">
        <v>1500</v>
      </c>
      <c r="M1326" s="193">
        <v>0</v>
      </c>
      <c r="N1326" s="193">
        <v>0</v>
      </c>
      <c r="O1326" s="193">
        <v>0</v>
      </c>
      <c r="P1326" s="193">
        <v>0</v>
      </c>
      <c r="Q1326" s="193">
        <v>0</v>
      </c>
      <c r="R1326" s="193">
        <v>0</v>
      </c>
      <c r="S1326" s="193">
        <v>0</v>
      </c>
      <c r="T1326" s="193">
        <f>SUM(H1326:S1326)</f>
        <v>1500</v>
      </c>
      <c r="U1326"/>
      <c r="V1326">
        <f>+PRESUPUESTO22[[#This Row],[EJECUTADO ]]-SUM(PRESUPUESTO22[[#This Row],[   ENERO ]:[DIC]])</f>
        <v>0</v>
      </c>
    </row>
    <row r="1327" spans="1:22" ht="15.95" customHeight="1" x14ac:dyDescent="0.25">
      <c r="A1327" s="52"/>
      <c r="B1327" s="156">
        <v>32011002</v>
      </c>
      <c r="C1327" s="130" t="str">
        <f>"E"&amp;"-0"&amp;B1327</f>
        <v>E-032011002</v>
      </c>
      <c r="D1327" s="130">
        <v>1277</v>
      </c>
      <c r="E1327" s="156" t="s">
        <v>69</v>
      </c>
      <c r="F1327" s="216" t="s">
        <v>1444</v>
      </c>
      <c r="G1327" s="193">
        <v>0</v>
      </c>
      <c r="H1327" s="193"/>
      <c r="I1327" s="193"/>
      <c r="J1327" s="193"/>
      <c r="K1327" s="193"/>
      <c r="L1327" s="193"/>
      <c r="M1327" s="193"/>
      <c r="N1327" s="193">
        <v>0</v>
      </c>
      <c r="O1327" s="193">
        <v>0</v>
      </c>
      <c r="P1327" s="193">
        <v>0</v>
      </c>
      <c r="Q1327" s="193">
        <v>0</v>
      </c>
      <c r="R1327" s="193">
        <v>1300</v>
      </c>
      <c r="S1327" s="193"/>
      <c r="T1327" s="193">
        <f>SUM(H1327:S1327)</f>
        <v>1300</v>
      </c>
      <c r="U1327"/>
      <c r="V1327">
        <f>+PRESUPUESTO22[[#This Row],[EJECUTADO ]]-SUM(PRESUPUESTO22[[#This Row],[   ENERO ]:[DIC]])</f>
        <v>0</v>
      </c>
    </row>
    <row r="1328" spans="1:22" ht="15.95" customHeight="1" x14ac:dyDescent="0.25">
      <c r="A1328" s="52"/>
      <c r="B1328" s="151">
        <v>3202</v>
      </c>
      <c r="C1328" s="130" t="str">
        <f t="shared" si="478"/>
        <v>E-3202</v>
      </c>
      <c r="D1328" s="130">
        <v>1278</v>
      </c>
      <c r="E1328" s="151" t="s">
        <v>72</v>
      </c>
      <c r="F1328" s="247" t="s">
        <v>1071</v>
      </c>
      <c r="G1328" s="192">
        <v>25000</v>
      </c>
      <c r="H1328" s="192">
        <f>SUM(H1329:H1339)</f>
        <v>2162</v>
      </c>
      <c r="I1328" s="192">
        <f t="shared" ref="I1328:T1328" si="485">SUM(I1329:I1339)</f>
        <v>3360</v>
      </c>
      <c r="J1328" s="192">
        <f t="shared" si="485"/>
        <v>3340</v>
      </c>
      <c r="K1328" s="192">
        <f t="shared" si="485"/>
        <v>5912</v>
      </c>
      <c r="L1328" s="192">
        <f t="shared" si="485"/>
        <v>26395</v>
      </c>
      <c r="M1328" s="192">
        <f t="shared" si="485"/>
        <v>575</v>
      </c>
      <c r="N1328" s="192">
        <f t="shared" si="485"/>
        <v>0</v>
      </c>
      <c r="O1328" s="192">
        <f t="shared" si="485"/>
        <v>0</v>
      </c>
      <c r="P1328" s="192">
        <f t="shared" si="485"/>
        <v>22233</v>
      </c>
      <c r="Q1328" s="192">
        <f t="shared" si="485"/>
        <v>0</v>
      </c>
      <c r="R1328" s="192">
        <f t="shared" si="485"/>
        <v>0</v>
      </c>
      <c r="S1328" s="192">
        <f t="shared" si="485"/>
        <v>0</v>
      </c>
      <c r="T1328" s="192">
        <f t="shared" si="485"/>
        <v>63977</v>
      </c>
      <c r="U1328"/>
      <c r="V1328">
        <f>+PRESUPUESTO22[[#This Row],[EJECUTADO ]]-SUM(PRESUPUESTO22[[#This Row],[   ENERO ]:[DIC]])</f>
        <v>0</v>
      </c>
    </row>
    <row r="1329" spans="1:22" ht="15.95" customHeight="1" x14ac:dyDescent="0.25">
      <c r="A1329" s="52"/>
      <c r="B1329" s="156">
        <v>320201</v>
      </c>
      <c r="C1329" s="130" t="str">
        <f t="shared" si="478"/>
        <v>E-320201</v>
      </c>
      <c r="D1329" s="130">
        <v>1279</v>
      </c>
      <c r="E1329" s="156" t="s">
        <v>69</v>
      </c>
      <c r="F1329" s="216" t="s">
        <v>1072</v>
      </c>
      <c r="G1329" s="193">
        <v>0</v>
      </c>
      <c r="H1329" s="193">
        <v>0</v>
      </c>
      <c r="I1329" s="193">
        <v>3360</v>
      </c>
      <c r="J1329" s="193">
        <v>0</v>
      </c>
      <c r="K1329" s="193">
        <v>0</v>
      </c>
      <c r="L1329" s="193">
        <v>2000</v>
      </c>
      <c r="M1329" s="193">
        <v>0</v>
      </c>
      <c r="N1329" s="193">
        <v>0</v>
      </c>
      <c r="O1329" s="193">
        <v>0</v>
      </c>
      <c r="P1329" s="193">
        <v>0</v>
      </c>
      <c r="Q1329" s="193">
        <v>0</v>
      </c>
      <c r="R1329" s="193">
        <v>0</v>
      </c>
      <c r="S1329" s="193">
        <v>0</v>
      </c>
      <c r="T1329" s="193">
        <f t="shared" ref="T1329:T1339" si="486">SUM(H1329:S1329)</f>
        <v>5360</v>
      </c>
      <c r="U1329"/>
      <c r="V1329">
        <f>+PRESUPUESTO22[[#This Row],[EJECUTADO ]]-SUM(PRESUPUESTO22[[#This Row],[   ENERO ]:[DIC]])</f>
        <v>0</v>
      </c>
    </row>
    <row r="1330" spans="1:22" ht="15.95" customHeight="1" x14ac:dyDescent="0.25">
      <c r="A1330" s="52"/>
      <c r="B1330" s="156">
        <v>320202</v>
      </c>
      <c r="C1330" s="130" t="str">
        <f t="shared" si="478"/>
        <v>E-320202</v>
      </c>
      <c r="D1330" s="130">
        <v>1280</v>
      </c>
      <c r="E1330" s="156" t="s">
        <v>69</v>
      </c>
      <c r="F1330" s="216" t="s">
        <v>1073</v>
      </c>
      <c r="G1330" s="193">
        <v>0</v>
      </c>
      <c r="H1330" s="193">
        <f>761.9+0.1</f>
        <v>762</v>
      </c>
      <c r="I1330" s="193">
        <v>0</v>
      </c>
      <c r="J1330" s="193">
        <v>0</v>
      </c>
      <c r="K1330" s="193">
        <v>0</v>
      </c>
      <c r="L1330" s="193">
        <v>0</v>
      </c>
      <c r="M1330" s="193">
        <v>0</v>
      </c>
      <c r="N1330" s="193">
        <v>0</v>
      </c>
      <c r="O1330" s="193">
        <v>0</v>
      </c>
      <c r="P1330" s="193">
        <v>0</v>
      </c>
      <c r="Q1330" s="193">
        <v>0</v>
      </c>
      <c r="R1330" s="193">
        <v>0</v>
      </c>
      <c r="S1330" s="193">
        <v>0</v>
      </c>
      <c r="T1330" s="193">
        <f t="shared" si="486"/>
        <v>762</v>
      </c>
      <c r="U1330"/>
      <c r="V1330">
        <f>+PRESUPUESTO22[[#This Row],[EJECUTADO ]]-SUM(PRESUPUESTO22[[#This Row],[   ENERO ]:[DIC]])</f>
        <v>0</v>
      </c>
    </row>
    <row r="1331" spans="1:22" ht="15.95" customHeight="1" x14ac:dyDescent="0.25">
      <c r="A1331" s="52"/>
      <c r="B1331" s="156">
        <v>320203</v>
      </c>
      <c r="C1331" s="130" t="str">
        <f t="shared" si="478"/>
        <v>E-320203</v>
      </c>
      <c r="D1331" s="130">
        <v>1281</v>
      </c>
      <c r="E1331" s="156" t="s">
        <v>69</v>
      </c>
      <c r="F1331" s="216" t="s">
        <v>1074</v>
      </c>
      <c r="G1331" s="193">
        <v>0</v>
      </c>
      <c r="H1331" s="193">
        <v>1400</v>
      </c>
      <c r="I1331" s="193">
        <v>0</v>
      </c>
      <c r="J1331" s="193">
        <v>0</v>
      </c>
      <c r="K1331" s="193">
        <v>0</v>
      </c>
      <c r="L1331" s="193">
        <v>0</v>
      </c>
      <c r="M1331" s="193">
        <v>0</v>
      </c>
      <c r="N1331" s="193">
        <v>0</v>
      </c>
      <c r="O1331" s="193">
        <v>0</v>
      </c>
      <c r="P1331" s="193">
        <v>0</v>
      </c>
      <c r="Q1331" s="193">
        <v>0</v>
      </c>
      <c r="R1331" s="193">
        <v>0</v>
      </c>
      <c r="S1331" s="193">
        <v>0</v>
      </c>
      <c r="T1331" s="193">
        <f t="shared" si="486"/>
        <v>1400</v>
      </c>
      <c r="U1331"/>
      <c r="V1331">
        <f>+PRESUPUESTO22[[#This Row],[EJECUTADO ]]-SUM(PRESUPUESTO22[[#This Row],[   ENERO ]:[DIC]])</f>
        <v>0</v>
      </c>
    </row>
    <row r="1332" spans="1:22" ht="15.95" customHeight="1" x14ac:dyDescent="0.25">
      <c r="A1332" s="52"/>
      <c r="B1332" s="156">
        <v>320204</v>
      </c>
      <c r="C1332" s="130" t="str">
        <f t="shared" si="478"/>
        <v>E-320204</v>
      </c>
      <c r="D1332" s="130">
        <v>1282</v>
      </c>
      <c r="E1332" s="156" t="s">
        <v>69</v>
      </c>
      <c r="F1332" s="216" t="s">
        <v>1075</v>
      </c>
      <c r="G1332" s="193">
        <v>0</v>
      </c>
      <c r="H1332" s="193">
        <v>0</v>
      </c>
      <c r="I1332" s="193">
        <v>0</v>
      </c>
      <c r="J1332" s="193">
        <v>1740</v>
      </c>
      <c r="K1332" s="193">
        <v>352</v>
      </c>
      <c r="L1332" s="193">
        <f>3217.45+3955+380.4+0.15</f>
        <v>7552.9999999999991</v>
      </c>
      <c r="M1332" s="193">
        <f>574.79+0.21</f>
        <v>575</v>
      </c>
      <c r="N1332" s="193">
        <v>0</v>
      </c>
      <c r="O1332" s="193">
        <v>0</v>
      </c>
      <c r="P1332" s="193">
        <v>0</v>
      </c>
      <c r="Q1332" s="193">
        <v>0</v>
      </c>
      <c r="R1332" s="193">
        <v>0</v>
      </c>
      <c r="S1332" s="193">
        <v>0</v>
      </c>
      <c r="T1332" s="193">
        <f t="shared" si="486"/>
        <v>10220</v>
      </c>
      <c r="U1332"/>
      <c r="V1332">
        <f>+PRESUPUESTO22[[#This Row],[EJECUTADO ]]-SUM(PRESUPUESTO22[[#This Row],[   ENERO ]:[DIC]])</f>
        <v>0</v>
      </c>
    </row>
    <row r="1333" spans="1:22" ht="15.95" customHeight="1" x14ac:dyDescent="0.25">
      <c r="A1333" s="52"/>
      <c r="B1333" s="156">
        <v>320205</v>
      </c>
      <c r="C1333" s="130" t="str">
        <f t="shared" si="478"/>
        <v>E-320205</v>
      </c>
      <c r="D1333" s="130">
        <v>1283</v>
      </c>
      <c r="E1333" s="156" t="s">
        <v>69</v>
      </c>
      <c r="F1333" s="216" t="s">
        <v>1076</v>
      </c>
      <c r="G1333" s="193">
        <v>0</v>
      </c>
      <c r="H1333" s="193">
        <v>0</v>
      </c>
      <c r="I1333" s="193">
        <v>0</v>
      </c>
      <c r="J1333" s="193">
        <v>1600</v>
      </c>
      <c r="K1333" s="193">
        <f>1760+2000</f>
        <v>3760</v>
      </c>
      <c r="L1333" s="193">
        <v>1800</v>
      </c>
      <c r="M1333" s="193">
        <v>0</v>
      </c>
      <c r="N1333" s="193">
        <v>0</v>
      </c>
      <c r="O1333" s="193">
        <v>0</v>
      </c>
      <c r="P1333" s="193">
        <v>0</v>
      </c>
      <c r="Q1333" s="193">
        <v>0</v>
      </c>
      <c r="R1333" s="193">
        <v>0</v>
      </c>
      <c r="S1333" s="193">
        <v>0</v>
      </c>
      <c r="T1333" s="193">
        <f t="shared" si="486"/>
        <v>7160</v>
      </c>
      <c r="U1333"/>
      <c r="V1333">
        <f>+PRESUPUESTO22[[#This Row],[EJECUTADO ]]-SUM(PRESUPUESTO22[[#This Row],[   ENERO ]:[DIC]])</f>
        <v>0</v>
      </c>
    </row>
    <row r="1334" spans="1:22" ht="15.95" customHeight="1" x14ac:dyDescent="0.25">
      <c r="A1334" s="52"/>
      <c r="B1334" s="156">
        <v>320206</v>
      </c>
      <c r="C1334" s="130" t="str">
        <f t="shared" si="478"/>
        <v>E-320206</v>
      </c>
      <c r="D1334" s="130">
        <v>1284</v>
      </c>
      <c r="E1334" s="156" t="s">
        <v>69</v>
      </c>
      <c r="F1334" s="216" t="s">
        <v>1077</v>
      </c>
      <c r="G1334" s="193">
        <v>0</v>
      </c>
      <c r="H1334" s="193">
        <v>0</v>
      </c>
      <c r="I1334" s="193">
        <v>0</v>
      </c>
      <c r="J1334" s="193">
        <v>0</v>
      </c>
      <c r="K1334" s="193">
        <v>0</v>
      </c>
      <c r="L1334" s="193">
        <v>0</v>
      </c>
      <c r="M1334" s="193">
        <v>0</v>
      </c>
      <c r="N1334" s="193">
        <v>0</v>
      </c>
      <c r="O1334" s="193">
        <v>0</v>
      </c>
      <c r="P1334" s="193">
        <v>9000</v>
      </c>
      <c r="Q1334" s="193">
        <v>0</v>
      </c>
      <c r="R1334" s="193">
        <v>0</v>
      </c>
      <c r="S1334" s="193">
        <v>0</v>
      </c>
      <c r="T1334" s="193">
        <f t="shared" si="486"/>
        <v>9000</v>
      </c>
      <c r="U1334"/>
      <c r="V1334">
        <f>+PRESUPUESTO22[[#This Row],[EJECUTADO ]]-SUM(PRESUPUESTO22[[#This Row],[   ENERO ]:[DIC]])</f>
        <v>0</v>
      </c>
    </row>
    <row r="1335" spans="1:22" ht="15.95" customHeight="1" x14ac:dyDescent="0.25">
      <c r="A1335" s="52"/>
      <c r="B1335" s="156">
        <v>320207</v>
      </c>
      <c r="C1335" s="130" t="str">
        <f t="shared" si="478"/>
        <v>E-320207</v>
      </c>
      <c r="D1335" s="130">
        <v>1285</v>
      </c>
      <c r="E1335" s="156" t="s">
        <v>69</v>
      </c>
      <c r="F1335" s="216" t="s">
        <v>1078</v>
      </c>
      <c r="G1335" s="193">
        <v>0</v>
      </c>
      <c r="H1335" s="193">
        <v>0</v>
      </c>
      <c r="I1335" s="193">
        <v>0</v>
      </c>
      <c r="J1335" s="193">
        <v>0</v>
      </c>
      <c r="K1335" s="193">
        <v>0</v>
      </c>
      <c r="L1335" s="193">
        <v>0</v>
      </c>
      <c r="M1335" s="193">
        <v>0</v>
      </c>
      <c r="N1335" s="193">
        <v>0</v>
      </c>
      <c r="O1335" s="193">
        <v>0</v>
      </c>
      <c r="P1335" s="193">
        <v>9000</v>
      </c>
      <c r="Q1335" s="193">
        <v>0</v>
      </c>
      <c r="R1335" s="193">
        <v>0</v>
      </c>
      <c r="S1335" s="193">
        <v>0</v>
      </c>
      <c r="T1335" s="193">
        <f t="shared" si="486"/>
        <v>9000</v>
      </c>
      <c r="U1335"/>
      <c r="V1335">
        <f>+PRESUPUESTO22[[#This Row],[EJECUTADO ]]-SUM(PRESUPUESTO22[[#This Row],[   ENERO ]:[DIC]])</f>
        <v>0</v>
      </c>
    </row>
    <row r="1336" spans="1:22" ht="15.95" customHeight="1" x14ac:dyDescent="0.25">
      <c r="A1336" s="52"/>
      <c r="B1336" s="156">
        <v>320208</v>
      </c>
      <c r="C1336" s="130" t="str">
        <f t="shared" si="478"/>
        <v>E-320208</v>
      </c>
      <c r="D1336" s="130">
        <v>1286</v>
      </c>
      <c r="E1336" s="156" t="s">
        <v>69</v>
      </c>
      <c r="F1336" s="216" t="s">
        <v>1079</v>
      </c>
      <c r="G1336" s="193">
        <v>0</v>
      </c>
      <c r="H1336" s="193">
        <v>0</v>
      </c>
      <c r="I1336" s="193">
        <v>0</v>
      </c>
      <c r="J1336" s="193">
        <v>0</v>
      </c>
      <c r="K1336" s="193">
        <v>0</v>
      </c>
      <c r="L1336" s="193">
        <v>0</v>
      </c>
      <c r="M1336" s="193">
        <v>0</v>
      </c>
      <c r="N1336" s="193">
        <v>0</v>
      </c>
      <c r="O1336" s="193">
        <v>0</v>
      </c>
      <c r="P1336" s="193">
        <f>4232.94+0.06</f>
        <v>4233</v>
      </c>
      <c r="Q1336" s="193">
        <v>0</v>
      </c>
      <c r="R1336" s="193">
        <v>0</v>
      </c>
      <c r="S1336" s="193">
        <v>0</v>
      </c>
      <c r="T1336" s="193">
        <f t="shared" si="486"/>
        <v>4233</v>
      </c>
      <c r="U1336"/>
      <c r="V1336">
        <f>+PRESUPUESTO22[[#This Row],[EJECUTADO ]]-SUM(PRESUPUESTO22[[#This Row],[   ENERO ]:[DIC]])</f>
        <v>0</v>
      </c>
    </row>
    <row r="1337" spans="1:22" ht="15.95" customHeight="1" x14ac:dyDescent="0.25">
      <c r="A1337" s="52"/>
      <c r="B1337" s="156">
        <v>320209</v>
      </c>
      <c r="C1337" s="130" t="str">
        <f t="shared" si="478"/>
        <v>E-320209</v>
      </c>
      <c r="D1337" s="130">
        <v>1287</v>
      </c>
      <c r="E1337" s="156" t="s">
        <v>69</v>
      </c>
      <c r="F1337" s="216" t="s">
        <v>1080</v>
      </c>
      <c r="G1337" s="193">
        <v>0</v>
      </c>
      <c r="H1337" s="193">
        <v>0</v>
      </c>
      <c r="I1337" s="193">
        <v>0</v>
      </c>
      <c r="J1337" s="193">
        <v>0</v>
      </c>
      <c r="K1337" s="193">
        <v>1800</v>
      </c>
      <c r="L1337" s="193">
        <v>0</v>
      </c>
      <c r="M1337" s="193">
        <v>0</v>
      </c>
      <c r="N1337" s="193">
        <v>0</v>
      </c>
      <c r="O1337" s="193">
        <v>0</v>
      </c>
      <c r="P1337" s="193">
        <v>0</v>
      </c>
      <c r="Q1337" s="193">
        <v>0</v>
      </c>
      <c r="R1337" s="193">
        <v>0</v>
      </c>
      <c r="S1337" s="193">
        <v>0</v>
      </c>
      <c r="T1337" s="193">
        <f t="shared" si="486"/>
        <v>1800</v>
      </c>
      <c r="U1337"/>
      <c r="V1337">
        <f>+PRESUPUESTO22[[#This Row],[EJECUTADO ]]-SUM(PRESUPUESTO22[[#This Row],[   ENERO ]:[DIC]])</f>
        <v>0</v>
      </c>
    </row>
    <row r="1338" spans="1:22" ht="15.95" customHeight="1" x14ac:dyDescent="0.25">
      <c r="A1338" s="52"/>
      <c r="B1338" s="156">
        <v>320210</v>
      </c>
      <c r="C1338" s="130" t="str">
        <f t="shared" si="478"/>
        <v>E-320210</v>
      </c>
      <c r="D1338" s="130">
        <v>1288</v>
      </c>
      <c r="E1338" s="156" t="s">
        <v>69</v>
      </c>
      <c r="F1338" s="216" t="s">
        <v>439</v>
      </c>
      <c r="G1338" s="193">
        <v>0</v>
      </c>
      <c r="H1338" s="193">
        <v>0</v>
      </c>
      <c r="I1338" s="193">
        <v>0</v>
      </c>
      <c r="J1338" s="193">
        <v>0</v>
      </c>
      <c r="K1338" s="193">
        <v>0</v>
      </c>
      <c r="L1338" s="193">
        <f>308.48+123.49+0.03</f>
        <v>432</v>
      </c>
      <c r="M1338" s="193">
        <v>0</v>
      </c>
      <c r="N1338" s="193">
        <v>0</v>
      </c>
      <c r="O1338" s="193">
        <v>0</v>
      </c>
      <c r="P1338" s="193">
        <v>0</v>
      </c>
      <c r="Q1338" s="193">
        <v>0</v>
      </c>
      <c r="R1338" s="193">
        <v>0</v>
      </c>
      <c r="S1338" s="193">
        <v>0</v>
      </c>
      <c r="T1338" s="193">
        <f t="shared" si="486"/>
        <v>432</v>
      </c>
      <c r="U1338"/>
      <c r="V1338">
        <f>+PRESUPUESTO22[[#This Row],[EJECUTADO ]]-SUM(PRESUPUESTO22[[#This Row],[   ENERO ]:[DIC]])</f>
        <v>0</v>
      </c>
    </row>
    <row r="1339" spans="1:22" ht="15.95" customHeight="1" x14ac:dyDescent="0.25">
      <c r="A1339" s="52"/>
      <c r="B1339" s="156">
        <v>320211</v>
      </c>
      <c r="C1339" s="130" t="str">
        <f t="shared" si="478"/>
        <v>E-320211</v>
      </c>
      <c r="D1339" s="130">
        <v>1289</v>
      </c>
      <c r="E1339" s="156" t="s">
        <v>69</v>
      </c>
      <c r="F1339" s="216" t="s">
        <v>1081</v>
      </c>
      <c r="G1339" s="193">
        <v>0</v>
      </c>
      <c r="H1339" s="193">
        <v>0</v>
      </c>
      <c r="I1339" s="193">
        <v>0</v>
      </c>
      <c r="J1339" s="193">
        <v>0</v>
      </c>
      <c r="K1339" s="193">
        <v>0</v>
      </c>
      <c r="L1339" s="193">
        <f>11110+3500</f>
        <v>14610</v>
      </c>
      <c r="M1339" s="193">
        <v>0</v>
      </c>
      <c r="N1339" s="193">
        <v>0</v>
      </c>
      <c r="O1339" s="193">
        <v>0</v>
      </c>
      <c r="P1339" s="193">
        <v>0</v>
      </c>
      <c r="Q1339" s="193">
        <v>0</v>
      </c>
      <c r="R1339" s="193">
        <v>0</v>
      </c>
      <c r="S1339" s="193">
        <v>0</v>
      </c>
      <c r="T1339" s="193">
        <f t="shared" si="486"/>
        <v>14610</v>
      </c>
      <c r="U1339"/>
      <c r="V1339">
        <f>+PRESUPUESTO22[[#This Row],[EJECUTADO ]]-SUM(PRESUPUESTO22[[#This Row],[   ENERO ]:[DIC]])</f>
        <v>0</v>
      </c>
    </row>
    <row r="1340" spans="1:22" ht="15.95" customHeight="1" x14ac:dyDescent="0.25">
      <c r="A1340" s="52"/>
      <c r="B1340" s="151">
        <v>3203</v>
      </c>
      <c r="C1340" s="130" t="str">
        <f t="shared" si="478"/>
        <v>E-3203</v>
      </c>
      <c r="D1340" s="130">
        <v>1290</v>
      </c>
      <c r="E1340" s="151" t="s">
        <v>69</v>
      </c>
      <c r="F1340" s="247" t="s">
        <v>1082</v>
      </c>
      <c r="G1340" s="192">
        <f>+G1341</f>
        <v>5000</v>
      </c>
      <c r="H1340" s="192">
        <f>+H1341</f>
        <v>0</v>
      </c>
      <c r="I1340" s="192">
        <f t="shared" ref="I1340:T1340" si="487">+I1341</f>
        <v>0</v>
      </c>
      <c r="J1340" s="192">
        <f t="shared" si="487"/>
        <v>0</v>
      </c>
      <c r="K1340" s="192">
        <f t="shared" si="487"/>
        <v>0</v>
      </c>
      <c r="L1340" s="192">
        <f t="shared" si="487"/>
        <v>0</v>
      </c>
      <c r="M1340" s="192">
        <f t="shared" si="487"/>
        <v>0</v>
      </c>
      <c r="N1340" s="192">
        <f t="shared" si="487"/>
        <v>0</v>
      </c>
      <c r="O1340" s="192">
        <f t="shared" si="487"/>
        <v>0</v>
      </c>
      <c r="P1340" s="192">
        <f t="shared" si="487"/>
        <v>0</v>
      </c>
      <c r="Q1340" s="192">
        <f t="shared" si="487"/>
        <v>0</v>
      </c>
      <c r="R1340" s="192">
        <f t="shared" si="487"/>
        <v>0</v>
      </c>
      <c r="S1340" s="192">
        <f t="shared" si="487"/>
        <v>0</v>
      </c>
      <c r="T1340" s="192">
        <f t="shared" si="487"/>
        <v>0</v>
      </c>
      <c r="U1340"/>
      <c r="V1340">
        <f>+PRESUPUESTO22[[#This Row],[EJECUTADO ]]-SUM(PRESUPUESTO22[[#This Row],[   ENERO ]:[DIC]])</f>
        <v>0</v>
      </c>
    </row>
    <row r="1341" spans="1:22" ht="15.95" customHeight="1" x14ac:dyDescent="0.25">
      <c r="A1341" s="52"/>
      <c r="B1341" s="156">
        <v>320301</v>
      </c>
      <c r="C1341" s="130" t="str">
        <f t="shared" si="478"/>
        <v>E-320301</v>
      </c>
      <c r="D1341" s="130">
        <v>1291</v>
      </c>
      <c r="E1341" s="156" t="s">
        <v>72</v>
      </c>
      <c r="F1341" s="216" t="s">
        <v>1083</v>
      </c>
      <c r="G1341" s="193">
        <v>5000</v>
      </c>
      <c r="H1341" s="193">
        <v>0</v>
      </c>
      <c r="I1341" s="193">
        <v>0</v>
      </c>
      <c r="J1341" s="193">
        <v>0</v>
      </c>
      <c r="K1341" s="193">
        <v>0</v>
      </c>
      <c r="L1341" s="193">
        <v>0</v>
      </c>
      <c r="M1341" s="193">
        <v>0</v>
      </c>
      <c r="N1341" s="193">
        <v>0</v>
      </c>
      <c r="O1341" s="193">
        <v>0</v>
      </c>
      <c r="P1341" s="193">
        <v>0</v>
      </c>
      <c r="Q1341" s="193">
        <v>0</v>
      </c>
      <c r="R1341" s="193">
        <v>0</v>
      </c>
      <c r="S1341" s="193">
        <v>0</v>
      </c>
      <c r="T1341" s="193">
        <f>SUM(H1341:S1341)</f>
        <v>0</v>
      </c>
      <c r="U1341"/>
      <c r="V1341">
        <f>+PRESUPUESTO22[[#This Row],[EJECUTADO ]]-SUM(PRESUPUESTO22[[#This Row],[   ENERO ]:[DIC]])</f>
        <v>0</v>
      </c>
    </row>
    <row r="1342" spans="1:22" ht="19.5" customHeight="1" x14ac:dyDescent="0.25">
      <c r="A1342" s="49">
        <v>33</v>
      </c>
      <c r="B1342" s="143">
        <v>33</v>
      </c>
      <c r="C1342" s="130" t="str">
        <f t="shared" si="478"/>
        <v>E-33</v>
      </c>
      <c r="D1342" s="130">
        <v>1292</v>
      </c>
      <c r="E1342" s="143" t="s">
        <v>67</v>
      </c>
      <c r="F1342" s="195" t="s">
        <v>56</v>
      </c>
      <c r="G1342" s="188">
        <v>35000</v>
      </c>
      <c r="H1342" s="188">
        <f>+H1343+H1348+H1352+H1357+H1359+H1362</f>
        <v>1032</v>
      </c>
      <c r="I1342" s="188">
        <f>+I1343+I1348+I1352+I1357+I1359+I1362</f>
        <v>2028</v>
      </c>
      <c r="J1342" s="188">
        <f>+J1343+J1348+J1352+J1357+J1359+J1362</f>
        <v>1781</v>
      </c>
      <c r="K1342" s="188">
        <f>+K1343+K1348+K1352+K1357+K1359+K1362</f>
        <v>1350</v>
      </c>
      <c r="L1342" s="188">
        <f t="shared" ref="L1342:T1342" si="488">+L1343+L1348+L1352+L1357+L1359+L1362</f>
        <v>2576</v>
      </c>
      <c r="M1342" s="188">
        <f t="shared" si="488"/>
        <v>1384</v>
      </c>
      <c r="N1342" s="188">
        <f t="shared" si="488"/>
        <v>9888</v>
      </c>
      <c r="O1342" s="188">
        <f t="shared" si="488"/>
        <v>878</v>
      </c>
      <c r="P1342" s="188">
        <f t="shared" si="488"/>
        <v>7102</v>
      </c>
      <c r="Q1342" s="188">
        <f t="shared" si="488"/>
        <v>1371</v>
      </c>
      <c r="R1342" s="188">
        <f t="shared" si="488"/>
        <v>1654</v>
      </c>
      <c r="S1342" s="188">
        <f t="shared" si="488"/>
        <v>0</v>
      </c>
      <c r="T1342" s="188">
        <f t="shared" si="488"/>
        <v>31044</v>
      </c>
      <c r="U1342"/>
      <c r="V1342">
        <f>+PRESUPUESTO22[[#This Row],[EJECUTADO ]]-SUM(PRESUPUESTO22[[#This Row],[   ENERO ]:[DIC]])</f>
        <v>0</v>
      </c>
    </row>
    <row r="1343" spans="1:22" ht="15.95" customHeight="1" x14ac:dyDescent="0.25">
      <c r="A1343" s="52">
        <v>1</v>
      </c>
      <c r="B1343" s="151">
        <v>3301</v>
      </c>
      <c r="C1343" s="130" t="str">
        <f t="shared" si="478"/>
        <v>E-3301</v>
      </c>
      <c r="D1343" s="130">
        <v>1293</v>
      </c>
      <c r="E1343" s="151" t="s">
        <v>69</v>
      </c>
      <c r="F1343" s="247" t="s">
        <v>1084</v>
      </c>
      <c r="G1343" s="192">
        <f>SUM(G1344:G1347)</f>
        <v>9845</v>
      </c>
      <c r="H1343" s="192">
        <f>SUM(H1344:H1347)</f>
        <v>1032</v>
      </c>
      <c r="I1343" s="192">
        <f>SUM(I1344:I1347)</f>
        <v>1032</v>
      </c>
      <c r="J1343" s="192">
        <f>SUM(J1344:J1347)</f>
        <v>1268</v>
      </c>
      <c r="K1343" s="192">
        <f>SUM(K1344:K1347)</f>
        <v>1258</v>
      </c>
      <c r="L1343" s="192">
        <f t="shared" ref="L1343:T1343" si="489">SUM(L1344:L1347)</f>
        <v>512</v>
      </c>
      <c r="M1343" s="192">
        <f t="shared" si="489"/>
        <v>707</v>
      </c>
      <c r="N1343" s="192">
        <f t="shared" si="489"/>
        <v>512</v>
      </c>
      <c r="O1343" s="192">
        <f t="shared" si="489"/>
        <v>878</v>
      </c>
      <c r="P1343" s="192">
        <f t="shared" si="489"/>
        <v>512</v>
      </c>
      <c r="Q1343" s="192">
        <f t="shared" si="489"/>
        <v>512</v>
      </c>
      <c r="R1343" s="192">
        <f t="shared" si="489"/>
        <v>891</v>
      </c>
      <c r="S1343" s="192">
        <f t="shared" si="489"/>
        <v>0</v>
      </c>
      <c r="T1343" s="192">
        <f t="shared" si="489"/>
        <v>9114</v>
      </c>
      <c r="U1343"/>
      <c r="V1343">
        <f>+PRESUPUESTO22[[#This Row],[EJECUTADO ]]-SUM(PRESUPUESTO22[[#This Row],[   ENERO ]:[DIC]])</f>
        <v>0</v>
      </c>
    </row>
    <row r="1344" spans="1:22" ht="15.95" customHeight="1" x14ac:dyDescent="0.25">
      <c r="A1344" s="52"/>
      <c r="B1344" s="156">
        <v>330101</v>
      </c>
      <c r="C1344" s="130" t="str">
        <f t="shared" si="478"/>
        <v>E-330101</v>
      </c>
      <c r="D1344" s="130">
        <v>1294</v>
      </c>
      <c r="E1344" s="156" t="s">
        <v>72</v>
      </c>
      <c r="F1344" s="216" t="s">
        <v>1085</v>
      </c>
      <c r="G1344" s="193">
        <v>7560</v>
      </c>
      <c r="H1344" s="193">
        <v>1020</v>
      </c>
      <c r="I1344" s="193">
        <v>1020</v>
      </c>
      <c r="J1344" s="193">
        <v>1020</v>
      </c>
      <c r="K1344" s="193">
        <v>500</v>
      </c>
      <c r="L1344" s="193">
        <v>500</v>
      </c>
      <c r="M1344" s="193">
        <v>500</v>
      </c>
      <c r="N1344" s="193">
        <v>500</v>
      </c>
      <c r="O1344" s="193">
        <v>500</v>
      </c>
      <c r="P1344" s="193">
        <v>500</v>
      </c>
      <c r="Q1344" s="193">
        <v>500</v>
      </c>
      <c r="R1344" s="193">
        <v>500</v>
      </c>
      <c r="S1344" s="193">
        <v>0</v>
      </c>
      <c r="T1344" s="193">
        <f>SUM(H1344:S1344)</f>
        <v>7060</v>
      </c>
      <c r="U1344"/>
      <c r="V1344">
        <f>+PRESUPUESTO22[[#This Row],[EJECUTADO ]]-SUM(PRESUPUESTO22[[#This Row],[   ENERO ]:[DIC]])</f>
        <v>0</v>
      </c>
    </row>
    <row r="1345" spans="1:22" ht="15.95" customHeight="1" x14ac:dyDescent="0.25">
      <c r="A1345" s="52"/>
      <c r="B1345" s="156">
        <v>330102</v>
      </c>
      <c r="C1345" s="130" t="str">
        <f t="shared" si="478"/>
        <v>E-330102</v>
      </c>
      <c r="D1345" s="130">
        <v>1295</v>
      </c>
      <c r="E1345" s="156" t="s">
        <v>72</v>
      </c>
      <c r="F1345" s="216" t="s">
        <v>1086</v>
      </c>
      <c r="G1345" s="193">
        <v>1400</v>
      </c>
      <c r="H1345" s="193">
        <v>0</v>
      </c>
      <c r="I1345" s="193">
        <v>0</v>
      </c>
      <c r="J1345" s="193">
        <f>56.29+45.64+133.57+0.5</f>
        <v>236</v>
      </c>
      <c r="K1345" s="193">
        <f>736+9.5+0.5</f>
        <v>746</v>
      </c>
      <c r="L1345" s="193">
        <v>0</v>
      </c>
      <c r="M1345" s="193">
        <v>195</v>
      </c>
      <c r="N1345" s="193">
        <v>0</v>
      </c>
      <c r="O1345" s="193">
        <v>0</v>
      </c>
      <c r="P1345" s="193">
        <v>0</v>
      </c>
      <c r="Q1345" s="193">
        <v>0</v>
      </c>
      <c r="R1345" s="193">
        <v>0</v>
      </c>
      <c r="S1345" s="193">
        <v>0</v>
      </c>
      <c r="T1345" s="193">
        <f>SUM(H1345:S1345)</f>
        <v>1177</v>
      </c>
      <c r="U1345"/>
      <c r="V1345">
        <f>+PRESUPUESTO22[[#This Row],[EJECUTADO ]]-SUM(PRESUPUESTO22[[#This Row],[   ENERO ]:[DIC]])</f>
        <v>0</v>
      </c>
    </row>
    <row r="1346" spans="1:22" ht="15.95" customHeight="1" x14ac:dyDescent="0.25">
      <c r="A1346" s="52"/>
      <c r="B1346" s="156">
        <v>330103</v>
      </c>
      <c r="C1346" s="130" t="str">
        <f t="shared" si="478"/>
        <v>E-330103</v>
      </c>
      <c r="D1346" s="130">
        <v>1296</v>
      </c>
      <c r="E1346" s="156" t="s">
        <v>72</v>
      </c>
      <c r="F1346" s="216" t="s">
        <v>1087</v>
      </c>
      <c r="G1346" s="193">
        <v>735</v>
      </c>
      <c r="H1346" s="193">
        <v>0</v>
      </c>
      <c r="I1346" s="193">
        <v>0</v>
      </c>
      <c r="J1346" s="193">
        <v>0</v>
      </c>
      <c r="K1346" s="193">
        <v>0</v>
      </c>
      <c r="L1346" s="193">
        <v>0</v>
      </c>
      <c r="M1346" s="193">
        <v>0</v>
      </c>
      <c r="N1346" s="193">
        <v>0</v>
      </c>
      <c r="O1346" s="193">
        <v>366</v>
      </c>
      <c r="P1346" s="193">
        <v>0</v>
      </c>
      <c r="Q1346" s="193">
        <v>0</v>
      </c>
      <c r="R1346" s="193">
        <f>366.17+13.17-0.34</f>
        <v>379.00000000000006</v>
      </c>
      <c r="S1346" s="193">
        <v>0</v>
      </c>
      <c r="T1346" s="193">
        <f>SUM(H1346:S1346)</f>
        <v>745</v>
      </c>
      <c r="U1346"/>
      <c r="V1346">
        <f>+PRESUPUESTO22[[#This Row],[EJECUTADO ]]-SUM(PRESUPUESTO22[[#This Row],[   ENERO ]:[DIC]])</f>
        <v>0</v>
      </c>
    </row>
    <row r="1347" spans="1:22" ht="15.95" customHeight="1" x14ac:dyDescent="0.25">
      <c r="A1347" s="52"/>
      <c r="B1347" s="156">
        <v>330104</v>
      </c>
      <c r="C1347" s="130" t="str">
        <f t="shared" si="478"/>
        <v>E-330104</v>
      </c>
      <c r="D1347" s="130">
        <v>1297</v>
      </c>
      <c r="E1347" s="156" t="s">
        <v>72</v>
      </c>
      <c r="F1347" s="216" t="s">
        <v>1088</v>
      </c>
      <c r="G1347" s="193">
        <v>150</v>
      </c>
      <c r="H1347" s="193">
        <v>12</v>
      </c>
      <c r="I1347" s="193">
        <v>12</v>
      </c>
      <c r="J1347" s="193">
        <v>12</v>
      </c>
      <c r="K1347" s="193">
        <v>12</v>
      </c>
      <c r="L1347" s="193">
        <v>12</v>
      </c>
      <c r="M1347" s="193">
        <v>12</v>
      </c>
      <c r="N1347" s="193">
        <v>12</v>
      </c>
      <c r="O1347" s="193">
        <v>12</v>
      </c>
      <c r="P1347" s="193">
        <v>12</v>
      </c>
      <c r="Q1347" s="193">
        <v>12</v>
      </c>
      <c r="R1347" s="193">
        <v>12</v>
      </c>
      <c r="S1347" s="193">
        <v>0</v>
      </c>
      <c r="T1347" s="193">
        <f>SUM(H1347:S1347)</f>
        <v>132</v>
      </c>
      <c r="U1347"/>
      <c r="V1347">
        <f>+PRESUPUESTO22[[#This Row],[EJECUTADO ]]-SUM(PRESUPUESTO22[[#This Row],[   ENERO ]:[DIC]])</f>
        <v>0</v>
      </c>
    </row>
    <row r="1348" spans="1:22" ht="18.75" customHeight="1" x14ac:dyDescent="0.25">
      <c r="A1348" s="52">
        <v>2</v>
      </c>
      <c r="B1348" s="151">
        <v>3302</v>
      </c>
      <c r="C1348" s="130" t="str">
        <f t="shared" si="478"/>
        <v>E-3302</v>
      </c>
      <c r="D1348" s="130">
        <v>1298</v>
      </c>
      <c r="E1348" s="151" t="s">
        <v>69</v>
      </c>
      <c r="F1348" s="247" t="s">
        <v>1089</v>
      </c>
      <c r="G1348" s="192">
        <f>SUM(G1349:G1351)</f>
        <v>6200</v>
      </c>
      <c r="H1348" s="192">
        <f>SUM(H1349:H1351)</f>
        <v>0</v>
      </c>
      <c r="I1348" s="192">
        <f t="shared" ref="I1348:T1348" si="490">SUM(I1349:I1351)</f>
        <v>0</v>
      </c>
      <c r="J1348" s="192">
        <f t="shared" si="490"/>
        <v>0</v>
      </c>
      <c r="K1348" s="192">
        <f t="shared" si="490"/>
        <v>0</v>
      </c>
      <c r="L1348" s="192">
        <f t="shared" si="490"/>
        <v>0</v>
      </c>
      <c r="M1348" s="192">
        <f t="shared" si="490"/>
        <v>0</v>
      </c>
      <c r="N1348" s="192">
        <f t="shared" si="490"/>
        <v>0</v>
      </c>
      <c r="O1348" s="192">
        <f t="shared" si="490"/>
        <v>0</v>
      </c>
      <c r="P1348" s="192">
        <f t="shared" si="490"/>
        <v>6200</v>
      </c>
      <c r="Q1348" s="192">
        <f t="shared" si="490"/>
        <v>0</v>
      </c>
      <c r="R1348" s="192">
        <f t="shared" si="490"/>
        <v>0</v>
      </c>
      <c r="S1348" s="192">
        <f t="shared" si="490"/>
        <v>0</v>
      </c>
      <c r="T1348" s="192">
        <f t="shared" si="490"/>
        <v>6200</v>
      </c>
      <c r="U1348"/>
      <c r="V1348">
        <f>+PRESUPUESTO22[[#This Row],[EJECUTADO ]]-SUM(PRESUPUESTO22[[#This Row],[   ENERO ]:[DIC]])</f>
        <v>0</v>
      </c>
    </row>
    <row r="1349" spans="1:22" ht="15.95" customHeight="1" x14ac:dyDescent="0.25">
      <c r="A1349" s="52"/>
      <c r="B1349" s="156">
        <v>330201</v>
      </c>
      <c r="C1349" s="130" t="str">
        <f t="shared" si="478"/>
        <v>E-330201</v>
      </c>
      <c r="D1349" s="130">
        <v>1299</v>
      </c>
      <c r="E1349" s="156" t="s">
        <v>72</v>
      </c>
      <c r="F1349" s="216" t="s">
        <v>1090</v>
      </c>
      <c r="G1349" s="193">
        <v>2200</v>
      </c>
      <c r="H1349" s="193">
        <v>0</v>
      </c>
      <c r="I1349" s="193">
        <v>0</v>
      </c>
      <c r="J1349" s="193">
        <v>0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93">
        <v>0</v>
      </c>
      <c r="R1349" s="193">
        <v>0</v>
      </c>
      <c r="S1349" s="193">
        <v>0</v>
      </c>
      <c r="T1349" s="193">
        <f>SUM(H1349:S1349)</f>
        <v>0</v>
      </c>
      <c r="U1349"/>
      <c r="V1349">
        <f>+PRESUPUESTO22[[#This Row],[EJECUTADO ]]-SUM(PRESUPUESTO22[[#This Row],[   ENERO ]:[DIC]])</f>
        <v>0</v>
      </c>
    </row>
    <row r="1350" spans="1:22" ht="15.95" customHeight="1" x14ac:dyDescent="0.25">
      <c r="A1350" s="52"/>
      <c r="B1350" s="156">
        <v>330202</v>
      </c>
      <c r="C1350" s="130" t="str">
        <f t="shared" si="478"/>
        <v>E-330202</v>
      </c>
      <c r="D1350" s="130">
        <v>1300</v>
      </c>
      <c r="E1350" s="156" t="s">
        <v>72</v>
      </c>
      <c r="F1350" s="216" t="s">
        <v>1091</v>
      </c>
      <c r="G1350" s="193">
        <v>500</v>
      </c>
      <c r="H1350" s="193">
        <v>0</v>
      </c>
      <c r="I1350" s="193">
        <v>0</v>
      </c>
      <c r="J1350" s="193">
        <v>0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93">
        <v>0</v>
      </c>
      <c r="R1350" s="193">
        <v>0</v>
      </c>
      <c r="S1350" s="193">
        <v>0</v>
      </c>
      <c r="T1350" s="193">
        <f>SUM(H1350:S1350)</f>
        <v>0</v>
      </c>
      <c r="U1350"/>
      <c r="V1350">
        <f>+PRESUPUESTO22[[#This Row],[EJECUTADO ]]-SUM(PRESUPUESTO22[[#This Row],[   ENERO ]:[DIC]])</f>
        <v>0</v>
      </c>
    </row>
    <row r="1351" spans="1:22" ht="15.95" customHeight="1" x14ac:dyDescent="0.25">
      <c r="A1351" s="52"/>
      <c r="B1351" s="156">
        <v>330203</v>
      </c>
      <c r="C1351" s="130" t="str">
        <f t="shared" si="478"/>
        <v>E-330203</v>
      </c>
      <c r="D1351" s="130">
        <v>1301</v>
      </c>
      <c r="E1351" s="156" t="s">
        <v>72</v>
      </c>
      <c r="F1351" s="216" t="s">
        <v>1092</v>
      </c>
      <c r="G1351" s="193">
        <v>3500</v>
      </c>
      <c r="H1351" s="193">
        <v>0</v>
      </c>
      <c r="I1351" s="193">
        <v>0</v>
      </c>
      <c r="J1351" s="193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>
        <v>0</v>
      </c>
      <c r="P1351" s="193">
        <v>6200</v>
      </c>
      <c r="Q1351" s="193">
        <v>0</v>
      </c>
      <c r="R1351" s="193">
        <v>0</v>
      </c>
      <c r="S1351" s="193">
        <v>0</v>
      </c>
      <c r="T1351" s="193">
        <f>SUM(H1351:S1351)</f>
        <v>6200</v>
      </c>
      <c r="U1351"/>
      <c r="V1351">
        <f>+PRESUPUESTO22[[#This Row],[EJECUTADO ]]-SUM(PRESUPUESTO22[[#This Row],[   ENERO ]:[DIC]])</f>
        <v>0</v>
      </c>
    </row>
    <row r="1352" spans="1:22" ht="27.75" customHeight="1" x14ac:dyDescent="0.25">
      <c r="A1352" s="52">
        <v>3</v>
      </c>
      <c r="B1352" s="160">
        <v>3303</v>
      </c>
      <c r="C1352" s="130" t="str">
        <f t="shared" si="478"/>
        <v>E-3303</v>
      </c>
      <c r="D1352" s="130">
        <v>1302</v>
      </c>
      <c r="E1352" s="160" t="s">
        <v>69</v>
      </c>
      <c r="F1352" s="248" t="s">
        <v>1093</v>
      </c>
      <c r="G1352" s="192">
        <f>SUM(G1353:G1356)</f>
        <v>1575</v>
      </c>
      <c r="H1352" s="192">
        <f>SUM(H1353:H1356)</f>
        <v>0</v>
      </c>
      <c r="I1352" s="192">
        <f t="shared" ref="I1352:T1352" si="491">SUM(I1353:I1356)</f>
        <v>90</v>
      </c>
      <c r="J1352" s="192">
        <f t="shared" si="491"/>
        <v>13</v>
      </c>
      <c r="K1352" s="192">
        <f t="shared" si="491"/>
        <v>92</v>
      </c>
      <c r="L1352" s="192">
        <f t="shared" si="491"/>
        <v>64</v>
      </c>
      <c r="M1352" s="192">
        <f t="shared" si="491"/>
        <v>677</v>
      </c>
      <c r="N1352" s="192">
        <f t="shared" si="491"/>
        <v>169</v>
      </c>
      <c r="O1352" s="192">
        <f t="shared" si="491"/>
        <v>0</v>
      </c>
      <c r="P1352" s="192">
        <f t="shared" si="491"/>
        <v>150</v>
      </c>
      <c r="Q1352" s="192">
        <f t="shared" si="491"/>
        <v>171</v>
      </c>
      <c r="R1352" s="192">
        <f t="shared" si="491"/>
        <v>583</v>
      </c>
      <c r="S1352" s="192">
        <f t="shared" si="491"/>
        <v>0</v>
      </c>
      <c r="T1352" s="192">
        <f t="shared" si="491"/>
        <v>2009</v>
      </c>
      <c r="U1352"/>
      <c r="V1352">
        <f>+PRESUPUESTO22[[#This Row],[EJECUTADO ]]-SUM(PRESUPUESTO22[[#This Row],[   ENERO ]:[DIC]])</f>
        <v>0</v>
      </c>
    </row>
    <row r="1353" spans="1:22" ht="18" customHeight="1" x14ac:dyDescent="0.25">
      <c r="A1353" s="52"/>
      <c r="B1353" s="156">
        <v>330301</v>
      </c>
      <c r="C1353" s="130" t="str">
        <f t="shared" si="478"/>
        <v>E-330301</v>
      </c>
      <c r="D1353" s="130">
        <v>1303</v>
      </c>
      <c r="E1353" s="156" t="s">
        <v>72</v>
      </c>
      <c r="F1353" s="216" t="s">
        <v>1094</v>
      </c>
      <c r="G1353" s="193">
        <v>575</v>
      </c>
      <c r="H1353" s="193">
        <v>0</v>
      </c>
      <c r="I1353" s="193">
        <v>0</v>
      </c>
      <c r="J1353" s="193">
        <f>12.75+0.25</f>
        <v>13</v>
      </c>
      <c r="K1353" s="193">
        <v>0</v>
      </c>
      <c r="L1353" s="193">
        <v>0</v>
      </c>
      <c r="M1353" s="193">
        <f>676.55+0.45</f>
        <v>677</v>
      </c>
      <c r="N1353" s="193">
        <v>0</v>
      </c>
      <c r="O1353" s="193">
        <v>0</v>
      </c>
      <c r="P1353" s="193">
        <v>0</v>
      </c>
      <c r="Q1353" s="193">
        <v>0</v>
      </c>
      <c r="R1353" s="193">
        <f>194.93+387.59+0.48</f>
        <v>583</v>
      </c>
      <c r="S1353" s="193">
        <v>0</v>
      </c>
      <c r="T1353" s="193">
        <f>SUM(H1353:S1353)</f>
        <v>1273</v>
      </c>
      <c r="U1353"/>
      <c r="V1353">
        <f>+PRESUPUESTO22[[#This Row],[EJECUTADO ]]-SUM(PRESUPUESTO22[[#This Row],[   ENERO ]:[DIC]])</f>
        <v>0</v>
      </c>
    </row>
    <row r="1354" spans="1:22" ht="18" customHeight="1" x14ac:dyDescent="0.25">
      <c r="A1354" s="52"/>
      <c r="B1354" s="156">
        <v>330302</v>
      </c>
      <c r="C1354" s="130" t="str">
        <f t="shared" si="478"/>
        <v>E-330302</v>
      </c>
      <c r="D1354" s="130">
        <v>1304</v>
      </c>
      <c r="E1354" s="156" t="s">
        <v>72</v>
      </c>
      <c r="F1354" s="216" t="s">
        <v>1095</v>
      </c>
      <c r="G1354" s="193">
        <v>0</v>
      </c>
      <c r="H1354" s="193">
        <v>0</v>
      </c>
      <c r="I1354" s="193">
        <v>0</v>
      </c>
      <c r="J1354" s="193">
        <v>0</v>
      </c>
      <c r="K1354" s="193">
        <v>0</v>
      </c>
      <c r="L1354" s="193">
        <v>0</v>
      </c>
      <c r="M1354" s="193">
        <v>0</v>
      </c>
      <c r="N1354" s="193">
        <v>0</v>
      </c>
      <c r="O1354" s="193">
        <v>0</v>
      </c>
      <c r="P1354" s="193">
        <f>149.9+0.1</f>
        <v>150</v>
      </c>
      <c r="Q1354" s="193">
        <v>0</v>
      </c>
      <c r="R1354" s="193">
        <v>0</v>
      </c>
      <c r="S1354" s="193">
        <v>0</v>
      </c>
      <c r="T1354" s="193">
        <f>SUM(H1354:S1354)</f>
        <v>150</v>
      </c>
      <c r="U1354"/>
      <c r="V1354">
        <f>+PRESUPUESTO22[[#This Row],[EJECUTADO ]]-SUM(PRESUPUESTO22[[#This Row],[   ENERO ]:[DIC]])</f>
        <v>0</v>
      </c>
    </row>
    <row r="1355" spans="1:22" ht="26.25" customHeight="1" x14ac:dyDescent="0.25">
      <c r="A1355" s="52"/>
      <c r="B1355" s="156">
        <v>330303</v>
      </c>
      <c r="C1355" s="130" t="str">
        <f t="shared" si="478"/>
        <v>E-330303</v>
      </c>
      <c r="D1355" s="130">
        <v>1305</v>
      </c>
      <c r="E1355" s="156" t="s">
        <v>72</v>
      </c>
      <c r="F1355" s="216" t="s">
        <v>1096</v>
      </c>
      <c r="G1355" s="193">
        <v>500</v>
      </c>
      <c r="H1355" s="193">
        <v>0</v>
      </c>
      <c r="I1355" s="193">
        <v>0</v>
      </c>
      <c r="J1355" s="193">
        <v>0</v>
      </c>
      <c r="K1355" s="193">
        <v>0</v>
      </c>
      <c r="L1355" s="193">
        <v>0</v>
      </c>
      <c r="M1355" s="193">
        <v>0</v>
      </c>
      <c r="N1355" s="193">
        <v>0</v>
      </c>
      <c r="O1355" s="193">
        <v>0</v>
      </c>
      <c r="P1355" s="193">
        <v>0</v>
      </c>
      <c r="Q1355" s="193">
        <v>0</v>
      </c>
      <c r="R1355" s="193">
        <v>0</v>
      </c>
      <c r="S1355" s="193">
        <v>0</v>
      </c>
      <c r="T1355" s="193">
        <f>SUM(H1355:S1355)</f>
        <v>0</v>
      </c>
      <c r="U1355"/>
      <c r="V1355">
        <f>+PRESUPUESTO22[[#This Row],[EJECUTADO ]]-SUM(PRESUPUESTO22[[#This Row],[   ENERO ]:[DIC]])</f>
        <v>0</v>
      </c>
    </row>
    <row r="1356" spans="1:22" ht="15.95" customHeight="1" x14ac:dyDescent="0.25">
      <c r="A1356" s="52" t="s">
        <v>1</v>
      </c>
      <c r="B1356" s="156">
        <v>330304</v>
      </c>
      <c r="C1356" s="130" t="str">
        <f t="shared" si="478"/>
        <v>E-330304</v>
      </c>
      <c r="D1356" s="130">
        <v>1306</v>
      </c>
      <c r="E1356" s="156" t="s">
        <v>72</v>
      </c>
      <c r="F1356" s="216" t="s">
        <v>1097</v>
      </c>
      <c r="G1356" s="193">
        <v>500</v>
      </c>
      <c r="H1356" s="193">
        <v>0</v>
      </c>
      <c r="I1356" s="193">
        <v>90</v>
      </c>
      <c r="J1356" s="193">
        <v>0</v>
      </c>
      <c r="K1356" s="193">
        <f>91.63+0.37</f>
        <v>92</v>
      </c>
      <c r="L1356" s="193">
        <f>64.48-0.48</f>
        <v>64</v>
      </c>
      <c r="M1356" s="193">
        <v>0</v>
      </c>
      <c r="N1356" s="193">
        <f>169.31-0.31</f>
        <v>169</v>
      </c>
      <c r="O1356" s="193">
        <v>0</v>
      </c>
      <c r="P1356" s="193">
        <v>0</v>
      </c>
      <c r="Q1356" s="193">
        <f>170.85+0.15</f>
        <v>171</v>
      </c>
      <c r="R1356" s="193">
        <v>0</v>
      </c>
      <c r="S1356" s="193">
        <v>0</v>
      </c>
      <c r="T1356" s="193">
        <f>SUM(H1356:S1356)</f>
        <v>586</v>
      </c>
      <c r="U1356"/>
      <c r="V1356">
        <f>+PRESUPUESTO22[[#This Row],[EJECUTADO ]]-SUM(PRESUPUESTO22[[#This Row],[   ENERO ]:[DIC]])</f>
        <v>0</v>
      </c>
    </row>
    <row r="1357" spans="1:22" ht="15.95" customHeight="1" x14ac:dyDescent="0.25">
      <c r="A1357" s="52">
        <v>4</v>
      </c>
      <c r="B1357" s="151">
        <v>3304</v>
      </c>
      <c r="C1357" s="130" t="str">
        <f t="shared" si="478"/>
        <v>E-3304</v>
      </c>
      <c r="D1357" s="130">
        <v>1307</v>
      </c>
      <c r="E1357" s="151" t="s">
        <v>69</v>
      </c>
      <c r="F1357" s="247" t="s">
        <v>1098</v>
      </c>
      <c r="G1357" s="192">
        <f>+G1358</f>
        <v>900</v>
      </c>
      <c r="H1357" s="192">
        <f>+H1358</f>
        <v>0</v>
      </c>
      <c r="I1357" s="192">
        <f t="shared" ref="I1357:T1357" si="492">+I1358</f>
        <v>906</v>
      </c>
      <c r="J1357" s="192">
        <f t="shared" si="492"/>
        <v>0</v>
      </c>
      <c r="K1357" s="192">
        <f t="shared" si="492"/>
        <v>0</v>
      </c>
      <c r="L1357" s="192">
        <f t="shared" si="492"/>
        <v>0</v>
      </c>
      <c r="M1357" s="192">
        <f t="shared" si="492"/>
        <v>0</v>
      </c>
      <c r="N1357" s="192">
        <f t="shared" si="492"/>
        <v>0</v>
      </c>
      <c r="O1357" s="192">
        <f t="shared" si="492"/>
        <v>0</v>
      </c>
      <c r="P1357" s="192">
        <f t="shared" si="492"/>
        <v>0</v>
      </c>
      <c r="Q1357" s="192">
        <f t="shared" si="492"/>
        <v>0</v>
      </c>
      <c r="R1357" s="192">
        <f t="shared" si="492"/>
        <v>0</v>
      </c>
      <c r="S1357" s="192">
        <f t="shared" si="492"/>
        <v>0</v>
      </c>
      <c r="T1357" s="192">
        <f t="shared" si="492"/>
        <v>906</v>
      </c>
      <c r="U1357"/>
      <c r="V1357">
        <f>+PRESUPUESTO22[[#This Row],[EJECUTADO ]]-SUM(PRESUPUESTO22[[#This Row],[   ENERO ]:[DIC]])</f>
        <v>0</v>
      </c>
    </row>
    <row r="1358" spans="1:22" ht="15.95" customHeight="1" x14ac:dyDescent="0.25">
      <c r="A1358" s="52"/>
      <c r="B1358" s="156">
        <v>330401</v>
      </c>
      <c r="C1358" s="130" t="str">
        <f t="shared" si="478"/>
        <v>E-330401</v>
      </c>
      <c r="D1358" s="130">
        <v>1308</v>
      </c>
      <c r="E1358" s="156" t="s">
        <v>72</v>
      </c>
      <c r="F1358" s="216" t="s">
        <v>1099</v>
      </c>
      <c r="G1358" s="193">
        <v>900</v>
      </c>
      <c r="H1358" s="193">
        <v>0</v>
      </c>
      <c r="I1358" s="193">
        <v>906</v>
      </c>
      <c r="J1358" s="193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>
        <v>0</v>
      </c>
      <c r="P1358" s="193">
        <v>0</v>
      </c>
      <c r="Q1358" s="193">
        <v>0</v>
      </c>
      <c r="R1358" s="193">
        <v>0</v>
      </c>
      <c r="S1358" s="193">
        <v>0</v>
      </c>
      <c r="T1358" s="193">
        <f>SUM(H1358:S1358)</f>
        <v>906</v>
      </c>
      <c r="U1358"/>
      <c r="V1358">
        <f>+PRESUPUESTO22[[#This Row],[EJECUTADO ]]-SUM(PRESUPUESTO22[[#This Row],[   ENERO ]:[DIC]])</f>
        <v>0</v>
      </c>
    </row>
    <row r="1359" spans="1:22" ht="15.95" customHeight="1" x14ac:dyDescent="0.25">
      <c r="A1359" s="52">
        <v>5</v>
      </c>
      <c r="B1359" s="151">
        <v>3305</v>
      </c>
      <c r="C1359" s="130" t="str">
        <f t="shared" si="478"/>
        <v>E-3305</v>
      </c>
      <c r="D1359" s="130">
        <v>1309</v>
      </c>
      <c r="E1359" s="151" t="s">
        <v>69</v>
      </c>
      <c r="F1359" s="247" t="s">
        <v>1100</v>
      </c>
      <c r="G1359" s="192">
        <f>SUM(G1360:G1361)</f>
        <v>12000</v>
      </c>
      <c r="H1359" s="192">
        <f>SUM(H1360:H1361)</f>
        <v>0</v>
      </c>
      <c r="I1359" s="192">
        <f t="shared" ref="I1359:T1359" si="493">SUM(I1360:I1361)</f>
        <v>0</v>
      </c>
      <c r="J1359" s="192">
        <f t="shared" si="493"/>
        <v>0</v>
      </c>
      <c r="K1359" s="192">
        <f t="shared" si="493"/>
        <v>0</v>
      </c>
      <c r="L1359" s="192">
        <f t="shared" si="493"/>
        <v>0</v>
      </c>
      <c r="M1359" s="192">
        <f t="shared" si="493"/>
        <v>0</v>
      </c>
      <c r="N1359" s="192">
        <f t="shared" si="493"/>
        <v>9000</v>
      </c>
      <c r="O1359" s="192">
        <f t="shared" si="493"/>
        <v>0</v>
      </c>
      <c r="P1359" s="192">
        <f t="shared" si="493"/>
        <v>0</v>
      </c>
      <c r="Q1359" s="192">
        <f t="shared" si="493"/>
        <v>0</v>
      </c>
      <c r="R1359" s="192">
        <f t="shared" si="493"/>
        <v>0</v>
      </c>
      <c r="S1359" s="192">
        <f t="shared" si="493"/>
        <v>0</v>
      </c>
      <c r="T1359" s="192">
        <f t="shared" si="493"/>
        <v>9000</v>
      </c>
      <c r="U1359"/>
      <c r="V1359">
        <f>+PRESUPUESTO22[[#This Row],[EJECUTADO ]]-SUM(PRESUPUESTO22[[#This Row],[   ENERO ]:[DIC]])</f>
        <v>0</v>
      </c>
    </row>
    <row r="1360" spans="1:22" ht="15.95" customHeight="1" x14ac:dyDescent="0.25">
      <c r="A1360" s="52"/>
      <c r="B1360" s="156">
        <v>330501</v>
      </c>
      <c r="C1360" s="130" t="str">
        <f t="shared" si="478"/>
        <v>E-330501</v>
      </c>
      <c r="D1360" s="130">
        <v>1310</v>
      </c>
      <c r="E1360" s="156" t="s">
        <v>72</v>
      </c>
      <c r="F1360" s="216" t="s">
        <v>1101</v>
      </c>
      <c r="G1360" s="193">
        <v>1000</v>
      </c>
      <c r="H1360" s="193">
        <v>0</v>
      </c>
      <c r="I1360" s="193">
        <v>0</v>
      </c>
      <c r="J1360" s="193">
        <v>0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93">
        <v>0</v>
      </c>
      <c r="R1360" s="193">
        <v>0</v>
      </c>
      <c r="S1360" s="193">
        <v>0</v>
      </c>
      <c r="T1360" s="193">
        <f>SUM(H1360:S1360)</f>
        <v>0</v>
      </c>
      <c r="U1360"/>
      <c r="V1360">
        <f>+PRESUPUESTO22[[#This Row],[EJECUTADO ]]-SUM(PRESUPUESTO22[[#This Row],[   ENERO ]:[DIC]])</f>
        <v>0</v>
      </c>
    </row>
    <row r="1361" spans="1:23" ht="15.95" customHeight="1" x14ac:dyDescent="0.25">
      <c r="A1361" s="52"/>
      <c r="B1361" s="156">
        <v>330502</v>
      </c>
      <c r="C1361" s="130" t="str">
        <f t="shared" si="478"/>
        <v>E-330502</v>
      </c>
      <c r="D1361" s="130">
        <v>1311</v>
      </c>
      <c r="E1361" s="156" t="s">
        <v>72</v>
      </c>
      <c r="F1361" s="216" t="s">
        <v>1102</v>
      </c>
      <c r="G1361" s="193">
        <v>11000</v>
      </c>
      <c r="H1361" s="193">
        <v>0</v>
      </c>
      <c r="I1361" s="193">
        <v>0</v>
      </c>
      <c r="J1361" s="193">
        <v>0</v>
      </c>
      <c r="K1361" s="193">
        <v>0</v>
      </c>
      <c r="L1361" s="193">
        <v>0</v>
      </c>
      <c r="M1361" s="193">
        <v>0</v>
      </c>
      <c r="N1361" s="193">
        <v>9000</v>
      </c>
      <c r="O1361" s="193">
        <v>0</v>
      </c>
      <c r="P1361" s="193">
        <v>0</v>
      </c>
      <c r="Q1361" s="193">
        <v>0</v>
      </c>
      <c r="R1361" s="193">
        <v>0</v>
      </c>
      <c r="S1361" s="193">
        <v>0</v>
      </c>
      <c r="T1361" s="193">
        <f>SUM(H1361:S1361)</f>
        <v>9000</v>
      </c>
      <c r="U1361"/>
      <c r="V1361">
        <f>+PRESUPUESTO22[[#This Row],[EJECUTADO ]]-SUM(PRESUPUESTO22[[#This Row],[   ENERO ]:[DIC]])</f>
        <v>0</v>
      </c>
    </row>
    <row r="1362" spans="1:23" ht="15.95" customHeight="1" x14ac:dyDescent="0.25">
      <c r="A1362" s="52">
        <v>6</v>
      </c>
      <c r="B1362" s="151">
        <v>3306</v>
      </c>
      <c r="C1362" s="130" t="str">
        <f t="shared" si="478"/>
        <v>E-3306</v>
      </c>
      <c r="D1362" s="130">
        <v>1312</v>
      </c>
      <c r="E1362" s="151" t="s">
        <v>69</v>
      </c>
      <c r="F1362" s="247" t="s">
        <v>1103</v>
      </c>
      <c r="G1362" s="192">
        <f>+G1363</f>
        <v>5250</v>
      </c>
      <c r="H1362" s="192">
        <f t="shared" ref="H1362:T1362" si="494">+H1363</f>
        <v>0</v>
      </c>
      <c r="I1362" s="192">
        <f t="shared" si="494"/>
        <v>0</v>
      </c>
      <c r="J1362" s="192">
        <f t="shared" si="494"/>
        <v>500</v>
      </c>
      <c r="K1362" s="192">
        <f t="shared" si="494"/>
        <v>0</v>
      </c>
      <c r="L1362" s="192">
        <f t="shared" si="494"/>
        <v>2000</v>
      </c>
      <c r="M1362" s="192">
        <f t="shared" si="494"/>
        <v>0</v>
      </c>
      <c r="N1362" s="192">
        <f t="shared" si="494"/>
        <v>207</v>
      </c>
      <c r="O1362" s="192">
        <f t="shared" si="494"/>
        <v>0</v>
      </c>
      <c r="P1362" s="192">
        <f t="shared" si="494"/>
        <v>240</v>
      </c>
      <c r="Q1362" s="192">
        <f t="shared" si="494"/>
        <v>688</v>
      </c>
      <c r="R1362" s="192">
        <f t="shared" si="494"/>
        <v>180</v>
      </c>
      <c r="S1362" s="192">
        <f t="shared" si="494"/>
        <v>0</v>
      </c>
      <c r="T1362" s="192">
        <f t="shared" si="494"/>
        <v>3815</v>
      </c>
      <c r="U1362"/>
      <c r="V1362">
        <f>+PRESUPUESTO22[[#This Row],[EJECUTADO ]]-SUM(PRESUPUESTO22[[#This Row],[   ENERO ]:[DIC]])</f>
        <v>0</v>
      </c>
    </row>
    <row r="1363" spans="1:23" ht="15.95" customHeight="1" x14ac:dyDescent="0.25">
      <c r="A1363" s="52"/>
      <c r="B1363" s="165">
        <v>330601</v>
      </c>
      <c r="C1363" s="130" t="str">
        <f t="shared" si="478"/>
        <v>E-330601</v>
      </c>
      <c r="D1363" s="130">
        <v>1313</v>
      </c>
      <c r="E1363" s="165" t="s">
        <v>69</v>
      </c>
      <c r="F1363" s="228" t="s">
        <v>1104</v>
      </c>
      <c r="G1363" s="229">
        <f>SUM(G1364:G1369)</f>
        <v>5250</v>
      </c>
      <c r="H1363" s="229">
        <f>SUM(H1364:H1369)</f>
        <v>0</v>
      </c>
      <c r="I1363" s="229">
        <f t="shared" ref="I1363:T1363" si="495">SUM(I1364:I1369)</f>
        <v>0</v>
      </c>
      <c r="J1363" s="229">
        <f t="shared" si="495"/>
        <v>500</v>
      </c>
      <c r="K1363" s="229">
        <f t="shared" si="495"/>
        <v>0</v>
      </c>
      <c r="L1363" s="229">
        <f t="shared" si="495"/>
        <v>2000</v>
      </c>
      <c r="M1363" s="229">
        <f t="shared" si="495"/>
        <v>0</v>
      </c>
      <c r="N1363" s="229">
        <f t="shared" si="495"/>
        <v>207</v>
      </c>
      <c r="O1363" s="229">
        <f t="shared" si="495"/>
        <v>0</v>
      </c>
      <c r="P1363" s="229">
        <f t="shared" si="495"/>
        <v>240</v>
      </c>
      <c r="Q1363" s="229">
        <f t="shared" si="495"/>
        <v>688</v>
      </c>
      <c r="R1363" s="229">
        <f t="shared" si="495"/>
        <v>180</v>
      </c>
      <c r="S1363" s="229">
        <f t="shared" si="495"/>
        <v>0</v>
      </c>
      <c r="T1363" s="229">
        <f t="shared" si="495"/>
        <v>3815</v>
      </c>
      <c r="U1363"/>
      <c r="V1363">
        <f>+PRESUPUESTO22[[#This Row],[EJECUTADO ]]-SUM(PRESUPUESTO22[[#This Row],[   ENERO ]:[DIC]])</f>
        <v>0</v>
      </c>
    </row>
    <row r="1364" spans="1:23" ht="15" x14ac:dyDescent="0.25">
      <c r="A1364" s="52">
        <v>1</v>
      </c>
      <c r="B1364" s="156">
        <v>33060101</v>
      </c>
      <c r="C1364" s="130" t="str">
        <f t="shared" si="478"/>
        <v>E-33060101</v>
      </c>
      <c r="D1364" s="130">
        <v>1314</v>
      </c>
      <c r="E1364" s="156" t="s">
        <v>72</v>
      </c>
      <c r="F1364" s="216" t="s">
        <v>1105</v>
      </c>
      <c r="G1364" s="193">
        <v>2000</v>
      </c>
      <c r="H1364" s="193">
        <v>0</v>
      </c>
      <c r="I1364" s="193">
        <v>0</v>
      </c>
      <c r="J1364" s="193">
        <v>0</v>
      </c>
      <c r="K1364" s="193">
        <v>0</v>
      </c>
      <c r="L1364" s="193">
        <v>2000</v>
      </c>
      <c r="M1364" s="193">
        <v>0</v>
      </c>
      <c r="N1364" s="193">
        <v>0</v>
      </c>
      <c r="O1364" s="193">
        <v>0</v>
      </c>
      <c r="P1364" s="193">
        <v>0</v>
      </c>
      <c r="Q1364" s="193">
        <v>0</v>
      </c>
      <c r="R1364" s="193">
        <v>0</v>
      </c>
      <c r="S1364" s="193">
        <v>0</v>
      </c>
      <c r="T1364" s="193">
        <f t="shared" ref="T1364:T1369" si="496">SUM(H1364:S1364)</f>
        <v>2000</v>
      </c>
      <c r="U1364"/>
      <c r="V1364">
        <f>+PRESUPUESTO22[[#This Row],[EJECUTADO ]]-SUM(PRESUPUESTO22[[#This Row],[   ENERO ]:[DIC]])</f>
        <v>0</v>
      </c>
    </row>
    <row r="1365" spans="1:23" ht="15" x14ac:dyDescent="0.25">
      <c r="A1365" s="52"/>
      <c r="B1365" s="156">
        <v>33060102</v>
      </c>
      <c r="C1365" s="130" t="str">
        <f t="shared" si="478"/>
        <v>E-33060102</v>
      </c>
      <c r="D1365" s="130">
        <v>1315</v>
      </c>
      <c r="E1365" s="156" t="s">
        <v>72</v>
      </c>
      <c r="F1365" s="216" t="s">
        <v>1106</v>
      </c>
      <c r="G1365" s="193">
        <v>1000</v>
      </c>
      <c r="H1365" s="193">
        <v>0</v>
      </c>
      <c r="I1365" s="193">
        <v>0</v>
      </c>
      <c r="J1365" s="193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>
        <v>0</v>
      </c>
      <c r="P1365" s="193">
        <f>148.9+0.1</f>
        <v>149</v>
      </c>
      <c r="Q1365" s="193">
        <f>108+229.5+0.5</f>
        <v>338</v>
      </c>
      <c r="R1365" s="193">
        <v>180</v>
      </c>
      <c r="S1365" s="193">
        <v>0</v>
      </c>
      <c r="T1365" s="193">
        <f t="shared" si="496"/>
        <v>667</v>
      </c>
      <c r="U1365"/>
      <c r="V1365">
        <f>+PRESUPUESTO22[[#This Row],[EJECUTADO ]]-SUM(PRESUPUESTO22[[#This Row],[   ENERO ]:[DIC]])</f>
        <v>0</v>
      </c>
    </row>
    <row r="1366" spans="1:23" ht="15" x14ac:dyDescent="0.25">
      <c r="A1366" s="52"/>
      <c r="B1366" s="156">
        <v>33060103</v>
      </c>
      <c r="C1366" s="130" t="str">
        <f t="shared" si="478"/>
        <v>E-33060103</v>
      </c>
      <c r="D1366" s="130">
        <v>1316</v>
      </c>
      <c r="E1366" s="156" t="s">
        <v>72</v>
      </c>
      <c r="F1366" s="216" t="s">
        <v>1107</v>
      </c>
      <c r="G1366" s="193">
        <v>1000</v>
      </c>
      <c r="H1366" s="193">
        <v>0</v>
      </c>
      <c r="I1366" s="193">
        <v>0</v>
      </c>
      <c r="J1366" s="193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>
        <v>0</v>
      </c>
      <c r="P1366" s="193">
        <v>0</v>
      </c>
      <c r="Q1366" s="193">
        <v>0</v>
      </c>
      <c r="R1366" s="193">
        <v>0</v>
      </c>
      <c r="S1366" s="193">
        <v>0</v>
      </c>
      <c r="T1366" s="193">
        <f t="shared" si="496"/>
        <v>0</v>
      </c>
      <c r="U1366"/>
      <c r="V1366">
        <f>+PRESUPUESTO22[[#This Row],[EJECUTADO ]]-SUM(PRESUPUESTO22[[#This Row],[   ENERO ]:[DIC]])</f>
        <v>0</v>
      </c>
    </row>
    <row r="1367" spans="1:23" ht="15" x14ac:dyDescent="0.25">
      <c r="A1367" s="52"/>
      <c r="B1367" s="156">
        <v>33060104</v>
      </c>
      <c r="C1367" s="130" t="str">
        <f t="shared" si="478"/>
        <v>E-33060104</v>
      </c>
      <c r="D1367" s="130">
        <v>1317</v>
      </c>
      <c r="E1367" s="156" t="s">
        <v>72</v>
      </c>
      <c r="F1367" s="216" t="s">
        <v>1108</v>
      </c>
      <c r="G1367" s="193">
        <v>500</v>
      </c>
      <c r="H1367" s="193">
        <v>0</v>
      </c>
      <c r="I1367" s="193">
        <v>0</v>
      </c>
      <c r="J1367" s="193">
        <v>0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93">
        <v>0</v>
      </c>
      <c r="R1367" s="193">
        <v>0</v>
      </c>
      <c r="S1367" s="193">
        <v>0</v>
      </c>
      <c r="T1367" s="193">
        <f t="shared" si="496"/>
        <v>0</v>
      </c>
      <c r="U1367"/>
      <c r="V1367">
        <f>+PRESUPUESTO22[[#This Row],[EJECUTADO ]]-SUM(PRESUPUESTO22[[#This Row],[   ENERO ]:[DIC]])</f>
        <v>0</v>
      </c>
    </row>
    <row r="1368" spans="1:23" ht="15" x14ac:dyDescent="0.25">
      <c r="A1368" s="52"/>
      <c r="B1368" s="156">
        <v>33060106</v>
      </c>
      <c r="C1368" s="130" t="str">
        <f t="shared" ref="C1368" si="497">"E"&amp;"-"&amp;B1368</f>
        <v>E-33060106</v>
      </c>
      <c r="D1368" s="130">
        <v>1318</v>
      </c>
      <c r="E1368" s="156" t="s">
        <v>72</v>
      </c>
      <c r="F1368" s="216" t="s">
        <v>1445</v>
      </c>
      <c r="G1368" s="193">
        <v>0</v>
      </c>
      <c r="H1368" s="193">
        <v>0</v>
      </c>
      <c r="I1368" s="193">
        <v>0</v>
      </c>
      <c r="J1368" s="193">
        <v>0</v>
      </c>
      <c r="K1368" s="193">
        <v>0</v>
      </c>
      <c r="L1368" s="193">
        <v>0</v>
      </c>
      <c r="M1368" s="193">
        <v>0</v>
      </c>
      <c r="N1368" s="193">
        <v>0</v>
      </c>
      <c r="O1368" s="193">
        <v>0</v>
      </c>
      <c r="P1368" s="193">
        <v>0</v>
      </c>
      <c r="Q1368" s="193">
        <v>350</v>
      </c>
      <c r="R1368" s="193">
        <v>0</v>
      </c>
      <c r="S1368" s="193"/>
      <c r="T1368" s="193">
        <f t="shared" si="496"/>
        <v>350</v>
      </c>
      <c r="U1368"/>
      <c r="V1368">
        <f>+PRESUPUESTO22[[#This Row],[EJECUTADO ]]-SUM(PRESUPUESTO22[[#This Row],[   ENERO ]:[DIC]])</f>
        <v>0</v>
      </c>
    </row>
    <row r="1369" spans="1:23" ht="15.95" customHeight="1" x14ac:dyDescent="0.25">
      <c r="A1369" s="52" t="s">
        <v>1</v>
      </c>
      <c r="B1369" s="156">
        <v>33060105</v>
      </c>
      <c r="C1369" s="130" t="str">
        <f t="shared" si="478"/>
        <v>E-33060105</v>
      </c>
      <c r="D1369" s="130">
        <v>1319</v>
      </c>
      <c r="E1369" s="156" t="s">
        <v>72</v>
      </c>
      <c r="F1369" s="216" t="s">
        <v>1109</v>
      </c>
      <c r="G1369" s="193">
        <v>750</v>
      </c>
      <c r="H1369" s="193">
        <v>0</v>
      </c>
      <c r="I1369" s="193">
        <v>0</v>
      </c>
      <c r="J1369" s="193">
        <v>500</v>
      </c>
      <c r="K1369" s="193">
        <v>0</v>
      </c>
      <c r="L1369" s="193">
        <v>0</v>
      </c>
      <c r="M1369" s="193">
        <v>0</v>
      </c>
      <c r="N1369" s="193">
        <f>206.79+0.21</f>
        <v>207</v>
      </c>
      <c r="O1369" s="193">
        <v>0</v>
      </c>
      <c r="P1369" s="193">
        <v>91</v>
      </c>
      <c r="Q1369" s="193">
        <v>0</v>
      </c>
      <c r="R1369" s="193">
        <v>0</v>
      </c>
      <c r="S1369" s="193">
        <v>0</v>
      </c>
      <c r="T1369" s="193">
        <f t="shared" si="496"/>
        <v>798</v>
      </c>
      <c r="U1369"/>
      <c r="V1369">
        <f>+PRESUPUESTO22[[#This Row],[EJECUTADO ]]-SUM(PRESUPUESTO22[[#This Row],[   ENERO ]:[DIC]])</f>
        <v>0</v>
      </c>
    </row>
    <row r="1370" spans="1:23" ht="15.95" customHeight="1" x14ac:dyDescent="0.25">
      <c r="A1370" s="49">
        <v>34</v>
      </c>
      <c r="B1370" s="143">
        <v>34</v>
      </c>
      <c r="C1370" s="130" t="str">
        <f t="shared" si="478"/>
        <v>E-34</v>
      </c>
      <c r="D1370" s="130">
        <v>1320</v>
      </c>
      <c r="E1370" s="143" t="s">
        <v>67</v>
      </c>
      <c r="F1370" s="195" t="s">
        <v>57</v>
      </c>
      <c r="G1370" s="188">
        <f t="shared" ref="G1370:T1370" si="498">+G1371+G1382+G1384</f>
        <v>739000</v>
      </c>
      <c r="H1370" s="188">
        <f t="shared" si="498"/>
        <v>47629</v>
      </c>
      <c r="I1370" s="188">
        <f t="shared" si="498"/>
        <v>26200</v>
      </c>
      <c r="J1370" s="188">
        <f t="shared" si="498"/>
        <v>129750</v>
      </c>
      <c r="K1370" s="188">
        <f t="shared" si="498"/>
        <v>1944</v>
      </c>
      <c r="L1370" s="188">
        <f t="shared" si="498"/>
        <v>0</v>
      </c>
      <c r="M1370" s="188">
        <f t="shared" si="498"/>
        <v>0</v>
      </c>
      <c r="N1370" s="188">
        <f t="shared" si="498"/>
        <v>100000</v>
      </c>
      <c r="O1370" s="188">
        <f t="shared" si="498"/>
        <v>25000</v>
      </c>
      <c r="P1370" s="188">
        <f t="shared" si="498"/>
        <v>116383</v>
      </c>
      <c r="Q1370" s="188">
        <f t="shared" si="498"/>
        <v>25000</v>
      </c>
      <c r="R1370" s="188">
        <f t="shared" si="498"/>
        <v>0</v>
      </c>
      <c r="S1370" s="188">
        <f t="shared" si="498"/>
        <v>0</v>
      </c>
      <c r="T1370" s="188">
        <f t="shared" si="498"/>
        <v>471906</v>
      </c>
      <c r="U1370"/>
      <c r="V1370">
        <f>+PRESUPUESTO22[[#This Row],[EJECUTADO ]]-SUM(PRESUPUESTO22[[#This Row],[   ENERO ]:[DIC]])</f>
        <v>0</v>
      </c>
      <c r="W1370"/>
    </row>
    <row r="1371" spans="1:23" ht="15.95" customHeight="1" x14ac:dyDescent="0.25">
      <c r="A1371" s="49"/>
      <c r="B1371" s="151">
        <v>3401</v>
      </c>
      <c r="C1371" s="130" t="str">
        <f t="shared" si="478"/>
        <v>E-3401</v>
      </c>
      <c r="D1371" s="130">
        <v>1321</v>
      </c>
      <c r="E1371" s="151" t="s">
        <v>72</v>
      </c>
      <c r="F1371" s="247" t="s">
        <v>1110</v>
      </c>
      <c r="G1371" s="192">
        <v>100000</v>
      </c>
      <c r="H1371" s="192">
        <f t="shared" ref="H1371:T1371" si="499">SUM(H1372:H1381)</f>
        <v>22629</v>
      </c>
      <c r="I1371" s="192">
        <f t="shared" si="499"/>
        <v>1200</v>
      </c>
      <c r="J1371" s="192">
        <f t="shared" si="499"/>
        <v>4750</v>
      </c>
      <c r="K1371" s="192">
        <f t="shared" si="499"/>
        <v>1944</v>
      </c>
      <c r="L1371" s="192">
        <f t="shared" si="499"/>
        <v>0</v>
      </c>
      <c r="M1371" s="192">
        <f t="shared" si="499"/>
        <v>0</v>
      </c>
      <c r="N1371" s="192">
        <f t="shared" si="499"/>
        <v>0</v>
      </c>
      <c r="O1371" s="192">
        <f t="shared" si="499"/>
        <v>0</v>
      </c>
      <c r="P1371" s="192">
        <f t="shared" si="499"/>
        <v>0</v>
      </c>
      <c r="Q1371" s="192">
        <f t="shared" si="499"/>
        <v>0</v>
      </c>
      <c r="R1371" s="192">
        <f t="shared" si="499"/>
        <v>0</v>
      </c>
      <c r="S1371" s="192">
        <f t="shared" si="499"/>
        <v>0</v>
      </c>
      <c r="T1371" s="192">
        <f t="shared" si="499"/>
        <v>30523</v>
      </c>
      <c r="U1371"/>
      <c r="V1371">
        <f>+PRESUPUESTO22[[#This Row],[EJECUTADO ]]-SUM(PRESUPUESTO22[[#This Row],[   ENERO ]:[DIC]])</f>
        <v>0</v>
      </c>
      <c r="W1371"/>
    </row>
    <row r="1372" spans="1:23" ht="15.95" customHeight="1" x14ac:dyDescent="0.25">
      <c r="A1372" s="52"/>
      <c r="B1372" s="156">
        <v>340101</v>
      </c>
      <c r="C1372" s="130" t="str">
        <f t="shared" si="478"/>
        <v>E-340101</v>
      </c>
      <c r="D1372" s="130">
        <v>1322</v>
      </c>
      <c r="E1372" s="156" t="s">
        <v>69</v>
      </c>
      <c r="F1372" s="216" t="s">
        <v>1111</v>
      </c>
      <c r="G1372" s="193">
        <v>0</v>
      </c>
      <c r="H1372" s="193">
        <f>8610.74+0.26</f>
        <v>8611</v>
      </c>
      <c r="I1372" s="193">
        <v>0</v>
      </c>
      <c r="J1372" s="193">
        <v>0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93">
        <v>0</v>
      </c>
      <c r="R1372" s="193">
        <v>0</v>
      </c>
      <c r="S1372" s="193">
        <v>0</v>
      </c>
      <c r="T1372" s="193">
        <f t="shared" ref="T1372:T1381" si="500">SUM(H1372:S1372)</f>
        <v>8611</v>
      </c>
      <c r="U1372"/>
      <c r="V1372">
        <f>+PRESUPUESTO22[[#This Row],[EJECUTADO ]]-SUM(PRESUPUESTO22[[#This Row],[   ENERO ]:[DIC]])</f>
        <v>0</v>
      </c>
    </row>
    <row r="1373" spans="1:23" ht="15.95" customHeight="1" x14ac:dyDescent="0.25">
      <c r="A1373" s="52"/>
      <c r="B1373" s="156">
        <v>340102</v>
      </c>
      <c r="C1373" s="130" t="str">
        <f t="shared" si="478"/>
        <v>E-340102</v>
      </c>
      <c r="D1373" s="130">
        <v>1323</v>
      </c>
      <c r="E1373" s="156" t="s">
        <v>69</v>
      </c>
      <c r="F1373" s="216" t="s">
        <v>1112</v>
      </c>
      <c r="G1373" s="193">
        <v>0</v>
      </c>
      <c r="H1373" s="193">
        <v>4339</v>
      </c>
      <c r="I1373" s="193">
        <v>0</v>
      </c>
      <c r="J1373" s="193">
        <v>0</v>
      </c>
      <c r="K1373" s="193">
        <v>0</v>
      </c>
      <c r="L1373" s="193">
        <v>0</v>
      </c>
      <c r="M1373" s="193">
        <v>0</v>
      </c>
      <c r="N1373" s="193">
        <v>0</v>
      </c>
      <c r="O1373" s="193">
        <v>0</v>
      </c>
      <c r="P1373" s="193">
        <v>0</v>
      </c>
      <c r="Q1373" s="193">
        <v>0</v>
      </c>
      <c r="R1373" s="193">
        <v>0</v>
      </c>
      <c r="S1373" s="193">
        <v>0</v>
      </c>
      <c r="T1373" s="193">
        <f t="shared" si="500"/>
        <v>4339</v>
      </c>
      <c r="U1373"/>
      <c r="V1373">
        <f>+PRESUPUESTO22[[#This Row],[EJECUTADO ]]-SUM(PRESUPUESTO22[[#This Row],[   ENERO ]:[DIC]])</f>
        <v>0</v>
      </c>
    </row>
    <row r="1374" spans="1:23" ht="15.95" customHeight="1" x14ac:dyDescent="0.25">
      <c r="A1374" s="52"/>
      <c r="B1374" s="156">
        <v>340103</v>
      </c>
      <c r="C1374" s="130" t="str">
        <f t="shared" si="478"/>
        <v>E-340103</v>
      </c>
      <c r="D1374" s="130">
        <v>1324</v>
      </c>
      <c r="E1374" s="156" t="s">
        <v>69</v>
      </c>
      <c r="F1374" s="216" t="s">
        <v>1113</v>
      </c>
      <c r="G1374" s="193">
        <v>0</v>
      </c>
      <c r="H1374" s="193">
        <f>2199.75+0.25</f>
        <v>2200</v>
      </c>
      <c r="I1374" s="193">
        <v>0</v>
      </c>
      <c r="J1374" s="193">
        <v>0</v>
      </c>
      <c r="K1374" s="193">
        <v>0</v>
      </c>
      <c r="L1374" s="193">
        <v>0</v>
      </c>
      <c r="M1374" s="193">
        <v>0</v>
      </c>
      <c r="N1374" s="193">
        <v>0</v>
      </c>
      <c r="O1374" s="193">
        <v>0</v>
      </c>
      <c r="P1374" s="193">
        <v>0</v>
      </c>
      <c r="Q1374" s="193">
        <v>0</v>
      </c>
      <c r="R1374" s="193">
        <v>0</v>
      </c>
      <c r="S1374" s="193">
        <v>0</v>
      </c>
      <c r="T1374" s="193">
        <f t="shared" si="500"/>
        <v>2200</v>
      </c>
      <c r="U1374"/>
      <c r="V1374">
        <f>+PRESUPUESTO22[[#This Row],[EJECUTADO ]]-SUM(PRESUPUESTO22[[#This Row],[   ENERO ]:[DIC]])</f>
        <v>0</v>
      </c>
    </row>
    <row r="1375" spans="1:23" ht="15.95" customHeight="1" x14ac:dyDescent="0.25">
      <c r="A1375" s="52"/>
      <c r="B1375" s="156">
        <v>340104</v>
      </c>
      <c r="C1375" s="130" t="str">
        <f t="shared" si="478"/>
        <v>E-340104</v>
      </c>
      <c r="D1375" s="130">
        <v>1325</v>
      </c>
      <c r="E1375" s="156" t="s">
        <v>69</v>
      </c>
      <c r="F1375" s="216" t="s">
        <v>1114</v>
      </c>
      <c r="G1375" s="193">
        <v>0</v>
      </c>
      <c r="H1375" s="193">
        <v>0</v>
      </c>
      <c r="I1375" s="193">
        <v>1200</v>
      </c>
      <c r="J1375" s="193">
        <v>0</v>
      </c>
      <c r="K1375" s="193">
        <v>0</v>
      </c>
      <c r="L1375" s="193">
        <v>0</v>
      </c>
      <c r="M1375" s="193">
        <v>0</v>
      </c>
      <c r="N1375" s="193">
        <v>0</v>
      </c>
      <c r="O1375" s="193">
        <v>0</v>
      </c>
      <c r="P1375" s="193">
        <v>0</v>
      </c>
      <c r="Q1375" s="193">
        <v>0</v>
      </c>
      <c r="R1375" s="193">
        <v>0</v>
      </c>
      <c r="S1375" s="193">
        <v>0</v>
      </c>
      <c r="T1375" s="193">
        <f t="shared" si="500"/>
        <v>1200</v>
      </c>
      <c r="U1375"/>
      <c r="V1375">
        <f>+PRESUPUESTO22[[#This Row],[EJECUTADO ]]-SUM(PRESUPUESTO22[[#This Row],[   ENERO ]:[DIC]])</f>
        <v>0</v>
      </c>
    </row>
    <row r="1376" spans="1:23" ht="15.95" customHeight="1" x14ac:dyDescent="0.25">
      <c r="A1376" s="52"/>
      <c r="B1376" s="156">
        <v>340105</v>
      </c>
      <c r="C1376" s="130" t="str">
        <f t="shared" ref="C1376:C1385" si="501">"E"&amp;"-"&amp;B1376</f>
        <v>E-340105</v>
      </c>
      <c r="D1376" s="130">
        <v>1326</v>
      </c>
      <c r="E1376" s="156" t="s">
        <v>69</v>
      </c>
      <c r="F1376" s="216" t="s">
        <v>1115</v>
      </c>
      <c r="G1376" s="193">
        <v>0</v>
      </c>
      <c r="H1376" s="193">
        <v>0</v>
      </c>
      <c r="I1376" s="193">
        <v>0</v>
      </c>
      <c r="J1376" s="193">
        <v>4750</v>
      </c>
      <c r="K1376" s="193">
        <v>0</v>
      </c>
      <c r="L1376" s="193">
        <v>0</v>
      </c>
      <c r="M1376" s="193">
        <v>0</v>
      </c>
      <c r="N1376" s="193">
        <v>0</v>
      </c>
      <c r="O1376" s="193">
        <v>0</v>
      </c>
      <c r="P1376" s="193">
        <v>0</v>
      </c>
      <c r="Q1376" s="193">
        <v>0</v>
      </c>
      <c r="R1376" s="193">
        <v>0</v>
      </c>
      <c r="S1376" s="193">
        <v>0</v>
      </c>
      <c r="T1376" s="193">
        <f t="shared" si="500"/>
        <v>4750</v>
      </c>
      <c r="U1376"/>
      <c r="V1376">
        <f>+PRESUPUESTO22[[#This Row],[EJECUTADO ]]-SUM(PRESUPUESTO22[[#This Row],[   ENERO ]:[DIC]])</f>
        <v>0</v>
      </c>
    </row>
    <row r="1377" spans="1:22" ht="15.95" customHeight="1" x14ac:dyDescent="0.25">
      <c r="A1377" s="52"/>
      <c r="B1377" s="156">
        <v>340106</v>
      </c>
      <c r="C1377" s="130" t="str">
        <f t="shared" si="501"/>
        <v>E-340106</v>
      </c>
      <c r="D1377" s="130">
        <v>1327</v>
      </c>
      <c r="E1377" s="156" t="s">
        <v>69</v>
      </c>
      <c r="F1377" s="216" t="s">
        <v>1116</v>
      </c>
      <c r="G1377" s="193">
        <v>0</v>
      </c>
      <c r="H1377" s="193">
        <v>175</v>
      </c>
      <c r="I1377" s="193">
        <v>0</v>
      </c>
      <c r="J1377" s="193">
        <v>0</v>
      </c>
      <c r="K1377" s="193">
        <v>0</v>
      </c>
      <c r="L1377" s="193">
        <v>0</v>
      </c>
      <c r="M1377" s="193">
        <v>0</v>
      </c>
      <c r="N1377" s="193">
        <v>0</v>
      </c>
      <c r="O1377" s="193">
        <v>0</v>
      </c>
      <c r="P1377" s="193">
        <v>0</v>
      </c>
      <c r="Q1377" s="193">
        <v>0</v>
      </c>
      <c r="R1377" s="193">
        <v>0</v>
      </c>
      <c r="S1377" s="193">
        <v>0</v>
      </c>
      <c r="T1377" s="193">
        <f t="shared" si="500"/>
        <v>175</v>
      </c>
      <c r="U1377"/>
      <c r="V1377">
        <f>+PRESUPUESTO22[[#This Row],[EJECUTADO ]]-SUM(PRESUPUESTO22[[#This Row],[   ENERO ]:[DIC]])</f>
        <v>0</v>
      </c>
    </row>
    <row r="1378" spans="1:22" ht="15.95" customHeight="1" x14ac:dyDescent="0.25">
      <c r="A1378" s="52"/>
      <c r="B1378" s="156">
        <v>340107</v>
      </c>
      <c r="C1378" s="130" t="str">
        <f t="shared" si="501"/>
        <v>E-340107</v>
      </c>
      <c r="D1378" s="130">
        <v>1328</v>
      </c>
      <c r="E1378" s="156" t="s">
        <v>69</v>
      </c>
      <c r="F1378" s="216" t="s">
        <v>1117</v>
      </c>
      <c r="G1378" s="193">
        <v>0</v>
      </c>
      <c r="H1378" s="193">
        <v>819</v>
      </c>
      <c r="I1378" s="193">
        <v>0</v>
      </c>
      <c r="J1378" s="193">
        <v>0</v>
      </c>
      <c r="K1378" s="193">
        <v>0</v>
      </c>
      <c r="L1378" s="193">
        <v>0</v>
      </c>
      <c r="M1378" s="193">
        <v>0</v>
      </c>
      <c r="N1378" s="193">
        <v>0</v>
      </c>
      <c r="O1378" s="193">
        <v>0</v>
      </c>
      <c r="P1378" s="193">
        <v>0</v>
      </c>
      <c r="Q1378" s="193">
        <v>0</v>
      </c>
      <c r="R1378" s="193">
        <v>0</v>
      </c>
      <c r="S1378" s="193">
        <v>0</v>
      </c>
      <c r="T1378" s="193">
        <f t="shared" si="500"/>
        <v>819</v>
      </c>
      <c r="U1378"/>
      <c r="V1378">
        <f>+PRESUPUESTO22[[#This Row],[EJECUTADO ]]-SUM(PRESUPUESTO22[[#This Row],[   ENERO ]:[DIC]])</f>
        <v>0</v>
      </c>
    </row>
    <row r="1379" spans="1:22" ht="15.95" customHeight="1" x14ac:dyDescent="0.25">
      <c r="A1379" s="52"/>
      <c r="B1379" s="156">
        <v>340108</v>
      </c>
      <c r="C1379" s="130" t="str">
        <f t="shared" si="501"/>
        <v>E-340108</v>
      </c>
      <c r="D1379" s="130">
        <v>1329</v>
      </c>
      <c r="E1379" s="156" t="s">
        <v>69</v>
      </c>
      <c r="F1379" s="216" t="s">
        <v>1118</v>
      </c>
      <c r="G1379" s="193">
        <v>0</v>
      </c>
      <c r="H1379" s="193">
        <v>1000</v>
      </c>
      <c r="I1379" s="193">
        <v>0</v>
      </c>
      <c r="J1379" s="193">
        <v>0</v>
      </c>
      <c r="K1379" s="193">
        <v>0</v>
      </c>
      <c r="L1379" s="193">
        <v>0</v>
      </c>
      <c r="M1379" s="193">
        <v>0</v>
      </c>
      <c r="N1379" s="193">
        <v>0</v>
      </c>
      <c r="O1379" s="193">
        <v>0</v>
      </c>
      <c r="P1379" s="193">
        <v>0</v>
      </c>
      <c r="Q1379" s="193">
        <v>0</v>
      </c>
      <c r="R1379" s="193">
        <v>0</v>
      </c>
      <c r="S1379" s="193">
        <v>0</v>
      </c>
      <c r="T1379" s="193">
        <f t="shared" si="500"/>
        <v>1000</v>
      </c>
      <c r="U1379"/>
      <c r="V1379">
        <f>+PRESUPUESTO22[[#This Row],[EJECUTADO ]]-SUM(PRESUPUESTO22[[#This Row],[   ENERO ]:[DIC]])</f>
        <v>0</v>
      </c>
    </row>
    <row r="1380" spans="1:22" ht="15.95" customHeight="1" x14ac:dyDescent="0.25">
      <c r="A1380" s="52"/>
      <c r="B1380" s="156">
        <v>340109</v>
      </c>
      <c r="C1380" s="130" t="str">
        <f t="shared" si="501"/>
        <v>E-340109</v>
      </c>
      <c r="D1380" s="130">
        <v>1330</v>
      </c>
      <c r="E1380" s="156" t="s">
        <v>69</v>
      </c>
      <c r="F1380" s="216" t="s">
        <v>1119</v>
      </c>
      <c r="G1380" s="193">
        <v>0</v>
      </c>
      <c r="H1380" s="193">
        <v>5485</v>
      </c>
      <c r="I1380" s="193">
        <v>0</v>
      </c>
      <c r="J1380" s="193">
        <v>0</v>
      </c>
      <c r="K1380" s="193">
        <v>0</v>
      </c>
      <c r="L1380" s="193">
        <v>0</v>
      </c>
      <c r="M1380" s="193">
        <v>0</v>
      </c>
      <c r="N1380" s="193">
        <v>0</v>
      </c>
      <c r="O1380" s="193">
        <v>0</v>
      </c>
      <c r="P1380" s="193">
        <v>0</v>
      </c>
      <c r="Q1380" s="193">
        <v>0</v>
      </c>
      <c r="R1380" s="193">
        <v>0</v>
      </c>
      <c r="S1380" s="193">
        <v>0</v>
      </c>
      <c r="T1380" s="193">
        <f t="shared" si="500"/>
        <v>5485</v>
      </c>
      <c r="U1380"/>
      <c r="V1380">
        <f>+PRESUPUESTO22[[#This Row],[EJECUTADO ]]-SUM(PRESUPUESTO22[[#This Row],[   ENERO ]:[DIC]])</f>
        <v>0</v>
      </c>
    </row>
    <row r="1381" spans="1:22" ht="15.95" customHeight="1" x14ac:dyDescent="0.25">
      <c r="A1381" s="52"/>
      <c r="B1381" s="156">
        <v>340110</v>
      </c>
      <c r="C1381" s="130" t="str">
        <f t="shared" si="501"/>
        <v>E-340110</v>
      </c>
      <c r="D1381" s="130">
        <v>1331</v>
      </c>
      <c r="E1381" s="156" t="s">
        <v>69</v>
      </c>
      <c r="F1381" s="216" t="s">
        <v>1120</v>
      </c>
      <c r="G1381" s="193">
        <v>0</v>
      </c>
      <c r="H1381" s="193">
        <v>0</v>
      </c>
      <c r="I1381" s="193">
        <v>0</v>
      </c>
      <c r="J1381" s="193">
        <v>0</v>
      </c>
      <c r="K1381" s="193">
        <f>1943.83+0.17</f>
        <v>1944</v>
      </c>
      <c r="L1381" s="193">
        <v>0</v>
      </c>
      <c r="M1381" s="193">
        <v>0</v>
      </c>
      <c r="N1381" s="193">
        <v>0</v>
      </c>
      <c r="O1381" s="193">
        <v>0</v>
      </c>
      <c r="P1381" s="193">
        <v>0</v>
      </c>
      <c r="Q1381" s="193">
        <v>0</v>
      </c>
      <c r="R1381" s="193">
        <v>0</v>
      </c>
      <c r="S1381" s="193">
        <v>0</v>
      </c>
      <c r="T1381" s="193">
        <f t="shared" si="500"/>
        <v>1944</v>
      </c>
      <c r="U1381"/>
      <c r="V1381">
        <f>+PRESUPUESTO22[[#This Row],[EJECUTADO ]]-SUM(PRESUPUESTO22[[#This Row],[   ENERO ]:[DIC]])</f>
        <v>0</v>
      </c>
    </row>
    <row r="1382" spans="1:22" ht="15.95" customHeight="1" x14ac:dyDescent="0.25">
      <c r="A1382" s="52"/>
      <c r="B1382" s="151">
        <v>3402</v>
      </c>
      <c r="C1382" s="130" t="str">
        <f t="shared" si="501"/>
        <v>E-3402</v>
      </c>
      <c r="D1382" s="130">
        <v>1332</v>
      </c>
      <c r="E1382" s="151" t="s">
        <v>69</v>
      </c>
      <c r="F1382" s="247" t="s">
        <v>1121</v>
      </c>
      <c r="G1382" s="192">
        <f>+G1383</f>
        <v>300000</v>
      </c>
      <c r="H1382" s="192">
        <f t="shared" ref="H1382:T1382" si="502">+H1383</f>
        <v>25000</v>
      </c>
      <c r="I1382" s="192">
        <f t="shared" si="502"/>
        <v>25000</v>
      </c>
      <c r="J1382" s="192">
        <f t="shared" si="502"/>
        <v>25000</v>
      </c>
      <c r="K1382" s="192">
        <f t="shared" si="502"/>
        <v>0</v>
      </c>
      <c r="L1382" s="192">
        <f t="shared" si="502"/>
        <v>0</v>
      </c>
      <c r="M1382" s="192">
        <f t="shared" si="502"/>
        <v>0</v>
      </c>
      <c r="N1382" s="192">
        <f t="shared" si="502"/>
        <v>50000</v>
      </c>
      <c r="O1382" s="192">
        <f t="shared" si="502"/>
        <v>25000</v>
      </c>
      <c r="P1382" s="192">
        <f t="shared" si="502"/>
        <v>25000</v>
      </c>
      <c r="Q1382" s="192">
        <f t="shared" si="502"/>
        <v>25000</v>
      </c>
      <c r="R1382" s="192">
        <f t="shared" si="502"/>
        <v>0</v>
      </c>
      <c r="S1382" s="192">
        <f t="shared" si="502"/>
        <v>0</v>
      </c>
      <c r="T1382" s="192">
        <f t="shared" si="502"/>
        <v>200000</v>
      </c>
      <c r="U1382"/>
      <c r="V1382">
        <f>+PRESUPUESTO22[[#This Row],[EJECUTADO ]]-SUM(PRESUPUESTO22[[#This Row],[   ENERO ]:[DIC]])</f>
        <v>0</v>
      </c>
    </row>
    <row r="1383" spans="1:22" ht="15.95" customHeight="1" x14ac:dyDescent="0.25">
      <c r="A1383" s="52"/>
      <c r="B1383" s="156">
        <v>340201</v>
      </c>
      <c r="C1383" s="130" t="str">
        <f t="shared" si="501"/>
        <v>E-340201</v>
      </c>
      <c r="D1383" s="130">
        <v>1333</v>
      </c>
      <c r="E1383" s="156" t="s">
        <v>72</v>
      </c>
      <c r="F1383" s="216" t="s">
        <v>1122</v>
      </c>
      <c r="G1383" s="193">
        <v>300000</v>
      </c>
      <c r="H1383" s="193">
        <v>25000</v>
      </c>
      <c r="I1383" s="193">
        <v>25000</v>
      </c>
      <c r="J1383" s="193">
        <v>25000</v>
      </c>
      <c r="K1383" s="193">
        <v>0</v>
      </c>
      <c r="L1383" s="193">
        <v>0</v>
      </c>
      <c r="M1383" s="193">
        <v>0</v>
      </c>
      <c r="N1383" s="193">
        <f>25000+25000</f>
        <v>50000</v>
      </c>
      <c r="O1383" s="193">
        <v>25000</v>
      </c>
      <c r="P1383" s="193">
        <v>25000</v>
      </c>
      <c r="Q1383" s="193">
        <v>25000</v>
      </c>
      <c r="R1383" s="193">
        <v>0</v>
      </c>
      <c r="S1383" s="193">
        <v>0</v>
      </c>
      <c r="T1383" s="193">
        <f>SUM(H1383:S1383)</f>
        <v>200000</v>
      </c>
      <c r="U1383"/>
      <c r="V1383">
        <f>+PRESUPUESTO22[[#This Row],[EJECUTADO ]]-SUM(PRESUPUESTO22[[#This Row],[   ENERO ]:[DIC]])</f>
        <v>0</v>
      </c>
    </row>
    <row r="1384" spans="1:22" ht="15.95" customHeight="1" x14ac:dyDescent="0.25">
      <c r="A1384" s="52"/>
      <c r="B1384" s="151">
        <v>3403</v>
      </c>
      <c r="C1384" s="130" t="str">
        <f t="shared" si="501"/>
        <v>E-3403</v>
      </c>
      <c r="D1384" s="130">
        <v>1334</v>
      </c>
      <c r="E1384" s="151" t="s">
        <v>69</v>
      </c>
      <c r="F1384" s="247" t="s">
        <v>1123</v>
      </c>
      <c r="G1384" s="192">
        <f>+G1385</f>
        <v>339000</v>
      </c>
      <c r="H1384" s="192">
        <f t="shared" ref="H1384:T1384" si="503">+H1385</f>
        <v>0</v>
      </c>
      <c r="I1384" s="192">
        <f t="shared" si="503"/>
        <v>0</v>
      </c>
      <c r="J1384" s="192">
        <f t="shared" si="503"/>
        <v>100000</v>
      </c>
      <c r="K1384" s="192">
        <f t="shared" si="503"/>
        <v>0</v>
      </c>
      <c r="L1384" s="192">
        <f t="shared" si="503"/>
        <v>0</v>
      </c>
      <c r="M1384" s="192">
        <f t="shared" si="503"/>
        <v>0</v>
      </c>
      <c r="N1384" s="192">
        <f t="shared" si="503"/>
        <v>50000</v>
      </c>
      <c r="O1384" s="192">
        <f t="shared" si="503"/>
        <v>0</v>
      </c>
      <c r="P1384" s="192">
        <f t="shared" si="503"/>
        <v>91383</v>
      </c>
      <c r="Q1384" s="192">
        <f t="shared" si="503"/>
        <v>0</v>
      </c>
      <c r="R1384" s="192">
        <f t="shared" si="503"/>
        <v>0</v>
      </c>
      <c r="S1384" s="192">
        <f t="shared" si="503"/>
        <v>0</v>
      </c>
      <c r="T1384" s="192">
        <f t="shared" si="503"/>
        <v>241383</v>
      </c>
      <c r="U1384"/>
      <c r="V1384">
        <f>+PRESUPUESTO22[[#This Row],[EJECUTADO ]]-SUM(PRESUPUESTO22[[#This Row],[   ENERO ]:[DIC]])</f>
        <v>0</v>
      </c>
    </row>
    <row r="1385" spans="1:22" ht="15.95" customHeight="1" x14ac:dyDescent="0.25">
      <c r="A1385" s="59"/>
      <c r="B1385" s="187">
        <v>340301</v>
      </c>
      <c r="C1385" s="130" t="str">
        <f t="shared" si="501"/>
        <v>E-340301</v>
      </c>
      <c r="D1385" s="130">
        <v>1335</v>
      </c>
      <c r="E1385" s="187" t="s">
        <v>72</v>
      </c>
      <c r="F1385" s="216" t="s">
        <v>1124</v>
      </c>
      <c r="G1385" s="193">
        <v>339000</v>
      </c>
      <c r="H1385" s="193">
        <v>0</v>
      </c>
      <c r="I1385" s="193">
        <v>0</v>
      </c>
      <c r="J1385" s="193">
        <v>100000</v>
      </c>
      <c r="K1385" s="193">
        <v>0</v>
      </c>
      <c r="L1385" s="193">
        <v>0</v>
      </c>
      <c r="M1385" s="193">
        <v>0</v>
      </c>
      <c r="N1385" s="193">
        <v>50000</v>
      </c>
      <c r="O1385" s="193">
        <v>0</v>
      </c>
      <c r="P1385" s="193">
        <f>1382.25+90000.71+0.04</f>
        <v>91383</v>
      </c>
      <c r="Q1385" s="193">
        <v>0</v>
      </c>
      <c r="R1385" s="193">
        <v>0</v>
      </c>
      <c r="S1385" s="193">
        <v>0</v>
      </c>
      <c r="T1385" s="193">
        <f>SUM(H1385:S1385)</f>
        <v>241383</v>
      </c>
      <c r="U1385"/>
      <c r="V1385">
        <f>+PRESUPUESTO22[[#This Row],[EJECUTADO ]]-SUM(PRESUPUESTO22[[#This Row],[   ENERO ]:[DIC]])</f>
        <v>0</v>
      </c>
    </row>
    <row r="1387" spans="1:22" x14ac:dyDescent="0.2">
      <c r="T1387" s="7" t="s">
        <v>1</v>
      </c>
    </row>
  </sheetData>
  <mergeCells count="1">
    <mergeCell ref="F1:G1"/>
  </mergeCells>
  <printOptions gridLines="1"/>
  <pageMargins left="0.59055118110236227" right="0" top="0.98425196850393704" bottom="0.39370078740157483" header="0.39370078740157483" footer="0.19685039370078741"/>
  <pageSetup scale="70" fitToWidth="2" orientation="landscape" r:id="rId1"/>
  <headerFooter>
    <oddHeader xml:space="preserve">&amp;C&amp;"Book Antiqua,Negrita"&amp;18UNIVERSIDAD TECNOLÓGICA DE EL SALVADOR
PRESUPUESTO 2022
 &amp;16
</oddHeader>
    <oddFooter>&amp;L&amp;D&amp;C&amp;P / &amp;N&amp;R&amp;F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2"/>
  <sheetViews>
    <sheetView zoomScale="175" zoomScaleNormal="175" workbookViewId="0">
      <pane ySplit="3" topLeftCell="A18" activePane="bottomLeft" state="frozen"/>
      <selection activeCell="A3" sqref="A3"/>
      <selection pane="bottomLeft" activeCell="C31" sqref="C31"/>
    </sheetView>
  </sheetViews>
  <sheetFormatPr baseColWidth="10" defaultColWidth="11.42578125" defaultRowHeight="15" x14ac:dyDescent="0.25"/>
  <cols>
    <col min="1" max="1" width="3.5703125" bestFit="1" customWidth="1"/>
    <col min="2" max="2" width="49.7109375" bestFit="1" customWidth="1"/>
    <col min="3" max="3" width="11.140625" bestFit="1" customWidth="1"/>
    <col min="4" max="4" width="9.42578125" bestFit="1" customWidth="1"/>
    <col min="5" max="8" width="10.28515625" bestFit="1" customWidth="1"/>
    <col min="9" max="9" width="10.140625" bestFit="1" customWidth="1"/>
    <col min="10" max="10" width="10" bestFit="1" customWidth="1"/>
    <col min="11" max="11" width="10.28515625" customWidth="1"/>
    <col min="12" max="12" width="10.85546875" bestFit="1" customWidth="1"/>
    <col min="13" max="13" width="9.140625" bestFit="1" customWidth="1"/>
    <col min="14" max="15" width="5.5703125" bestFit="1" customWidth="1"/>
    <col min="16" max="16" width="11" bestFit="1" customWidth="1"/>
    <col min="17" max="17" width="6.85546875" bestFit="1" customWidth="1"/>
    <col min="18" max="18" width="9.140625" bestFit="1" customWidth="1"/>
    <col min="19" max="19" width="12.5703125" bestFit="1" customWidth="1"/>
  </cols>
  <sheetData>
    <row r="1" spans="1:18" ht="18.75" x14ac:dyDescent="0.3">
      <c r="A1" s="378" t="s">
        <v>1125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74" t="s">
        <v>1</v>
      </c>
    </row>
    <row r="2" spans="1:18" ht="18.75" x14ac:dyDescent="0.3">
      <c r="A2" s="378" t="s">
        <v>1126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</row>
    <row r="3" spans="1:18" ht="21" x14ac:dyDescent="0.25">
      <c r="A3" s="75"/>
      <c r="B3" s="256" t="s">
        <v>1127</v>
      </c>
      <c r="C3" s="256">
        <v>2022</v>
      </c>
      <c r="D3" s="257" t="s">
        <v>1128</v>
      </c>
      <c r="E3" s="257" t="s">
        <v>1129</v>
      </c>
      <c r="F3" s="257" t="s">
        <v>1130</v>
      </c>
      <c r="G3" s="257" t="s">
        <v>1131</v>
      </c>
      <c r="H3" s="257" t="s">
        <v>1132</v>
      </c>
      <c r="I3" s="257" t="s">
        <v>1133</v>
      </c>
      <c r="J3" s="257" t="s">
        <v>1134</v>
      </c>
      <c r="K3" s="257" t="s">
        <v>1135</v>
      </c>
      <c r="L3" s="257" t="s">
        <v>1136</v>
      </c>
      <c r="M3" s="257" t="s">
        <v>1137</v>
      </c>
      <c r="N3" s="257" t="s">
        <v>1138</v>
      </c>
      <c r="O3" s="257" t="s">
        <v>13</v>
      </c>
      <c r="P3" s="257" t="s">
        <v>1139</v>
      </c>
      <c r="Q3" s="258" t="s">
        <v>15</v>
      </c>
    </row>
    <row r="4" spans="1:18" ht="18.75" x14ac:dyDescent="0.25">
      <c r="A4" s="76">
        <v>6</v>
      </c>
      <c r="B4" s="259" t="s">
        <v>1140</v>
      </c>
      <c r="C4" s="260">
        <f t="shared" ref="C4:P4" si="0">+C5</f>
        <v>700000</v>
      </c>
      <c r="D4" s="260">
        <f t="shared" si="0"/>
        <v>3520</v>
      </c>
      <c r="E4" s="260">
        <f t="shared" si="0"/>
        <v>29820</v>
      </c>
      <c r="F4" s="260">
        <f t="shared" si="0"/>
        <v>89279</v>
      </c>
      <c r="G4" s="260">
        <f t="shared" si="0"/>
        <v>63426</v>
      </c>
      <c r="H4" s="260">
        <f t="shared" si="0"/>
        <v>52699</v>
      </c>
      <c r="I4" s="260">
        <f t="shared" si="0"/>
        <v>15374</v>
      </c>
      <c r="J4" s="260">
        <f t="shared" si="0"/>
        <v>15105</v>
      </c>
      <c r="K4" s="260">
        <f t="shared" si="0"/>
        <v>30740</v>
      </c>
      <c r="L4" s="260">
        <f t="shared" si="0"/>
        <v>110080</v>
      </c>
      <c r="M4" s="260">
        <f t="shared" si="0"/>
        <v>0</v>
      </c>
      <c r="N4" s="260">
        <f t="shared" si="0"/>
        <v>0</v>
      </c>
      <c r="O4" s="260">
        <f t="shared" si="0"/>
        <v>0</v>
      </c>
      <c r="P4" s="260">
        <f t="shared" si="0"/>
        <v>410043</v>
      </c>
      <c r="Q4" s="261">
        <f>+P4/C4</f>
        <v>0.58577571428571429</v>
      </c>
    </row>
    <row r="5" spans="1:18" x14ac:dyDescent="0.25">
      <c r="A5" s="77">
        <v>6.2</v>
      </c>
      <c r="B5" s="262" t="s">
        <v>1141</v>
      </c>
      <c r="C5" s="263">
        <f t="shared" ref="C5:P5" si="1">+C6+C55</f>
        <v>700000</v>
      </c>
      <c r="D5" s="263">
        <f t="shared" si="1"/>
        <v>3520</v>
      </c>
      <c r="E5" s="263">
        <f t="shared" si="1"/>
        <v>29820</v>
      </c>
      <c r="F5" s="263">
        <f t="shared" si="1"/>
        <v>89279</v>
      </c>
      <c r="G5" s="263">
        <f t="shared" si="1"/>
        <v>63426</v>
      </c>
      <c r="H5" s="263">
        <f t="shared" si="1"/>
        <v>52699</v>
      </c>
      <c r="I5" s="263">
        <f t="shared" si="1"/>
        <v>15374</v>
      </c>
      <c r="J5" s="263">
        <f t="shared" si="1"/>
        <v>15105</v>
      </c>
      <c r="K5" s="263">
        <f t="shared" si="1"/>
        <v>30740</v>
      </c>
      <c r="L5" s="263">
        <f t="shared" si="1"/>
        <v>110080</v>
      </c>
      <c r="M5" s="263">
        <f t="shared" si="1"/>
        <v>0</v>
      </c>
      <c r="N5" s="263">
        <f t="shared" si="1"/>
        <v>0</v>
      </c>
      <c r="O5" s="263">
        <f t="shared" si="1"/>
        <v>0</v>
      </c>
      <c r="P5" s="263">
        <f t="shared" si="1"/>
        <v>410043</v>
      </c>
      <c r="Q5" s="264">
        <f>+P5/C5</f>
        <v>0.58577571428571429</v>
      </c>
      <c r="R5">
        <v>30640</v>
      </c>
    </row>
    <row r="6" spans="1:18" x14ac:dyDescent="0.25">
      <c r="A6" s="77"/>
      <c r="B6" s="265" t="s">
        <v>1142</v>
      </c>
      <c r="C6" s="266">
        <f t="shared" ref="C6:P6" si="2">+C7+C22+C31+C52</f>
        <v>200650</v>
      </c>
      <c r="D6" s="266">
        <f t="shared" si="2"/>
        <v>10</v>
      </c>
      <c r="E6" s="266">
        <f t="shared" si="2"/>
        <v>135</v>
      </c>
      <c r="F6" s="266">
        <f t="shared" si="2"/>
        <v>814</v>
      </c>
      <c r="G6" s="266">
        <f t="shared" si="2"/>
        <v>6231</v>
      </c>
      <c r="H6" s="266">
        <f t="shared" si="2"/>
        <v>1029</v>
      </c>
      <c r="I6" s="266">
        <f t="shared" si="2"/>
        <v>2039</v>
      </c>
      <c r="J6" s="266">
        <f t="shared" si="2"/>
        <v>925</v>
      </c>
      <c r="K6" s="266">
        <f t="shared" si="2"/>
        <v>6550</v>
      </c>
      <c r="L6" s="266">
        <f t="shared" si="2"/>
        <v>12495</v>
      </c>
      <c r="M6" s="266">
        <f t="shared" si="2"/>
        <v>0</v>
      </c>
      <c r="N6" s="266">
        <f t="shared" si="2"/>
        <v>0</v>
      </c>
      <c r="O6" s="266">
        <f t="shared" si="2"/>
        <v>0</v>
      </c>
      <c r="P6" s="266">
        <f t="shared" si="2"/>
        <v>30228</v>
      </c>
      <c r="Q6" s="267">
        <f>+P6/C6</f>
        <v>0.1506503862447047</v>
      </c>
      <c r="R6" s="43">
        <f>+R5-K4</f>
        <v>-100</v>
      </c>
    </row>
    <row r="7" spans="1:18" x14ac:dyDescent="0.25">
      <c r="A7" s="77">
        <v>1</v>
      </c>
      <c r="B7" s="268" t="s">
        <v>1143</v>
      </c>
      <c r="C7" s="269">
        <v>22230</v>
      </c>
      <c r="D7" s="269">
        <f t="shared" ref="D7:P7" si="3">SUM(D8:D21)</f>
        <v>130</v>
      </c>
      <c r="E7" s="269">
        <f t="shared" si="3"/>
        <v>75</v>
      </c>
      <c r="F7" s="269">
        <f t="shared" si="3"/>
        <v>525</v>
      </c>
      <c r="G7" s="269">
        <f t="shared" si="3"/>
        <v>4650</v>
      </c>
      <c r="H7" s="269">
        <f t="shared" si="3"/>
        <v>355</v>
      </c>
      <c r="I7" s="269">
        <f t="shared" si="3"/>
        <v>1455</v>
      </c>
      <c r="J7" s="269">
        <f t="shared" si="3"/>
        <v>-295</v>
      </c>
      <c r="K7" s="269">
        <f t="shared" si="3"/>
        <v>5140</v>
      </c>
      <c r="L7" s="269">
        <f t="shared" si="3"/>
        <v>4295</v>
      </c>
      <c r="M7" s="269">
        <f t="shared" si="3"/>
        <v>0</v>
      </c>
      <c r="N7" s="269">
        <f t="shared" si="3"/>
        <v>0</v>
      </c>
      <c r="O7" s="269">
        <f t="shared" si="3"/>
        <v>0</v>
      </c>
      <c r="P7" s="269">
        <f t="shared" si="3"/>
        <v>16330</v>
      </c>
      <c r="Q7" s="270">
        <f>+P7/C7</f>
        <v>0.73459289248762938</v>
      </c>
      <c r="R7" t="s">
        <v>1</v>
      </c>
    </row>
    <row r="8" spans="1:18" ht="15.75" x14ac:dyDescent="0.3">
      <c r="A8" s="77">
        <v>1</v>
      </c>
      <c r="B8" s="271" t="s">
        <v>1144</v>
      </c>
      <c r="C8" s="272" t="s">
        <v>1</v>
      </c>
      <c r="D8" s="193">
        <v>130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273">
        <f>SUM(D8:O8)</f>
        <v>130</v>
      </c>
      <c r="Q8" s="79"/>
      <c r="R8" s="43" t="s">
        <v>1</v>
      </c>
    </row>
    <row r="9" spans="1:18" ht="15.75" x14ac:dyDescent="0.3">
      <c r="A9" s="77">
        <f>+A8+1</f>
        <v>2</v>
      </c>
      <c r="B9" s="271" t="s">
        <v>1145</v>
      </c>
      <c r="C9" s="272" t="s">
        <v>1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273">
        <f t="shared" ref="P9:P11" si="4">SUM(D9:O9)</f>
        <v>0</v>
      </c>
      <c r="Q9" s="79"/>
    </row>
    <row r="10" spans="1:18" ht="15.75" x14ac:dyDescent="0.3">
      <c r="A10" s="77">
        <f t="shared" ref="A10:A15" si="5">+A9+1</f>
        <v>3</v>
      </c>
      <c r="B10" s="271" t="s">
        <v>1146</v>
      </c>
      <c r="C10" s="272" t="s">
        <v>159</v>
      </c>
      <c r="D10" s="193">
        <v>0</v>
      </c>
      <c r="E10" s="193">
        <v>75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273">
        <f t="shared" si="4"/>
        <v>75</v>
      </c>
      <c r="Q10" s="79"/>
    </row>
    <row r="11" spans="1:18" ht="15.75" x14ac:dyDescent="0.3">
      <c r="A11" s="77">
        <f t="shared" si="5"/>
        <v>4</v>
      </c>
      <c r="B11" s="271" t="s">
        <v>1147</v>
      </c>
      <c r="C11" s="272" t="s">
        <v>1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273">
        <f t="shared" si="4"/>
        <v>0</v>
      </c>
      <c r="Q11" s="79"/>
    </row>
    <row r="12" spans="1:18" ht="15.75" x14ac:dyDescent="0.3">
      <c r="A12" s="77">
        <f t="shared" si="5"/>
        <v>5</v>
      </c>
      <c r="B12" s="271" t="s">
        <v>1148</v>
      </c>
      <c r="C12" s="272" t="s">
        <v>159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273">
        <f>SUM(D12:O12)</f>
        <v>0</v>
      </c>
      <c r="Q12" s="79"/>
    </row>
    <row r="13" spans="1:18" ht="15.75" x14ac:dyDescent="0.3">
      <c r="A13" s="77">
        <f t="shared" si="5"/>
        <v>6</v>
      </c>
      <c r="B13" s="271" t="s">
        <v>1149</v>
      </c>
      <c r="C13" s="272" t="s">
        <v>1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273">
        <f>SUM(D13:O13)</f>
        <v>0</v>
      </c>
      <c r="Q13" s="79"/>
    </row>
    <row r="14" spans="1:18" ht="15.75" x14ac:dyDescent="0.3">
      <c r="A14" s="77">
        <f t="shared" si="5"/>
        <v>7</v>
      </c>
      <c r="B14" s="271" t="s">
        <v>1150</v>
      </c>
      <c r="C14" s="272"/>
      <c r="D14" s="193">
        <v>0</v>
      </c>
      <c r="E14" s="193">
        <v>0</v>
      </c>
      <c r="F14" s="193">
        <v>170</v>
      </c>
      <c r="G14" s="193">
        <f>870+1355</f>
        <v>2225</v>
      </c>
      <c r="H14" s="193">
        <v>355</v>
      </c>
      <c r="I14" s="193">
        <v>765</v>
      </c>
      <c r="J14" s="193">
        <v>0</v>
      </c>
      <c r="K14" s="193">
        <v>0</v>
      </c>
      <c r="L14" s="193">
        <v>1465</v>
      </c>
      <c r="M14" s="193">
        <v>0</v>
      </c>
      <c r="N14" s="193">
        <v>0</v>
      </c>
      <c r="O14" s="193">
        <v>0</v>
      </c>
      <c r="P14" s="273">
        <f t="shared" ref="P14" si="6">SUM(D14:O14)</f>
        <v>4980</v>
      </c>
      <c r="Q14" s="79"/>
    </row>
    <row r="15" spans="1:18" ht="15.75" x14ac:dyDescent="0.3">
      <c r="A15" s="77">
        <f t="shared" si="5"/>
        <v>8</v>
      </c>
      <c r="B15" s="271" t="s">
        <v>1151</v>
      </c>
      <c r="C15" s="272"/>
      <c r="D15" s="193">
        <v>0</v>
      </c>
      <c r="E15" s="193">
        <v>0</v>
      </c>
      <c r="F15" s="193">
        <v>355</v>
      </c>
      <c r="G15" s="193">
        <f>630+600+585</f>
        <v>1815</v>
      </c>
      <c r="H15" s="193">
        <v>0</v>
      </c>
      <c r="I15" s="193">
        <v>690</v>
      </c>
      <c r="J15" s="193">
        <v>75</v>
      </c>
      <c r="K15" s="193">
        <v>-125</v>
      </c>
      <c r="L15" s="193">
        <v>695</v>
      </c>
      <c r="M15" s="193">
        <v>0</v>
      </c>
      <c r="N15" s="193">
        <v>0</v>
      </c>
      <c r="O15" s="193">
        <v>0</v>
      </c>
      <c r="P15" s="273">
        <f>SUM(D15:O15)</f>
        <v>3505</v>
      </c>
      <c r="Q15" s="79"/>
    </row>
    <row r="16" spans="1:18" ht="15.75" x14ac:dyDescent="0.3">
      <c r="A16" s="77">
        <f>+A15+1</f>
        <v>9</v>
      </c>
      <c r="B16" s="271" t="s">
        <v>1152</v>
      </c>
      <c r="C16" s="272"/>
      <c r="D16" s="193">
        <v>0</v>
      </c>
      <c r="E16" s="193">
        <v>0</v>
      </c>
      <c r="F16" s="193">
        <v>0</v>
      </c>
      <c r="G16" s="193">
        <f>360+250</f>
        <v>610</v>
      </c>
      <c r="H16" s="193">
        <v>0</v>
      </c>
      <c r="I16" s="193">
        <v>0</v>
      </c>
      <c r="J16" s="193">
        <f>-130-130-110</f>
        <v>-370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273">
        <f t="shared" ref="P16" si="7">SUM(D16:O16)</f>
        <v>240</v>
      </c>
      <c r="Q16" s="79"/>
    </row>
    <row r="17" spans="1:17" ht="15.75" x14ac:dyDescent="0.3">
      <c r="A17" s="77"/>
      <c r="B17" s="271" t="s">
        <v>1153</v>
      </c>
      <c r="C17" s="272"/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5265</v>
      </c>
      <c r="L17" s="193">
        <f>55+930+270</f>
        <v>1255</v>
      </c>
      <c r="M17" s="193"/>
      <c r="N17" s="193"/>
      <c r="O17" s="193"/>
      <c r="P17" s="273">
        <f>SUM(D17:O17)</f>
        <v>6520</v>
      </c>
      <c r="Q17" s="79"/>
    </row>
    <row r="18" spans="1:17" ht="25.5" x14ac:dyDescent="0.3">
      <c r="A18" s="77"/>
      <c r="B18" s="271" t="s">
        <v>1154</v>
      </c>
      <c r="C18" s="272"/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150</v>
      </c>
      <c r="M18" s="193">
        <v>0</v>
      </c>
      <c r="N18" s="193">
        <v>0</v>
      </c>
      <c r="O18" s="193">
        <v>0</v>
      </c>
      <c r="P18" s="273">
        <f t="shared" ref="P18:P21" si="8">SUM(D18:O18)</f>
        <v>150</v>
      </c>
      <c r="Q18" s="79"/>
    </row>
    <row r="19" spans="1:17" ht="15.75" x14ac:dyDescent="0.3">
      <c r="A19" s="77"/>
      <c r="B19" s="271" t="s">
        <v>1155</v>
      </c>
      <c r="C19" s="272"/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50</v>
      </c>
      <c r="M19" s="193">
        <v>0</v>
      </c>
      <c r="N19" s="193">
        <v>0</v>
      </c>
      <c r="O19" s="193">
        <v>0</v>
      </c>
      <c r="P19" s="273">
        <f t="shared" si="8"/>
        <v>50</v>
      </c>
      <c r="Q19" s="79"/>
    </row>
    <row r="20" spans="1:17" ht="15.75" x14ac:dyDescent="0.3">
      <c r="A20" s="77"/>
      <c r="B20" s="271" t="s">
        <v>1156</v>
      </c>
      <c r="C20" s="272"/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680</v>
      </c>
      <c r="M20" s="193">
        <v>0</v>
      </c>
      <c r="N20" s="193">
        <v>0</v>
      </c>
      <c r="O20" s="193">
        <v>0</v>
      </c>
      <c r="P20" s="273">
        <f t="shared" si="8"/>
        <v>680</v>
      </c>
      <c r="Q20" s="79"/>
    </row>
    <row r="21" spans="1:17" ht="15.75" x14ac:dyDescent="0.3">
      <c r="A21" s="77"/>
      <c r="B21" s="271"/>
      <c r="C21" s="272"/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273">
        <f t="shared" si="8"/>
        <v>0</v>
      </c>
      <c r="Q21" s="79"/>
    </row>
    <row r="22" spans="1:17" x14ac:dyDescent="0.25">
      <c r="A22" s="80">
        <v>2</v>
      </c>
      <c r="B22" s="268" t="s">
        <v>1157</v>
      </c>
      <c r="C22" s="269">
        <v>124370</v>
      </c>
      <c r="D22" s="269">
        <f t="shared" ref="D22:P22" si="9">+D23+D28</f>
        <v>0</v>
      </c>
      <c r="E22" s="269">
        <f t="shared" si="9"/>
        <v>60</v>
      </c>
      <c r="F22" s="269">
        <f t="shared" si="9"/>
        <v>0</v>
      </c>
      <c r="G22" s="269">
        <f t="shared" si="9"/>
        <v>0</v>
      </c>
      <c r="H22" s="269">
        <f t="shared" si="9"/>
        <v>0</v>
      </c>
      <c r="I22" s="269">
        <f t="shared" si="9"/>
        <v>0</v>
      </c>
      <c r="J22" s="269">
        <f t="shared" si="9"/>
        <v>0</v>
      </c>
      <c r="K22" s="269">
        <f t="shared" si="9"/>
        <v>735</v>
      </c>
      <c r="L22" s="269">
        <f t="shared" si="9"/>
        <v>4165</v>
      </c>
      <c r="M22" s="269">
        <f t="shared" si="9"/>
        <v>0</v>
      </c>
      <c r="N22" s="269">
        <f t="shared" si="9"/>
        <v>0</v>
      </c>
      <c r="O22" s="269">
        <f t="shared" si="9"/>
        <v>0</v>
      </c>
      <c r="P22" s="269">
        <f t="shared" si="9"/>
        <v>4960</v>
      </c>
      <c r="Q22" s="270">
        <f>+P22/C22</f>
        <v>3.9881000241215728E-2</v>
      </c>
    </row>
    <row r="23" spans="1:17" x14ac:dyDescent="0.25">
      <c r="A23" s="80"/>
      <c r="B23" s="274" t="s">
        <v>1158</v>
      </c>
      <c r="C23" s="275">
        <f>SUM(C24:C27)</f>
        <v>83057</v>
      </c>
      <c r="D23" s="275">
        <f t="shared" ref="D23:P23" si="10">SUM(D24:D27)</f>
        <v>0</v>
      </c>
      <c r="E23" s="275">
        <f t="shared" si="10"/>
        <v>60</v>
      </c>
      <c r="F23" s="275">
        <f t="shared" si="10"/>
        <v>0</v>
      </c>
      <c r="G23" s="275">
        <f t="shared" si="10"/>
        <v>0</v>
      </c>
      <c r="H23" s="275">
        <f t="shared" si="10"/>
        <v>0</v>
      </c>
      <c r="I23" s="275">
        <f t="shared" si="10"/>
        <v>0</v>
      </c>
      <c r="J23" s="275">
        <f t="shared" si="10"/>
        <v>0</v>
      </c>
      <c r="K23" s="275">
        <f t="shared" si="10"/>
        <v>0</v>
      </c>
      <c r="L23" s="275">
        <f t="shared" si="10"/>
        <v>0</v>
      </c>
      <c r="M23" s="275">
        <f t="shared" si="10"/>
        <v>0</v>
      </c>
      <c r="N23" s="275">
        <f t="shared" si="10"/>
        <v>0</v>
      </c>
      <c r="O23" s="275">
        <f t="shared" si="10"/>
        <v>0</v>
      </c>
      <c r="P23" s="275">
        <f t="shared" si="10"/>
        <v>60</v>
      </c>
      <c r="Q23" s="79"/>
    </row>
    <row r="24" spans="1:17" ht="15.75" x14ac:dyDescent="0.3">
      <c r="A24" s="78">
        <v>1</v>
      </c>
      <c r="B24" s="276" t="s">
        <v>1159</v>
      </c>
      <c r="C24" s="277">
        <v>19250</v>
      </c>
      <c r="D24" s="273">
        <v>0</v>
      </c>
      <c r="E24" s="273">
        <v>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f t="shared" ref="P24:P29" si="11">SUM(D24:O24)</f>
        <v>0</v>
      </c>
      <c r="Q24" s="25"/>
    </row>
    <row r="25" spans="1:17" ht="15.75" x14ac:dyDescent="0.3">
      <c r="A25" s="78">
        <f>+A24+1</f>
        <v>2</v>
      </c>
      <c r="B25" s="276" t="s">
        <v>1160</v>
      </c>
      <c r="C25" s="277">
        <f>11400+4280+2700+1427</f>
        <v>19807</v>
      </c>
      <c r="D25" s="273">
        <v>0</v>
      </c>
      <c r="E25" s="273">
        <v>0</v>
      </c>
      <c r="F25" s="273">
        <v>0</v>
      </c>
      <c r="G25" s="273">
        <v>0</v>
      </c>
      <c r="H25" s="273">
        <v>0</v>
      </c>
      <c r="I25" s="273">
        <v>0</v>
      </c>
      <c r="J25" s="273">
        <v>0</v>
      </c>
      <c r="K25" s="273">
        <v>0</v>
      </c>
      <c r="L25" s="273">
        <v>0</v>
      </c>
      <c r="M25" s="273">
        <v>0</v>
      </c>
      <c r="N25" s="273">
        <v>0</v>
      </c>
      <c r="O25" s="273">
        <v>0</v>
      </c>
      <c r="P25" s="273">
        <f t="shared" si="11"/>
        <v>0</v>
      </c>
      <c r="Q25" s="25"/>
    </row>
    <row r="26" spans="1:17" ht="15.75" x14ac:dyDescent="0.3">
      <c r="A26" s="78">
        <f t="shared" ref="A26:A27" si="12">+A25+1</f>
        <v>3</v>
      </c>
      <c r="B26" s="276" t="s">
        <v>1161</v>
      </c>
      <c r="C26" s="277">
        <v>32000</v>
      </c>
      <c r="D26" s="273">
        <v>0</v>
      </c>
      <c r="E26" s="273">
        <v>0</v>
      </c>
      <c r="F26" s="273">
        <v>0</v>
      </c>
      <c r="G26" s="273">
        <v>0</v>
      </c>
      <c r="H26" s="273">
        <v>0</v>
      </c>
      <c r="I26" s="273">
        <v>0</v>
      </c>
      <c r="J26" s="273">
        <v>0</v>
      </c>
      <c r="K26" s="273">
        <v>0</v>
      </c>
      <c r="L26" s="273">
        <v>0</v>
      </c>
      <c r="M26" s="273">
        <v>0</v>
      </c>
      <c r="N26" s="273">
        <v>0</v>
      </c>
      <c r="O26" s="273">
        <v>0</v>
      </c>
      <c r="P26" s="273">
        <f t="shared" si="11"/>
        <v>0</v>
      </c>
      <c r="Q26" s="25"/>
    </row>
    <row r="27" spans="1:17" ht="15.75" x14ac:dyDescent="0.3">
      <c r="A27" s="78">
        <f t="shared" si="12"/>
        <v>4</v>
      </c>
      <c r="B27" s="276" t="s">
        <v>1162</v>
      </c>
      <c r="C27" s="277">
        <v>12000</v>
      </c>
      <c r="D27" s="273">
        <v>0</v>
      </c>
      <c r="E27" s="273">
        <v>60</v>
      </c>
      <c r="F27" s="273">
        <v>0</v>
      </c>
      <c r="G27" s="273">
        <v>0</v>
      </c>
      <c r="H27" s="273">
        <v>0</v>
      </c>
      <c r="I27" s="273">
        <v>0</v>
      </c>
      <c r="J27" s="273">
        <v>0</v>
      </c>
      <c r="K27" s="273">
        <v>0</v>
      </c>
      <c r="L27" s="273">
        <v>0</v>
      </c>
      <c r="M27" s="273">
        <v>0</v>
      </c>
      <c r="N27" s="273">
        <v>0</v>
      </c>
      <c r="O27" s="273">
        <v>0</v>
      </c>
      <c r="P27" s="273">
        <f t="shared" si="11"/>
        <v>60</v>
      </c>
      <c r="Q27" s="25"/>
    </row>
    <row r="28" spans="1:17" x14ac:dyDescent="0.25">
      <c r="A28" s="80"/>
      <c r="B28" s="274" t="s">
        <v>1163</v>
      </c>
      <c r="C28" s="275">
        <f t="shared" ref="C28:P28" si="13">SUM(C29:C30)</f>
        <v>9900</v>
      </c>
      <c r="D28" s="275">
        <f t="shared" si="13"/>
        <v>0</v>
      </c>
      <c r="E28" s="275">
        <f t="shared" si="13"/>
        <v>0</v>
      </c>
      <c r="F28" s="275">
        <f t="shared" si="13"/>
        <v>0</v>
      </c>
      <c r="G28" s="275">
        <f t="shared" si="13"/>
        <v>0</v>
      </c>
      <c r="H28" s="275">
        <f t="shared" si="13"/>
        <v>0</v>
      </c>
      <c r="I28" s="275">
        <f t="shared" si="13"/>
        <v>0</v>
      </c>
      <c r="J28" s="275">
        <f t="shared" si="13"/>
        <v>0</v>
      </c>
      <c r="K28" s="275">
        <f t="shared" si="13"/>
        <v>735</v>
      </c>
      <c r="L28" s="275">
        <f t="shared" si="13"/>
        <v>4165</v>
      </c>
      <c r="M28" s="275">
        <f t="shared" si="13"/>
        <v>0</v>
      </c>
      <c r="N28" s="275">
        <f t="shared" si="13"/>
        <v>0</v>
      </c>
      <c r="O28" s="275">
        <f t="shared" si="13"/>
        <v>0</v>
      </c>
      <c r="P28" s="275">
        <f t="shared" si="13"/>
        <v>4900</v>
      </c>
      <c r="Q28" s="25"/>
    </row>
    <row r="29" spans="1:17" ht="15.75" x14ac:dyDescent="0.3">
      <c r="A29" s="78">
        <f>+A28+1</f>
        <v>1</v>
      </c>
      <c r="B29" s="278" t="s">
        <v>1164</v>
      </c>
      <c r="C29" s="277">
        <v>2900</v>
      </c>
      <c r="D29" s="273">
        <v>0</v>
      </c>
      <c r="E29" s="273">
        <v>0</v>
      </c>
      <c r="F29" s="273">
        <v>0</v>
      </c>
      <c r="G29" s="273">
        <v>0</v>
      </c>
      <c r="H29" s="273">
        <v>0</v>
      </c>
      <c r="I29" s="273">
        <v>0</v>
      </c>
      <c r="J29" s="273">
        <v>0</v>
      </c>
      <c r="K29" s="273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f t="shared" si="11"/>
        <v>0</v>
      </c>
      <c r="Q29" s="25"/>
    </row>
    <row r="30" spans="1:17" ht="25.5" x14ac:dyDescent="0.3">
      <c r="A30" s="78">
        <v>2</v>
      </c>
      <c r="B30" s="278" t="s">
        <v>1165</v>
      </c>
      <c r="C30" s="277">
        <v>7000</v>
      </c>
      <c r="D30" s="273">
        <v>0</v>
      </c>
      <c r="E30" s="273">
        <v>0</v>
      </c>
      <c r="F30" s="273">
        <v>0</v>
      </c>
      <c r="G30" s="273">
        <v>0</v>
      </c>
      <c r="H30" s="273">
        <v>0</v>
      </c>
      <c r="I30" s="273">
        <v>0</v>
      </c>
      <c r="J30" s="273">
        <v>0</v>
      </c>
      <c r="K30" s="273">
        <v>735</v>
      </c>
      <c r="L30" s="273">
        <v>4165</v>
      </c>
      <c r="M30" s="273">
        <v>0</v>
      </c>
      <c r="N30" s="273">
        <v>0</v>
      </c>
      <c r="O30" s="273">
        <v>0</v>
      </c>
      <c r="P30" s="273">
        <f>SUM(D30:O30)</f>
        <v>4900</v>
      </c>
      <c r="Q30" s="25"/>
    </row>
    <row r="31" spans="1:17" x14ac:dyDescent="0.25">
      <c r="A31" s="80">
        <v>3</v>
      </c>
      <c r="B31" s="268" t="s">
        <v>1166</v>
      </c>
      <c r="C31" s="269">
        <v>48700</v>
      </c>
      <c r="D31" s="269">
        <f t="shared" ref="D31:P31" si="14">+D32+D35+D42+D45+D49</f>
        <v>-120</v>
      </c>
      <c r="E31" s="269">
        <f t="shared" si="14"/>
        <v>0</v>
      </c>
      <c r="F31" s="269">
        <f t="shared" si="14"/>
        <v>289</v>
      </c>
      <c r="G31" s="269">
        <f t="shared" si="14"/>
        <v>1581</v>
      </c>
      <c r="H31" s="269">
        <f t="shared" si="14"/>
        <v>674</v>
      </c>
      <c r="I31" s="269">
        <f t="shared" si="14"/>
        <v>584</v>
      </c>
      <c r="J31" s="269">
        <f t="shared" si="14"/>
        <v>1220</v>
      </c>
      <c r="K31" s="269">
        <f t="shared" si="14"/>
        <v>675</v>
      </c>
      <c r="L31" s="269">
        <f t="shared" si="14"/>
        <v>4035</v>
      </c>
      <c r="M31" s="269">
        <f t="shared" si="14"/>
        <v>0</v>
      </c>
      <c r="N31" s="269">
        <f t="shared" si="14"/>
        <v>0</v>
      </c>
      <c r="O31" s="269">
        <f t="shared" si="14"/>
        <v>0</v>
      </c>
      <c r="P31" s="269">
        <f t="shared" si="14"/>
        <v>8938</v>
      </c>
      <c r="Q31" s="270">
        <f>+P31/C31</f>
        <v>0.1835318275154004</v>
      </c>
    </row>
    <row r="32" spans="1:17" x14ac:dyDescent="0.25">
      <c r="A32" s="80"/>
      <c r="B32" s="274" t="s">
        <v>1167</v>
      </c>
      <c r="C32" s="275">
        <f>SUM(C33:C34)</f>
        <v>4000</v>
      </c>
      <c r="D32" s="275">
        <f t="shared" ref="D32:P32" si="15">SUM(D33:D34)</f>
        <v>-120</v>
      </c>
      <c r="E32" s="275">
        <f t="shared" si="15"/>
        <v>0</v>
      </c>
      <c r="F32" s="275">
        <f t="shared" si="15"/>
        <v>0</v>
      </c>
      <c r="G32" s="275">
        <f t="shared" si="15"/>
        <v>0</v>
      </c>
      <c r="H32" s="275">
        <f t="shared" si="15"/>
        <v>0</v>
      </c>
      <c r="I32" s="275">
        <f t="shared" si="15"/>
        <v>0</v>
      </c>
      <c r="J32" s="275">
        <f t="shared" si="15"/>
        <v>0</v>
      </c>
      <c r="K32" s="275">
        <f t="shared" si="15"/>
        <v>0</v>
      </c>
      <c r="L32" s="275">
        <f t="shared" si="15"/>
        <v>0</v>
      </c>
      <c r="M32" s="275">
        <f t="shared" si="15"/>
        <v>0</v>
      </c>
      <c r="N32" s="275">
        <f t="shared" si="15"/>
        <v>0</v>
      </c>
      <c r="O32" s="275">
        <f t="shared" si="15"/>
        <v>0</v>
      </c>
      <c r="P32" s="275">
        <f t="shared" si="15"/>
        <v>-120</v>
      </c>
      <c r="Q32" s="79"/>
    </row>
    <row r="33" spans="1:17" ht="15.75" x14ac:dyDescent="0.3">
      <c r="A33" s="78">
        <v>1</v>
      </c>
      <c r="B33" s="279" t="s">
        <v>1168</v>
      </c>
      <c r="C33" s="273">
        <v>2000</v>
      </c>
      <c r="D33" s="273">
        <v>0</v>
      </c>
      <c r="E33" s="273">
        <v>0</v>
      </c>
      <c r="F33" s="273">
        <v>0</v>
      </c>
      <c r="G33" s="273">
        <v>0</v>
      </c>
      <c r="H33" s="273">
        <v>0</v>
      </c>
      <c r="I33" s="273">
        <v>0</v>
      </c>
      <c r="J33" s="273">
        <v>0</v>
      </c>
      <c r="K33" s="273">
        <v>0</v>
      </c>
      <c r="L33" s="273">
        <v>0</v>
      </c>
      <c r="M33" s="273">
        <v>0</v>
      </c>
      <c r="N33" s="273">
        <v>0</v>
      </c>
      <c r="O33" s="273">
        <v>0</v>
      </c>
      <c r="P33" s="273">
        <f t="shared" ref="P33:P34" si="16">SUM(D33:O33)</f>
        <v>0</v>
      </c>
      <c r="Q33" s="79"/>
    </row>
    <row r="34" spans="1:17" ht="15.75" x14ac:dyDescent="0.3">
      <c r="A34" s="78">
        <v>2</v>
      </c>
      <c r="B34" s="279" t="s">
        <v>1169</v>
      </c>
      <c r="C34" s="273">
        <v>2000</v>
      </c>
      <c r="D34" s="273">
        <v>-120</v>
      </c>
      <c r="E34" s="273">
        <v>0</v>
      </c>
      <c r="F34" s="273">
        <v>0</v>
      </c>
      <c r="G34" s="273">
        <v>0</v>
      </c>
      <c r="H34" s="273">
        <v>0</v>
      </c>
      <c r="I34" s="273">
        <v>0</v>
      </c>
      <c r="J34" s="273">
        <v>0</v>
      </c>
      <c r="K34" s="273">
        <v>0</v>
      </c>
      <c r="L34" s="273">
        <v>0</v>
      </c>
      <c r="M34" s="273">
        <v>0</v>
      </c>
      <c r="N34" s="273">
        <v>0</v>
      </c>
      <c r="O34" s="273">
        <v>0</v>
      </c>
      <c r="P34" s="273">
        <f t="shared" si="16"/>
        <v>-120</v>
      </c>
      <c r="Q34" s="79"/>
    </row>
    <row r="35" spans="1:17" x14ac:dyDescent="0.25">
      <c r="A35" s="80"/>
      <c r="B35" s="274" t="s">
        <v>1170</v>
      </c>
      <c r="C35" s="275">
        <f t="shared" ref="C35:P35" si="17">SUM(C36:C41)</f>
        <v>6000</v>
      </c>
      <c r="D35" s="275">
        <f t="shared" si="17"/>
        <v>0</v>
      </c>
      <c r="E35" s="275">
        <f t="shared" si="17"/>
        <v>0</v>
      </c>
      <c r="F35" s="275">
        <f t="shared" si="17"/>
        <v>0</v>
      </c>
      <c r="G35" s="275">
        <f t="shared" si="17"/>
        <v>0</v>
      </c>
      <c r="H35" s="275">
        <f t="shared" si="17"/>
        <v>0</v>
      </c>
      <c r="I35" s="275">
        <f t="shared" si="17"/>
        <v>75</v>
      </c>
      <c r="J35" s="275">
        <f t="shared" si="17"/>
        <v>1275</v>
      </c>
      <c r="K35" s="275">
        <f t="shared" si="17"/>
        <v>675</v>
      </c>
      <c r="L35" s="275">
        <f t="shared" si="17"/>
        <v>-187</v>
      </c>
      <c r="M35" s="275">
        <f t="shared" si="17"/>
        <v>0</v>
      </c>
      <c r="N35" s="275">
        <f t="shared" si="17"/>
        <v>0</v>
      </c>
      <c r="O35" s="275">
        <f t="shared" si="17"/>
        <v>0</v>
      </c>
      <c r="P35" s="275">
        <f t="shared" si="17"/>
        <v>1838</v>
      </c>
      <c r="Q35" s="79"/>
    </row>
    <row r="36" spans="1:17" ht="15.75" x14ac:dyDescent="0.3">
      <c r="A36" s="78">
        <v>1</v>
      </c>
      <c r="B36" s="280" t="s">
        <v>1171</v>
      </c>
      <c r="C36" s="273">
        <v>1500</v>
      </c>
      <c r="D36" s="273">
        <v>0</v>
      </c>
      <c r="E36" s="273">
        <v>0</v>
      </c>
      <c r="F36" s="273">
        <v>0</v>
      </c>
      <c r="G36" s="273">
        <v>0</v>
      </c>
      <c r="H36" s="273">
        <v>0</v>
      </c>
      <c r="I36" s="273">
        <v>75</v>
      </c>
      <c r="J36" s="273">
        <v>975</v>
      </c>
      <c r="K36" s="273">
        <v>0</v>
      </c>
      <c r="L36" s="273">
        <v>0</v>
      </c>
      <c r="M36" s="273">
        <v>0</v>
      </c>
      <c r="N36" s="273">
        <v>0</v>
      </c>
      <c r="O36" s="273">
        <v>0</v>
      </c>
      <c r="P36" s="273">
        <f t="shared" ref="P36:P54" si="18">SUM(D36:O36)</f>
        <v>1050</v>
      </c>
      <c r="Q36" s="79"/>
    </row>
    <row r="37" spans="1:17" ht="24" x14ac:dyDescent="0.3">
      <c r="A37" s="78">
        <f>+A36+1</f>
        <v>2</v>
      </c>
      <c r="B37" s="281" t="s">
        <v>1172</v>
      </c>
      <c r="C37" s="273">
        <v>1500</v>
      </c>
      <c r="D37" s="273">
        <v>0</v>
      </c>
      <c r="E37" s="273">
        <v>0</v>
      </c>
      <c r="F37" s="273">
        <v>0</v>
      </c>
      <c r="G37" s="273">
        <v>0</v>
      </c>
      <c r="H37" s="273">
        <v>0</v>
      </c>
      <c r="I37" s="273">
        <v>0</v>
      </c>
      <c r="J37" s="273">
        <v>300</v>
      </c>
      <c r="K37" s="273">
        <v>225</v>
      </c>
      <c r="L37" s="273">
        <f>37.5+0.5</f>
        <v>38</v>
      </c>
      <c r="M37" s="273">
        <v>0</v>
      </c>
      <c r="N37" s="273">
        <v>0</v>
      </c>
      <c r="O37" s="273">
        <v>0</v>
      </c>
      <c r="P37" s="273">
        <f t="shared" si="18"/>
        <v>563</v>
      </c>
      <c r="Q37" s="79"/>
    </row>
    <row r="38" spans="1:17" ht="23.25" customHeight="1" x14ac:dyDescent="0.3">
      <c r="A38" s="78">
        <f t="shared" ref="A38" si="19">+A37+1</f>
        <v>3</v>
      </c>
      <c r="B38" s="281" t="s">
        <v>1173</v>
      </c>
      <c r="C38" s="273">
        <v>1500</v>
      </c>
      <c r="D38" s="273">
        <v>0</v>
      </c>
      <c r="E38" s="273">
        <v>0</v>
      </c>
      <c r="F38" s="273">
        <v>0</v>
      </c>
      <c r="G38" s="273">
        <v>0</v>
      </c>
      <c r="H38" s="273">
        <v>0</v>
      </c>
      <c r="I38" s="273">
        <v>0</v>
      </c>
      <c r="J38" s="273">
        <v>0</v>
      </c>
      <c r="K38" s="273">
        <v>0</v>
      </c>
      <c r="L38" s="273">
        <v>0</v>
      </c>
      <c r="M38" s="273">
        <v>0</v>
      </c>
      <c r="N38" s="273">
        <v>0</v>
      </c>
      <c r="O38" s="273">
        <v>0</v>
      </c>
      <c r="P38" s="273">
        <f t="shared" si="18"/>
        <v>0</v>
      </c>
      <c r="Q38" s="79"/>
    </row>
    <row r="39" spans="1:17" ht="23.25" customHeight="1" x14ac:dyDescent="0.3">
      <c r="A39" s="78">
        <f>+A38+1</f>
        <v>4</v>
      </c>
      <c r="B39" s="280" t="s">
        <v>1174</v>
      </c>
      <c r="C39" s="273">
        <v>1500</v>
      </c>
      <c r="D39" s="273">
        <v>0</v>
      </c>
      <c r="E39" s="273">
        <v>0</v>
      </c>
      <c r="F39" s="273">
        <v>0</v>
      </c>
      <c r="G39" s="273">
        <v>0</v>
      </c>
      <c r="H39" s="273">
        <v>0</v>
      </c>
      <c r="I39" s="273">
        <v>0</v>
      </c>
      <c r="J39" s="273">
        <v>0</v>
      </c>
      <c r="K39" s="273">
        <v>0</v>
      </c>
      <c r="L39" s="273">
        <v>0</v>
      </c>
      <c r="M39" s="273">
        <v>0</v>
      </c>
      <c r="N39" s="273">
        <v>0</v>
      </c>
      <c r="O39" s="273">
        <v>0</v>
      </c>
      <c r="P39" s="273">
        <f>SUM(D39:O39)</f>
        <v>0</v>
      </c>
      <c r="Q39" s="79"/>
    </row>
    <row r="40" spans="1:17" ht="15.75" customHeight="1" x14ac:dyDescent="0.3">
      <c r="A40" s="78"/>
      <c r="B40" s="281" t="s">
        <v>1175</v>
      </c>
      <c r="C40" s="273">
        <v>0</v>
      </c>
      <c r="D40" s="273">
        <v>0</v>
      </c>
      <c r="E40" s="273">
        <v>0</v>
      </c>
      <c r="F40" s="273">
        <v>0</v>
      </c>
      <c r="G40" s="273">
        <v>0</v>
      </c>
      <c r="H40" s="273">
        <v>0</v>
      </c>
      <c r="I40" s="273">
        <v>0</v>
      </c>
      <c r="J40" s="273">
        <v>0</v>
      </c>
      <c r="K40" s="273">
        <v>225</v>
      </c>
      <c r="L40" s="273">
        <f>-75-75-75</f>
        <v>-225</v>
      </c>
      <c r="M40" s="273">
        <v>0</v>
      </c>
      <c r="N40" s="273">
        <v>0</v>
      </c>
      <c r="O40" s="273">
        <v>0</v>
      </c>
      <c r="P40" s="273">
        <f>SUM(D40:O40)</f>
        <v>0</v>
      </c>
      <c r="Q40" s="79"/>
    </row>
    <row r="41" spans="1:17" ht="18.75" customHeight="1" x14ac:dyDescent="0.3">
      <c r="A41" s="78"/>
      <c r="B41" s="281" t="s">
        <v>1175</v>
      </c>
      <c r="C41" s="273">
        <v>0</v>
      </c>
      <c r="D41" s="273">
        <v>0</v>
      </c>
      <c r="E41" s="273">
        <v>0</v>
      </c>
      <c r="F41" s="273">
        <v>0</v>
      </c>
      <c r="G41" s="273">
        <v>0</v>
      </c>
      <c r="H41" s="273">
        <v>0</v>
      </c>
      <c r="I41" s="273">
        <v>0</v>
      </c>
      <c r="J41" s="273">
        <v>0</v>
      </c>
      <c r="K41" s="273">
        <v>225</v>
      </c>
      <c r="L41" s="273">
        <v>0</v>
      </c>
      <c r="M41" s="273">
        <v>0</v>
      </c>
      <c r="N41" s="273">
        <v>0</v>
      </c>
      <c r="O41" s="273">
        <v>0</v>
      </c>
      <c r="P41" s="273">
        <f>SUM(D41:O41)</f>
        <v>225</v>
      </c>
      <c r="Q41" s="79"/>
    </row>
    <row r="42" spans="1:17" x14ac:dyDescent="0.25">
      <c r="A42" s="80"/>
      <c r="B42" s="274" t="s">
        <v>1176</v>
      </c>
      <c r="C42" s="275">
        <f>SUM(C43:C44)</f>
        <v>6600</v>
      </c>
      <c r="D42" s="275">
        <f t="shared" ref="D42:P42" si="20">SUM(D43:D44)</f>
        <v>0</v>
      </c>
      <c r="E42" s="275">
        <f t="shared" si="20"/>
        <v>0</v>
      </c>
      <c r="F42" s="275">
        <f t="shared" si="20"/>
        <v>289</v>
      </c>
      <c r="G42" s="275">
        <f t="shared" si="20"/>
        <v>1581</v>
      </c>
      <c r="H42" s="275">
        <f t="shared" si="20"/>
        <v>674</v>
      </c>
      <c r="I42" s="275">
        <f t="shared" si="20"/>
        <v>41</v>
      </c>
      <c r="J42" s="275">
        <f t="shared" si="20"/>
        <v>0</v>
      </c>
      <c r="K42" s="275">
        <f t="shared" si="20"/>
        <v>0</v>
      </c>
      <c r="L42" s="275">
        <f t="shared" si="20"/>
        <v>3892</v>
      </c>
      <c r="M42" s="275">
        <f t="shared" si="20"/>
        <v>0</v>
      </c>
      <c r="N42" s="275">
        <f t="shared" si="20"/>
        <v>0</v>
      </c>
      <c r="O42" s="275">
        <f t="shared" si="20"/>
        <v>0</v>
      </c>
      <c r="P42" s="275">
        <f t="shared" si="20"/>
        <v>6477</v>
      </c>
      <c r="Q42" s="79"/>
    </row>
    <row r="43" spans="1:17" ht="15.75" x14ac:dyDescent="0.3">
      <c r="A43" s="80">
        <v>1</v>
      </c>
      <c r="B43" s="279" t="s">
        <v>1177</v>
      </c>
      <c r="C43" s="273">
        <v>3300</v>
      </c>
      <c r="D43" s="273">
        <v>0</v>
      </c>
      <c r="E43" s="273">
        <v>0</v>
      </c>
      <c r="F43" s="273">
        <f>288.75+0.25</f>
        <v>289</v>
      </c>
      <c r="G43" s="273">
        <f>1581.25-0.25</f>
        <v>1581</v>
      </c>
      <c r="H43" s="273">
        <f>673.75+0.25</f>
        <v>674</v>
      </c>
      <c r="I43" s="273">
        <f>41.25-0.25</f>
        <v>41</v>
      </c>
      <c r="J43" s="273">
        <v>0</v>
      </c>
      <c r="K43" s="273">
        <v>0</v>
      </c>
      <c r="L43" s="273">
        <f>82.5+0.5</f>
        <v>83</v>
      </c>
      <c r="M43" s="273">
        <v>0</v>
      </c>
      <c r="N43" s="273">
        <v>0</v>
      </c>
      <c r="O43" s="273">
        <v>0</v>
      </c>
      <c r="P43" s="273">
        <f t="shared" si="18"/>
        <v>2668</v>
      </c>
      <c r="Q43" s="79"/>
    </row>
    <row r="44" spans="1:17" ht="15.75" x14ac:dyDescent="0.3">
      <c r="A44" s="80">
        <v>2</v>
      </c>
      <c r="B44" s="279" t="s">
        <v>1178</v>
      </c>
      <c r="C44" s="273">
        <v>3300</v>
      </c>
      <c r="D44" s="273">
        <v>0</v>
      </c>
      <c r="E44" s="273">
        <v>0</v>
      </c>
      <c r="F44" s="273">
        <v>0</v>
      </c>
      <c r="G44" s="273">
        <v>0</v>
      </c>
      <c r="H44" s="273">
        <v>0</v>
      </c>
      <c r="I44" s="273">
        <v>0</v>
      </c>
      <c r="J44" s="273">
        <v>0</v>
      </c>
      <c r="K44" s="273">
        <v>0</v>
      </c>
      <c r="L44" s="273">
        <f>3808.75+0.25</f>
        <v>3809</v>
      </c>
      <c r="M44" s="273">
        <v>0</v>
      </c>
      <c r="N44" s="273">
        <v>0</v>
      </c>
      <c r="O44" s="273">
        <v>0</v>
      </c>
      <c r="P44" s="273">
        <f t="shared" si="18"/>
        <v>3809</v>
      </c>
      <c r="Q44" s="79"/>
    </row>
    <row r="45" spans="1:17" x14ac:dyDescent="0.25">
      <c r="A45" s="80"/>
      <c r="B45" s="274" t="s">
        <v>1179</v>
      </c>
      <c r="C45" s="275">
        <f>SUM(C46:C48)</f>
        <v>6600</v>
      </c>
      <c r="D45" s="275">
        <f t="shared" ref="D45:P45" si="21">SUM(D46:D48)</f>
        <v>0</v>
      </c>
      <c r="E45" s="275">
        <f t="shared" si="21"/>
        <v>0</v>
      </c>
      <c r="F45" s="275">
        <f t="shared" si="21"/>
        <v>0</v>
      </c>
      <c r="G45" s="275">
        <f t="shared" si="21"/>
        <v>0</v>
      </c>
      <c r="H45" s="275">
        <f t="shared" si="21"/>
        <v>0</v>
      </c>
      <c r="I45" s="275">
        <f t="shared" si="21"/>
        <v>468</v>
      </c>
      <c r="J45" s="275">
        <f t="shared" si="21"/>
        <v>-55</v>
      </c>
      <c r="K45" s="275">
        <f t="shared" si="21"/>
        <v>0</v>
      </c>
      <c r="L45" s="275">
        <f t="shared" si="21"/>
        <v>330</v>
      </c>
      <c r="M45" s="275">
        <f t="shared" si="21"/>
        <v>0</v>
      </c>
      <c r="N45" s="275">
        <f t="shared" si="21"/>
        <v>0</v>
      </c>
      <c r="O45" s="275">
        <f t="shared" si="21"/>
        <v>0</v>
      </c>
      <c r="P45" s="275">
        <f t="shared" si="21"/>
        <v>743</v>
      </c>
      <c r="Q45" s="79"/>
    </row>
    <row r="46" spans="1:17" ht="15.75" x14ac:dyDescent="0.3">
      <c r="A46" s="80">
        <v>1</v>
      </c>
      <c r="B46" s="279" t="s">
        <v>1180</v>
      </c>
      <c r="C46" s="273">
        <v>3300</v>
      </c>
      <c r="D46" s="273">
        <v>0</v>
      </c>
      <c r="E46" s="273">
        <v>0</v>
      </c>
      <c r="F46" s="273">
        <v>0</v>
      </c>
      <c r="G46" s="273">
        <v>0</v>
      </c>
      <c r="H46" s="273">
        <v>0</v>
      </c>
      <c r="I46" s="273">
        <f>467.5+0.5</f>
        <v>468</v>
      </c>
      <c r="J46" s="273">
        <v>0</v>
      </c>
      <c r="K46" s="273">
        <v>0</v>
      </c>
      <c r="L46" s="273">
        <v>0</v>
      </c>
      <c r="M46" s="273">
        <v>0</v>
      </c>
      <c r="N46" s="273">
        <v>0</v>
      </c>
      <c r="O46" s="273">
        <v>0</v>
      </c>
      <c r="P46" s="273">
        <f t="shared" si="18"/>
        <v>468</v>
      </c>
      <c r="Q46" s="79"/>
    </row>
    <row r="47" spans="1:17" ht="15.75" x14ac:dyDescent="0.3">
      <c r="A47" s="80"/>
      <c r="B47" s="279" t="s">
        <v>1181</v>
      </c>
      <c r="C47" s="273">
        <v>0</v>
      </c>
      <c r="D47" s="273"/>
      <c r="E47" s="273"/>
      <c r="F47" s="273"/>
      <c r="G47" s="273"/>
      <c r="H47" s="273"/>
      <c r="I47" s="273">
        <v>0</v>
      </c>
      <c r="J47" s="273">
        <v>-55</v>
      </c>
      <c r="K47" s="273">
        <v>0</v>
      </c>
      <c r="L47" s="273">
        <v>330</v>
      </c>
      <c r="M47" s="273">
        <v>0</v>
      </c>
      <c r="N47" s="273">
        <v>0</v>
      </c>
      <c r="O47" s="273">
        <v>0</v>
      </c>
      <c r="P47" s="273">
        <f t="shared" si="18"/>
        <v>275</v>
      </c>
      <c r="Q47" s="79"/>
    </row>
    <row r="48" spans="1:17" ht="15.75" x14ac:dyDescent="0.3">
      <c r="A48" s="80">
        <v>2</v>
      </c>
      <c r="B48" s="279" t="s">
        <v>1182</v>
      </c>
      <c r="C48" s="273">
        <v>3300</v>
      </c>
      <c r="D48" s="273">
        <v>0</v>
      </c>
      <c r="E48" s="273">
        <v>0</v>
      </c>
      <c r="F48" s="273">
        <v>0</v>
      </c>
      <c r="G48" s="273">
        <v>0</v>
      </c>
      <c r="H48" s="273">
        <v>0</v>
      </c>
      <c r="I48" s="273">
        <v>0</v>
      </c>
      <c r="J48" s="273">
        <v>0</v>
      </c>
      <c r="K48" s="273">
        <v>0</v>
      </c>
      <c r="L48" s="273">
        <v>0</v>
      </c>
      <c r="M48" s="273">
        <v>0</v>
      </c>
      <c r="N48" s="273">
        <v>0</v>
      </c>
      <c r="O48" s="273">
        <v>0</v>
      </c>
      <c r="P48" s="273">
        <f t="shared" si="18"/>
        <v>0</v>
      </c>
      <c r="Q48" s="79"/>
    </row>
    <row r="49" spans="1:18" x14ac:dyDescent="0.25">
      <c r="A49" s="80"/>
      <c r="B49" s="274" t="s">
        <v>1183</v>
      </c>
      <c r="C49" s="275">
        <f>SUM(C50:C51)</f>
        <v>1000</v>
      </c>
      <c r="D49" s="275">
        <f t="shared" ref="D49:P49" si="22">SUM(D50:D51)</f>
        <v>0</v>
      </c>
      <c r="E49" s="275">
        <f t="shared" si="22"/>
        <v>0</v>
      </c>
      <c r="F49" s="275">
        <f t="shared" si="22"/>
        <v>0</v>
      </c>
      <c r="G49" s="275">
        <f t="shared" si="22"/>
        <v>0</v>
      </c>
      <c r="H49" s="275">
        <f t="shared" si="22"/>
        <v>0</v>
      </c>
      <c r="I49" s="275">
        <f t="shared" si="22"/>
        <v>0</v>
      </c>
      <c r="J49" s="275">
        <f t="shared" si="22"/>
        <v>0</v>
      </c>
      <c r="K49" s="275">
        <f t="shared" si="22"/>
        <v>0</v>
      </c>
      <c r="L49" s="275">
        <f t="shared" si="22"/>
        <v>0</v>
      </c>
      <c r="M49" s="275">
        <f t="shared" si="22"/>
        <v>0</v>
      </c>
      <c r="N49" s="275">
        <f t="shared" si="22"/>
        <v>0</v>
      </c>
      <c r="O49" s="275">
        <f t="shared" si="22"/>
        <v>0</v>
      </c>
      <c r="P49" s="275">
        <f t="shared" si="22"/>
        <v>0</v>
      </c>
      <c r="Q49" s="79"/>
    </row>
    <row r="50" spans="1:18" ht="36" x14ac:dyDescent="0.3">
      <c r="A50" s="80">
        <v>1</v>
      </c>
      <c r="B50" s="282" t="s">
        <v>1184</v>
      </c>
      <c r="C50" s="273">
        <v>500</v>
      </c>
      <c r="D50" s="273">
        <v>0</v>
      </c>
      <c r="E50" s="273">
        <v>0</v>
      </c>
      <c r="F50" s="273">
        <v>0</v>
      </c>
      <c r="G50" s="273">
        <v>0</v>
      </c>
      <c r="H50" s="273">
        <v>0</v>
      </c>
      <c r="I50" s="273">
        <v>0</v>
      </c>
      <c r="J50" s="273">
        <v>0</v>
      </c>
      <c r="K50" s="273">
        <v>0</v>
      </c>
      <c r="L50" s="273">
        <v>0</v>
      </c>
      <c r="M50" s="273">
        <v>0</v>
      </c>
      <c r="N50" s="273">
        <v>0</v>
      </c>
      <c r="O50" s="273">
        <v>0</v>
      </c>
      <c r="P50" s="273">
        <f t="shared" ref="P50:P51" si="23">SUM(D50:O50)</f>
        <v>0</v>
      </c>
      <c r="Q50" s="79"/>
    </row>
    <row r="51" spans="1:18" ht="24" x14ac:dyDescent="0.3">
      <c r="A51" s="80">
        <v>2</v>
      </c>
      <c r="B51" s="282" t="s">
        <v>1185</v>
      </c>
      <c r="C51" s="273">
        <v>500</v>
      </c>
      <c r="D51" s="273">
        <v>0</v>
      </c>
      <c r="E51" s="273">
        <v>0</v>
      </c>
      <c r="F51" s="273">
        <v>0</v>
      </c>
      <c r="G51" s="273">
        <v>0</v>
      </c>
      <c r="H51" s="273">
        <v>0</v>
      </c>
      <c r="I51" s="273">
        <v>0</v>
      </c>
      <c r="J51" s="273">
        <v>0</v>
      </c>
      <c r="K51" s="273">
        <v>0</v>
      </c>
      <c r="L51" s="273">
        <v>0</v>
      </c>
      <c r="M51" s="273">
        <v>0</v>
      </c>
      <c r="N51" s="273">
        <v>0</v>
      </c>
      <c r="O51" s="273">
        <v>0</v>
      </c>
      <c r="P51" s="273">
        <f t="shared" si="23"/>
        <v>0</v>
      </c>
      <c r="Q51" s="79"/>
    </row>
    <row r="52" spans="1:18" x14ac:dyDescent="0.25">
      <c r="A52" s="80">
        <v>4</v>
      </c>
      <c r="B52" s="268" t="s">
        <v>1186</v>
      </c>
      <c r="C52" s="269">
        <v>5350</v>
      </c>
      <c r="D52" s="269">
        <f t="shared" ref="D52:P52" si="24">SUM(D53:D53)</f>
        <v>0</v>
      </c>
      <c r="E52" s="269">
        <f t="shared" si="24"/>
        <v>0</v>
      </c>
      <c r="F52" s="269">
        <f t="shared" si="24"/>
        <v>0</v>
      </c>
      <c r="G52" s="269">
        <f t="shared" si="24"/>
        <v>0</v>
      </c>
      <c r="H52" s="269">
        <f t="shared" si="24"/>
        <v>0</v>
      </c>
      <c r="I52" s="269">
        <f t="shared" si="24"/>
        <v>0</v>
      </c>
      <c r="J52" s="269">
        <f t="shared" si="24"/>
        <v>0</v>
      </c>
      <c r="K52" s="269">
        <f t="shared" si="24"/>
        <v>0</v>
      </c>
      <c r="L52" s="269">
        <f t="shared" si="24"/>
        <v>0</v>
      </c>
      <c r="M52" s="269">
        <f t="shared" si="24"/>
        <v>0</v>
      </c>
      <c r="N52" s="269">
        <f t="shared" si="24"/>
        <v>0</v>
      </c>
      <c r="O52" s="269">
        <f t="shared" si="24"/>
        <v>0</v>
      </c>
      <c r="P52" s="269">
        <f t="shared" si="24"/>
        <v>0</v>
      </c>
      <c r="Q52" s="270">
        <f>+P52/C52</f>
        <v>0</v>
      </c>
      <c r="R52" t="s">
        <v>1</v>
      </c>
    </row>
    <row r="53" spans="1:18" ht="15.75" x14ac:dyDescent="0.3">
      <c r="A53" s="78">
        <v>1</v>
      </c>
      <c r="B53" s="279" t="s">
        <v>1187</v>
      </c>
      <c r="C53" s="277">
        <v>0</v>
      </c>
      <c r="D53" s="273">
        <v>0</v>
      </c>
      <c r="E53" s="273">
        <v>0</v>
      </c>
      <c r="F53" s="273">
        <v>0</v>
      </c>
      <c r="G53" s="273">
        <v>0</v>
      </c>
      <c r="H53" s="273">
        <v>0</v>
      </c>
      <c r="I53" s="273">
        <v>0</v>
      </c>
      <c r="J53" s="273">
        <v>0</v>
      </c>
      <c r="K53" s="273">
        <v>0</v>
      </c>
      <c r="L53" s="273">
        <v>0</v>
      </c>
      <c r="M53" s="273">
        <v>0</v>
      </c>
      <c r="N53" s="273">
        <v>0</v>
      </c>
      <c r="O53" s="273">
        <v>0</v>
      </c>
      <c r="P53" s="273">
        <f t="shared" si="18"/>
        <v>0</v>
      </c>
      <c r="Q53" s="79"/>
    </row>
    <row r="54" spans="1:18" ht="15.75" x14ac:dyDescent="0.3">
      <c r="A54" s="78"/>
      <c r="B54" s="279"/>
      <c r="C54" s="277"/>
      <c r="D54" s="273">
        <v>0</v>
      </c>
      <c r="E54" s="273">
        <v>0</v>
      </c>
      <c r="F54" s="273">
        <v>0</v>
      </c>
      <c r="G54" s="273">
        <v>0</v>
      </c>
      <c r="H54" s="273">
        <v>0</v>
      </c>
      <c r="I54" s="273">
        <v>0</v>
      </c>
      <c r="J54" s="273">
        <v>0</v>
      </c>
      <c r="K54" s="273">
        <v>0</v>
      </c>
      <c r="L54" s="273">
        <v>0</v>
      </c>
      <c r="M54" s="273">
        <v>0</v>
      </c>
      <c r="N54" s="273">
        <v>0</v>
      </c>
      <c r="O54" s="273">
        <v>0</v>
      </c>
      <c r="P54" s="273">
        <f t="shared" si="18"/>
        <v>0</v>
      </c>
      <c r="Q54" s="79"/>
    </row>
    <row r="55" spans="1:18" x14ac:dyDescent="0.25">
      <c r="A55" s="77">
        <v>6.3</v>
      </c>
      <c r="B55" s="265" t="s">
        <v>1188</v>
      </c>
      <c r="C55" s="266">
        <f t="shared" ref="C55:P55" si="25">+C56+C94+C147+C187</f>
        <v>499350</v>
      </c>
      <c r="D55" s="266">
        <f t="shared" si="25"/>
        <v>3510</v>
      </c>
      <c r="E55" s="266">
        <f t="shared" si="25"/>
        <v>29685</v>
      </c>
      <c r="F55" s="266">
        <f t="shared" si="25"/>
        <v>88465</v>
      </c>
      <c r="G55" s="266">
        <f t="shared" si="25"/>
        <v>57195</v>
      </c>
      <c r="H55" s="266">
        <f t="shared" si="25"/>
        <v>51670</v>
      </c>
      <c r="I55" s="266">
        <f t="shared" si="25"/>
        <v>13335</v>
      </c>
      <c r="J55" s="266">
        <f t="shared" si="25"/>
        <v>14180</v>
      </c>
      <c r="K55" s="266">
        <f t="shared" si="25"/>
        <v>24190</v>
      </c>
      <c r="L55" s="266">
        <f t="shared" si="25"/>
        <v>97585</v>
      </c>
      <c r="M55" s="266">
        <f t="shared" si="25"/>
        <v>0</v>
      </c>
      <c r="N55" s="266">
        <f t="shared" si="25"/>
        <v>0</v>
      </c>
      <c r="O55" s="266">
        <f t="shared" si="25"/>
        <v>0</v>
      </c>
      <c r="P55" s="266">
        <f t="shared" si="25"/>
        <v>379815</v>
      </c>
      <c r="Q55" s="267">
        <f>+P55/C55</f>
        <v>0.76061880444577956</v>
      </c>
    </row>
    <row r="56" spans="1:18" x14ac:dyDescent="0.25">
      <c r="A56" s="77"/>
      <c r="B56" s="268" t="s">
        <v>1143</v>
      </c>
      <c r="C56" s="283">
        <f t="shared" ref="C56:P56" si="26">+C57</f>
        <v>64085</v>
      </c>
      <c r="D56" s="283">
        <f t="shared" si="26"/>
        <v>1695</v>
      </c>
      <c r="E56" s="283">
        <f t="shared" si="26"/>
        <v>6210</v>
      </c>
      <c r="F56" s="283">
        <f t="shared" si="26"/>
        <v>12900</v>
      </c>
      <c r="G56" s="283">
        <f t="shared" si="26"/>
        <v>23430</v>
      </c>
      <c r="H56" s="283">
        <f t="shared" si="26"/>
        <v>21890</v>
      </c>
      <c r="I56" s="283">
        <f t="shared" si="26"/>
        <v>195</v>
      </c>
      <c r="J56" s="283">
        <f t="shared" si="26"/>
        <v>4995</v>
      </c>
      <c r="K56" s="283">
        <f t="shared" si="26"/>
        <v>7545</v>
      </c>
      <c r="L56" s="283">
        <f t="shared" si="26"/>
        <v>37200</v>
      </c>
      <c r="M56" s="283">
        <f t="shared" si="26"/>
        <v>0</v>
      </c>
      <c r="N56" s="283">
        <f t="shared" si="26"/>
        <v>0</v>
      </c>
      <c r="O56" s="283">
        <f t="shared" si="26"/>
        <v>0</v>
      </c>
      <c r="P56" s="283">
        <f t="shared" si="26"/>
        <v>116060</v>
      </c>
      <c r="Q56" s="270">
        <f>+P56/C56</f>
        <v>1.8110322228290552</v>
      </c>
    </row>
    <row r="57" spans="1:18" x14ac:dyDescent="0.25">
      <c r="A57" s="80"/>
      <c r="B57" s="284" t="s">
        <v>1189</v>
      </c>
      <c r="C57" s="285">
        <v>64085</v>
      </c>
      <c r="D57" s="285">
        <f t="shared" ref="D57:P57" si="27">SUM(D58:D92)</f>
        <v>1695</v>
      </c>
      <c r="E57" s="285">
        <f t="shared" si="27"/>
        <v>6210</v>
      </c>
      <c r="F57" s="285">
        <f t="shared" si="27"/>
        <v>12900</v>
      </c>
      <c r="G57" s="285">
        <f t="shared" si="27"/>
        <v>23430</v>
      </c>
      <c r="H57" s="285">
        <f t="shared" si="27"/>
        <v>21890</v>
      </c>
      <c r="I57" s="285">
        <f t="shared" si="27"/>
        <v>195</v>
      </c>
      <c r="J57" s="285">
        <f t="shared" si="27"/>
        <v>4995</v>
      </c>
      <c r="K57" s="285">
        <f t="shared" si="27"/>
        <v>7545</v>
      </c>
      <c r="L57" s="285">
        <f t="shared" si="27"/>
        <v>37200</v>
      </c>
      <c r="M57" s="285">
        <f t="shared" si="27"/>
        <v>0</v>
      </c>
      <c r="N57" s="285">
        <f t="shared" si="27"/>
        <v>0</v>
      </c>
      <c r="O57" s="285">
        <f t="shared" si="27"/>
        <v>0</v>
      </c>
      <c r="P57" s="285">
        <f t="shared" si="27"/>
        <v>116060</v>
      </c>
      <c r="Q57" s="79"/>
    </row>
    <row r="58" spans="1:18" ht="15.75" x14ac:dyDescent="0.3">
      <c r="A58" s="80" t="s">
        <v>1</v>
      </c>
      <c r="B58" s="279" t="s">
        <v>1190</v>
      </c>
      <c r="C58" s="273">
        <v>14400</v>
      </c>
      <c r="D58" s="273">
        <v>1380</v>
      </c>
      <c r="E58" s="273">
        <v>4665</v>
      </c>
      <c r="F58" s="273">
        <v>0</v>
      </c>
      <c r="G58" s="273">
        <v>0</v>
      </c>
      <c r="H58" s="273">
        <v>0</v>
      </c>
      <c r="I58" s="273">
        <v>0</v>
      </c>
      <c r="J58" s="273">
        <v>0</v>
      </c>
      <c r="K58" s="273">
        <v>0</v>
      </c>
      <c r="L58" s="273">
        <v>0</v>
      </c>
      <c r="M58" s="273">
        <v>0</v>
      </c>
      <c r="N58" s="273">
        <v>0</v>
      </c>
      <c r="O58" s="273">
        <v>0</v>
      </c>
      <c r="P58" s="273">
        <f t="shared" ref="P58" si="28">SUM(D58:O58)</f>
        <v>6045</v>
      </c>
      <c r="Q58" s="79"/>
    </row>
    <row r="59" spans="1:18" ht="15.75" x14ac:dyDescent="0.3">
      <c r="A59" s="80" t="s">
        <v>1</v>
      </c>
      <c r="B59" s="279" t="s">
        <v>1191</v>
      </c>
      <c r="C59" s="273">
        <v>22000</v>
      </c>
      <c r="D59" s="273">
        <f>60+75</f>
        <v>135</v>
      </c>
      <c r="E59" s="273">
        <f>15+15</f>
        <v>30</v>
      </c>
      <c r="F59" s="273">
        <v>0</v>
      </c>
      <c r="G59" s="273">
        <v>0</v>
      </c>
      <c r="H59" s="273">
        <v>0</v>
      </c>
      <c r="I59" s="273">
        <v>0</v>
      </c>
      <c r="J59" s="273">
        <v>0</v>
      </c>
      <c r="K59" s="273">
        <v>0</v>
      </c>
      <c r="L59" s="273">
        <v>0</v>
      </c>
      <c r="M59" s="273">
        <v>0</v>
      </c>
      <c r="N59" s="273">
        <v>0</v>
      </c>
      <c r="O59" s="273">
        <v>0</v>
      </c>
      <c r="P59" s="273">
        <f>SUM(D59:O59)</f>
        <v>165</v>
      </c>
      <c r="Q59" s="79"/>
    </row>
    <row r="60" spans="1:18" ht="15.75" x14ac:dyDescent="0.3">
      <c r="A60" s="80" t="s">
        <v>1</v>
      </c>
      <c r="B60" s="279" t="s">
        <v>1192</v>
      </c>
      <c r="C60" s="273">
        <v>3500</v>
      </c>
      <c r="D60" s="273">
        <f>15+45</f>
        <v>60</v>
      </c>
      <c r="E60" s="273">
        <v>15</v>
      </c>
      <c r="F60" s="273">
        <v>15</v>
      </c>
      <c r="G60" s="273">
        <v>0</v>
      </c>
      <c r="H60" s="273">
        <v>0</v>
      </c>
      <c r="I60" s="273">
        <v>0</v>
      </c>
      <c r="J60" s="273">
        <v>0</v>
      </c>
      <c r="K60" s="273">
        <v>0</v>
      </c>
      <c r="L60" s="273">
        <v>0</v>
      </c>
      <c r="M60" s="273">
        <v>0</v>
      </c>
      <c r="N60" s="273">
        <v>0</v>
      </c>
      <c r="O60" s="273">
        <v>0</v>
      </c>
      <c r="P60" s="273">
        <f>SUM(D60:O60)</f>
        <v>90</v>
      </c>
      <c r="Q60" s="79"/>
    </row>
    <row r="61" spans="1:18" ht="15.75" x14ac:dyDescent="0.3">
      <c r="A61" s="80">
        <v>1</v>
      </c>
      <c r="B61" s="279" t="s">
        <v>1193</v>
      </c>
      <c r="C61" s="273">
        <v>1000</v>
      </c>
      <c r="D61" s="273">
        <v>15</v>
      </c>
      <c r="E61" s="273">
        <f>1485+15</f>
        <v>1500</v>
      </c>
      <c r="F61" s="273">
        <v>5535</v>
      </c>
      <c r="G61" s="273">
        <v>0</v>
      </c>
      <c r="H61" s="273">
        <v>0</v>
      </c>
      <c r="I61" s="273">
        <v>0</v>
      </c>
      <c r="J61" s="273">
        <v>0</v>
      </c>
      <c r="K61" s="273">
        <v>0</v>
      </c>
      <c r="L61" s="273">
        <v>0</v>
      </c>
      <c r="M61" s="273">
        <v>0</v>
      </c>
      <c r="N61" s="273">
        <v>0</v>
      </c>
      <c r="O61" s="273">
        <v>0</v>
      </c>
      <c r="P61" s="273">
        <f>SUM(D61:O61)</f>
        <v>7050</v>
      </c>
      <c r="Q61" s="79"/>
    </row>
    <row r="62" spans="1:18" ht="15.75" x14ac:dyDescent="0.3">
      <c r="A62" s="80">
        <f>+A61+1</f>
        <v>2</v>
      </c>
      <c r="B62" s="279" t="s">
        <v>1194</v>
      </c>
      <c r="C62" s="273">
        <v>7000</v>
      </c>
      <c r="D62" s="273">
        <v>105</v>
      </c>
      <c r="E62" s="273">
        <v>0</v>
      </c>
      <c r="F62" s="273">
        <v>0</v>
      </c>
      <c r="G62" s="273">
        <v>0</v>
      </c>
      <c r="H62" s="273">
        <v>0</v>
      </c>
      <c r="I62" s="273">
        <v>0</v>
      </c>
      <c r="J62" s="273">
        <v>0</v>
      </c>
      <c r="K62" s="273">
        <v>0</v>
      </c>
      <c r="L62" s="273">
        <v>0</v>
      </c>
      <c r="M62" s="273">
        <v>0</v>
      </c>
      <c r="N62" s="273">
        <v>0</v>
      </c>
      <c r="O62" s="273">
        <v>0</v>
      </c>
      <c r="P62" s="273">
        <f>SUM(D62:O62)</f>
        <v>105</v>
      </c>
      <c r="Q62" s="79"/>
    </row>
    <row r="63" spans="1:18" ht="24" x14ac:dyDescent="0.3">
      <c r="A63" s="80">
        <f t="shared" ref="A63:A76" si="29">+A62+1</f>
        <v>3</v>
      </c>
      <c r="B63" s="282" t="s">
        <v>1195</v>
      </c>
      <c r="C63" s="273"/>
      <c r="D63" s="273">
        <v>0</v>
      </c>
      <c r="E63" s="273">
        <v>0</v>
      </c>
      <c r="F63" s="273">
        <v>360</v>
      </c>
      <c r="G63" s="273">
        <v>6210</v>
      </c>
      <c r="H63" s="273">
        <v>0</v>
      </c>
      <c r="I63" s="273">
        <v>0</v>
      </c>
      <c r="J63" s="273">
        <v>0</v>
      </c>
      <c r="K63" s="273">
        <v>0</v>
      </c>
      <c r="L63" s="273">
        <v>0</v>
      </c>
      <c r="M63" s="273">
        <v>0</v>
      </c>
      <c r="N63" s="273">
        <v>0</v>
      </c>
      <c r="O63" s="273">
        <v>0</v>
      </c>
      <c r="P63" s="273">
        <f t="shared" ref="P63:P65" si="30">SUM(D63:O63)</f>
        <v>6570</v>
      </c>
      <c r="Q63" s="79"/>
    </row>
    <row r="64" spans="1:18" ht="15.75" x14ac:dyDescent="0.3">
      <c r="A64" s="80">
        <f t="shared" si="29"/>
        <v>4</v>
      </c>
      <c r="B64" s="279" t="s">
        <v>1196</v>
      </c>
      <c r="C64" s="273"/>
      <c r="D64" s="273">
        <v>0</v>
      </c>
      <c r="E64" s="273">
        <v>0</v>
      </c>
      <c r="F64" s="273">
        <v>3810</v>
      </c>
      <c r="G64" s="273">
        <v>8235</v>
      </c>
      <c r="H64" s="273">
        <v>0</v>
      </c>
      <c r="I64" s="273">
        <v>0</v>
      </c>
      <c r="J64" s="273">
        <v>0</v>
      </c>
      <c r="K64" s="273">
        <v>0</v>
      </c>
      <c r="L64" s="273">
        <v>0</v>
      </c>
      <c r="M64" s="273">
        <v>0</v>
      </c>
      <c r="N64" s="273">
        <v>0</v>
      </c>
      <c r="O64" s="273">
        <v>0</v>
      </c>
      <c r="P64" s="273">
        <f t="shared" si="30"/>
        <v>12045</v>
      </c>
      <c r="Q64" s="79"/>
    </row>
    <row r="65" spans="1:17" ht="15.75" x14ac:dyDescent="0.3">
      <c r="A65" s="80">
        <f t="shared" si="29"/>
        <v>5</v>
      </c>
      <c r="B65" s="279" t="s">
        <v>1197</v>
      </c>
      <c r="C65" s="273"/>
      <c r="D65" s="273">
        <v>0</v>
      </c>
      <c r="E65" s="273">
        <v>0</v>
      </c>
      <c r="F65" s="273">
        <v>15</v>
      </c>
      <c r="G65" s="273">
        <v>0</v>
      </c>
      <c r="H65" s="273">
        <v>0</v>
      </c>
      <c r="I65" s="273">
        <v>0</v>
      </c>
      <c r="J65" s="273">
        <v>0</v>
      </c>
      <c r="K65" s="273">
        <v>0</v>
      </c>
      <c r="L65" s="273">
        <v>0</v>
      </c>
      <c r="M65" s="273">
        <v>0</v>
      </c>
      <c r="N65" s="273">
        <v>0</v>
      </c>
      <c r="O65" s="273">
        <v>0</v>
      </c>
      <c r="P65" s="273">
        <f t="shared" si="30"/>
        <v>15</v>
      </c>
      <c r="Q65" s="79"/>
    </row>
    <row r="66" spans="1:17" ht="24" x14ac:dyDescent="0.3">
      <c r="A66" s="80">
        <f t="shared" si="29"/>
        <v>6</v>
      </c>
      <c r="B66" s="282" t="s">
        <v>1198</v>
      </c>
      <c r="C66" s="273"/>
      <c r="D66" s="273">
        <v>0</v>
      </c>
      <c r="E66" s="273">
        <v>0</v>
      </c>
      <c r="F66" s="273">
        <v>3165</v>
      </c>
      <c r="G66" s="273">
        <v>1740</v>
      </c>
      <c r="H66" s="273">
        <v>0</v>
      </c>
      <c r="I66" s="273">
        <v>0</v>
      </c>
      <c r="J66" s="273">
        <v>0</v>
      </c>
      <c r="K66" s="273">
        <v>0</v>
      </c>
      <c r="L66" s="273">
        <v>0</v>
      </c>
      <c r="M66" s="273">
        <v>0</v>
      </c>
      <c r="N66" s="273">
        <v>0</v>
      </c>
      <c r="O66" s="273">
        <v>0</v>
      </c>
      <c r="P66" s="273">
        <f>SUM(D66:O66)</f>
        <v>4905</v>
      </c>
      <c r="Q66" s="79"/>
    </row>
    <row r="67" spans="1:17" ht="15.75" x14ac:dyDescent="0.3">
      <c r="A67" s="80">
        <f t="shared" si="29"/>
        <v>7</v>
      </c>
      <c r="B67" s="279" t="s">
        <v>1199</v>
      </c>
      <c r="C67" s="273"/>
      <c r="D67" s="273">
        <v>0</v>
      </c>
      <c r="E67" s="273">
        <v>0</v>
      </c>
      <c r="F67" s="273">
        <v>0</v>
      </c>
      <c r="G67" s="273">
        <v>1470</v>
      </c>
      <c r="H67" s="273">
        <v>15</v>
      </c>
      <c r="I67" s="273">
        <v>0</v>
      </c>
      <c r="J67" s="273">
        <v>0</v>
      </c>
      <c r="K67" s="273">
        <v>0</v>
      </c>
      <c r="L67" s="273">
        <v>0</v>
      </c>
      <c r="M67" s="273">
        <v>0</v>
      </c>
      <c r="N67" s="273">
        <v>0</v>
      </c>
      <c r="O67" s="273">
        <v>0</v>
      </c>
      <c r="P67" s="273">
        <f t="shared" ref="P67:P68" si="31">SUM(D67:O67)</f>
        <v>1485</v>
      </c>
      <c r="Q67" s="79"/>
    </row>
    <row r="68" spans="1:17" ht="15.75" x14ac:dyDescent="0.3">
      <c r="A68" s="80">
        <f t="shared" si="29"/>
        <v>8</v>
      </c>
      <c r="B68" s="279" t="s">
        <v>1200</v>
      </c>
      <c r="C68" s="273"/>
      <c r="D68" s="273">
        <v>0</v>
      </c>
      <c r="E68" s="273">
        <v>0</v>
      </c>
      <c r="F68" s="273">
        <v>0</v>
      </c>
      <c r="G68" s="273">
        <v>3450</v>
      </c>
      <c r="H68" s="273">
        <v>15</v>
      </c>
      <c r="I68" s="273">
        <v>0</v>
      </c>
      <c r="J68" s="273">
        <v>0</v>
      </c>
      <c r="K68" s="273">
        <v>705</v>
      </c>
      <c r="L68" s="273">
        <v>3375</v>
      </c>
      <c r="M68" s="273">
        <v>0</v>
      </c>
      <c r="N68" s="273">
        <v>0</v>
      </c>
      <c r="O68" s="273">
        <v>0</v>
      </c>
      <c r="P68" s="273">
        <f t="shared" si="31"/>
        <v>7545</v>
      </c>
      <c r="Q68" s="79"/>
    </row>
    <row r="69" spans="1:17" ht="15.75" x14ac:dyDescent="0.3">
      <c r="A69" s="80">
        <f t="shared" si="29"/>
        <v>9</v>
      </c>
      <c r="B69" s="279" t="s">
        <v>1201</v>
      </c>
      <c r="C69" s="273"/>
      <c r="D69" s="273">
        <v>0</v>
      </c>
      <c r="E69" s="273">
        <v>0</v>
      </c>
      <c r="F69" s="273">
        <v>0</v>
      </c>
      <c r="G69" s="273">
        <v>480</v>
      </c>
      <c r="H69" s="273">
        <v>40</v>
      </c>
      <c r="I69" s="273">
        <v>0</v>
      </c>
      <c r="J69" s="273">
        <v>0</v>
      </c>
      <c r="K69" s="273">
        <v>0</v>
      </c>
      <c r="L69" s="273">
        <v>0</v>
      </c>
      <c r="M69" s="273">
        <v>0</v>
      </c>
      <c r="N69" s="273">
        <v>0</v>
      </c>
      <c r="O69" s="273">
        <v>0</v>
      </c>
      <c r="P69" s="273">
        <f t="shared" ref="P69:P71" si="32">SUM(D69:O69)</f>
        <v>520</v>
      </c>
      <c r="Q69" s="79"/>
    </row>
    <row r="70" spans="1:17" ht="15.75" x14ac:dyDescent="0.3">
      <c r="A70" s="80">
        <f t="shared" si="29"/>
        <v>10</v>
      </c>
      <c r="B70" s="279" t="s">
        <v>1202</v>
      </c>
      <c r="C70" s="273"/>
      <c r="D70" s="273">
        <v>0</v>
      </c>
      <c r="E70" s="273">
        <v>0</v>
      </c>
      <c r="F70" s="273">
        <v>0</v>
      </c>
      <c r="G70" s="273">
        <v>980</v>
      </c>
      <c r="H70" s="273">
        <v>60</v>
      </c>
      <c r="I70" s="273">
        <v>0</v>
      </c>
      <c r="J70" s="273">
        <v>0</v>
      </c>
      <c r="K70" s="273">
        <v>0</v>
      </c>
      <c r="L70" s="273">
        <v>0</v>
      </c>
      <c r="M70" s="273">
        <v>0</v>
      </c>
      <c r="N70" s="273">
        <v>0</v>
      </c>
      <c r="O70" s="273">
        <v>0</v>
      </c>
      <c r="P70" s="273">
        <f t="shared" si="32"/>
        <v>1040</v>
      </c>
      <c r="Q70" s="79"/>
    </row>
    <row r="71" spans="1:17" ht="15.75" x14ac:dyDescent="0.3">
      <c r="A71" s="80">
        <f t="shared" si="29"/>
        <v>11</v>
      </c>
      <c r="B71" s="279" t="s">
        <v>1203</v>
      </c>
      <c r="C71" s="273"/>
      <c r="D71" s="273">
        <v>0</v>
      </c>
      <c r="E71" s="273">
        <v>0</v>
      </c>
      <c r="F71" s="273">
        <v>0</v>
      </c>
      <c r="G71" s="273">
        <v>220</v>
      </c>
      <c r="H71" s="273">
        <v>740</v>
      </c>
      <c r="I71" s="273">
        <v>0</v>
      </c>
      <c r="J71" s="273">
        <v>0</v>
      </c>
      <c r="K71" s="273">
        <v>0</v>
      </c>
      <c r="L71" s="273">
        <v>0</v>
      </c>
      <c r="M71" s="273">
        <v>0</v>
      </c>
      <c r="N71" s="273">
        <v>0</v>
      </c>
      <c r="O71" s="273">
        <v>0</v>
      </c>
      <c r="P71" s="273">
        <f t="shared" si="32"/>
        <v>960</v>
      </c>
      <c r="Q71" s="79"/>
    </row>
    <row r="72" spans="1:17" ht="15.75" x14ac:dyDescent="0.3">
      <c r="A72" s="80">
        <f t="shared" si="29"/>
        <v>12</v>
      </c>
      <c r="B72" s="279" t="s">
        <v>1204</v>
      </c>
      <c r="C72" s="273"/>
      <c r="D72" s="273">
        <v>0</v>
      </c>
      <c r="E72" s="273">
        <v>0</v>
      </c>
      <c r="F72" s="273">
        <v>0</v>
      </c>
      <c r="G72" s="273">
        <v>645</v>
      </c>
      <c r="H72" s="273">
        <v>5160</v>
      </c>
      <c r="I72" s="273">
        <v>0</v>
      </c>
      <c r="J72" s="273">
        <v>0</v>
      </c>
      <c r="K72" s="273">
        <v>0</v>
      </c>
      <c r="L72" s="273">
        <v>0</v>
      </c>
      <c r="M72" s="273">
        <v>0</v>
      </c>
      <c r="N72" s="273">
        <v>0</v>
      </c>
      <c r="O72" s="273">
        <v>0</v>
      </c>
      <c r="P72" s="273">
        <f>SUM(D72:O72)</f>
        <v>5805</v>
      </c>
      <c r="Q72" s="79"/>
    </row>
    <row r="73" spans="1:17" ht="15.75" x14ac:dyDescent="0.3">
      <c r="A73" s="80">
        <f t="shared" si="29"/>
        <v>13</v>
      </c>
      <c r="B73" s="279" t="s">
        <v>1205</v>
      </c>
      <c r="C73" s="273"/>
      <c r="D73" s="273">
        <v>0</v>
      </c>
      <c r="E73" s="273">
        <v>0</v>
      </c>
      <c r="F73" s="273">
        <v>0</v>
      </c>
      <c r="G73" s="273">
        <v>0</v>
      </c>
      <c r="H73" s="273">
        <v>720</v>
      </c>
      <c r="I73" s="273">
        <v>0</v>
      </c>
      <c r="J73" s="273">
        <v>0</v>
      </c>
      <c r="K73" s="273">
        <v>0</v>
      </c>
      <c r="L73" s="273">
        <v>0</v>
      </c>
      <c r="M73" s="273">
        <v>0</v>
      </c>
      <c r="N73" s="273">
        <v>0</v>
      </c>
      <c r="O73" s="273">
        <v>0</v>
      </c>
      <c r="P73" s="273">
        <f t="shared" ref="P73:P76" si="33">SUM(D73:O73)</f>
        <v>720</v>
      </c>
      <c r="Q73" s="79"/>
    </row>
    <row r="74" spans="1:17" ht="15.75" x14ac:dyDescent="0.3">
      <c r="A74" s="80">
        <f t="shared" si="29"/>
        <v>14</v>
      </c>
      <c r="B74" s="279" t="s">
        <v>1206</v>
      </c>
      <c r="C74" s="273"/>
      <c r="D74" s="273">
        <v>0</v>
      </c>
      <c r="E74" s="273">
        <v>0</v>
      </c>
      <c r="F74" s="273">
        <v>0</v>
      </c>
      <c r="G74" s="273">
        <v>0</v>
      </c>
      <c r="H74" s="273">
        <v>15</v>
      </c>
      <c r="I74" s="273">
        <v>0</v>
      </c>
      <c r="J74" s="273">
        <v>0</v>
      </c>
      <c r="K74" s="273">
        <v>0</v>
      </c>
      <c r="L74" s="273">
        <v>0</v>
      </c>
      <c r="M74" s="273">
        <v>0</v>
      </c>
      <c r="N74" s="273">
        <v>0</v>
      </c>
      <c r="O74" s="273">
        <v>0</v>
      </c>
      <c r="P74" s="273">
        <f t="shared" si="33"/>
        <v>15</v>
      </c>
      <c r="Q74" s="79"/>
    </row>
    <row r="75" spans="1:17" ht="15.75" x14ac:dyDescent="0.3">
      <c r="A75" s="80">
        <f t="shared" si="29"/>
        <v>15</v>
      </c>
      <c r="B75" s="279" t="s">
        <v>1207</v>
      </c>
      <c r="C75" s="273"/>
      <c r="D75" s="273">
        <v>0</v>
      </c>
      <c r="E75" s="273">
        <v>0</v>
      </c>
      <c r="F75" s="273">
        <v>0</v>
      </c>
      <c r="G75" s="273">
        <v>0</v>
      </c>
      <c r="H75" s="273">
        <v>11205</v>
      </c>
      <c r="I75" s="273">
        <v>0</v>
      </c>
      <c r="J75" s="273">
        <v>0</v>
      </c>
      <c r="K75" s="273">
        <v>45</v>
      </c>
      <c r="L75" s="273">
        <v>0</v>
      </c>
      <c r="M75" s="273">
        <v>0</v>
      </c>
      <c r="N75" s="273">
        <v>0</v>
      </c>
      <c r="O75" s="273">
        <v>0</v>
      </c>
      <c r="P75" s="273">
        <f t="shared" si="33"/>
        <v>11250</v>
      </c>
      <c r="Q75" s="79"/>
    </row>
    <row r="76" spans="1:17" ht="15.75" x14ac:dyDescent="0.3">
      <c r="A76" s="80">
        <f t="shared" si="29"/>
        <v>16</v>
      </c>
      <c r="B76" s="279" t="s">
        <v>1208</v>
      </c>
      <c r="C76" s="273"/>
      <c r="D76" s="273">
        <v>0</v>
      </c>
      <c r="E76" s="273">
        <v>0</v>
      </c>
      <c r="F76" s="273">
        <v>0</v>
      </c>
      <c r="G76" s="273">
        <v>0</v>
      </c>
      <c r="H76" s="273">
        <v>3900</v>
      </c>
      <c r="I76" s="273">
        <v>15</v>
      </c>
      <c r="J76" s="273">
        <v>0</v>
      </c>
      <c r="K76" s="273">
        <v>0</v>
      </c>
      <c r="L76" s="273">
        <v>0</v>
      </c>
      <c r="M76" s="273">
        <v>0</v>
      </c>
      <c r="N76" s="273">
        <v>0</v>
      </c>
      <c r="O76" s="273">
        <v>0</v>
      </c>
      <c r="P76" s="273">
        <f t="shared" si="33"/>
        <v>3915</v>
      </c>
      <c r="Q76" s="79"/>
    </row>
    <row r="77" spans="1:17" ht="15.75" x14ac:dyDescent="0.3">
      <c r="A77" s="80">
        <f>+A76+1</f>
        <v>17</v>
      </c>
      <c r="B77" s="279" t="s">
        <v>1209</v>
      </c>
      <c r="C77" s="273"/>
      <c r="D77" s="273">
        <v>0</v>
      </c>
      <c r="E77" s="273">
        <v>0</v>
      </c>
      <c r="F77" s="273">
        <v>0</v>
      </c>
      <c r="G77" s="273">
        <v>0</v>
      </c>
      <c r="H77" s="273">
        <v>20</v>
      </c>
      <c r="I77" s="273">
        <v>0</v>
      </c>
      <c r="J77" s="273">
        <v>0</v>
      </c>
      <c r="K77" s="273">
        <v>0</v>
      </c>
      <c r="L77" s="273">
        <v>0</v>
      </c>
      <c r="M77" s="273">
        <v>0</v>
      </c>
      <c r="N77" s="273">
        <v>0</v>
      </c>
      <c r="O77" s="273">
        <v>0</v>
      </c>
      <c r="P77" s="273">
        <f t="shared" ref="P77:P82" si="34">SUM(D77:O77)</f>
        <v>20</v>
      </c>
      <c r="Q77" s="79"/>
    </row>
    <row r="78" spans="1:17" ht="15.75" x14ac:dyDescent="0.3">
      <c r="A78" s="80"/>
      <c r="B78" s="279" t="s">
        <v>1210</v>
      </c>
      <c r="C78" s="273"/>
      <c r="D78" s="273">
        <v>0</v>
      </c>
      <c r="E78" s="273">
        <v>0</v>
      </c>
      <c r="F78" s="273">
        <v>0</v>
      </c>
      <c r="G78" s="273">
        <v>0</v>
      </c>
      <c r="H78" s="273">
        <v>0</v>
      </c>
      <c r="I78" s="273">
        <v>180</v>
      </c>
      <c r="J78" s="273">
        <v>4995</v>
      </c>
      <c r="K78" s="273">
        <v>0</v>
      </c>
      <c r="L78" s="273">
        <v>0</v>
      </c>
      <c r="M78" s="273">
        <v>0</v>
      </c>
      <c r="N78" s="273">
        <v>0</v>
      </c>
      <c r="O78" s="273">
        <v>0</v>
      </c>
      <c r="P78" s="273">
        <f t="shared" si="34"/>
        <v>5175</v>
      </c>
      <c r="Q78" s="79"/>
    </row>
    <row r="79" spans="1:17" ht="15.75" x14ac:dyDescent="0.3">
      <c r="A79" s="80"/>
      <c r="B79" s="279" t="s">
        <v>1211</v>
      </c>
      <c r="C79" s="273"/>
      <c r="D79" s="273">
        <v>0</v>
      </c>
      <c r="E79" s="273">
        <v>0</v>
      </c>
      <c r="F79" s="273">
        <v>0</v>
      </c>
      <c r="G79" s="273">
        <v>0</v>
      </c>
      <c r="H79" s="273">
        <v>0</v>
      </c>
      <c r="I79" s="273">
        <v>0</v>
      </c>
      <c r="J79" s="273">
        <v>0</v>
      </c>
      <c r="K79" s="273">
        <v>45</v>
      </c>
      <c r="L79" s="273">
        <v>1500</v>
      </c>
      <c r="M79" s="273"/>
      <c r="N79" s="273"/>
      <c r="O79" s="273"/>
      <c r="P79" s="273">
        <f t="shared" si="34"/>
        <v>1545</v>
      </c>
      <c r="Q79" s="79"/>
    </row>
    <row r="80" spans="1:17" ht="15.75" x14ac:dyDescent="0.3">
      <c r="A80" s="80"/>
      <c r="B80" s="279" t="s">
        <v>1212</v>
      </c>
      <c r="C80" s="273"/>
      <c r="D80" s="273">
        <v>0</v>
      </c>
      <c r="E80" s="273">
        <v>0</v>
      </c>
      <c r="F80" s="273">
        <v>0</v>
      </c>
      <c r="G80" s="273">
        <v>0</v>
      </c>
      <c r="H80" s="273">
        <v>0</v>
      </c>
      <c r="I80" s="273">
        <v>0</v>
      </c>
      <c r="J80" s="273">
        <v>0</v>
      </c>
      <c r="K80" s="273">
        <v>945</v>
      </c>
      <c r="L80" s="273">
        <v>5355</v>
      </c>
      <c r="M80" s="273"/>
      <c r="N80" s="273"/>
      <c r="O80" s="273"/>
      <c r="P80" s="273">
        <f t="shared" si="34"/>
        <v>6300</v>
      </c>
      <c r="Q80" s="79"/>
    </row>
    <row r="81" spans="1:17" ht="15.75" x14ac:dyDescent="0.3">
      <c r="A81" s="80"/>
      <c r="B81" s="279" t="s">
        <v>1213</v>
      </c>
      <c r="C81" s="273"/>
      <c r="D81" s="273">
        <v>0</v>
      </c>
      <c r="E81" s="273">
        <v>0</v>
      </c>
      <c r="F81" s="273">
        <v>0</v>
      </c>
      <c r="G81" s="273">
        <v>0</v>
      </c>
      <c r="H81" s="273">
        <v>0</v>
      </c>
      <c r="I81" s="273">
        <v>0</v>
      </c>
      <c r="J81" s="273">
        <v>0</v>
      </c>
      <c r="K81" s="273">
        <v>2295</v>
      </c>
      <c r="L81" s="273">
        <v>1455</v>
      </c>
      <c r="M81" s="273"/>
      <c r="N81" s="273"/>
      <c r="O81" s="273"/>
      <c r="P81" s="273">
        <f t="shared" si="34"/>
        <v>3750</v>
      </c>
      <c r="Q81" s="79"/>
    </row>
    <row r="82" spans="1:17" ht="15.75" x14ac:dyDescent="0.3">
      <c r="A82" s="80"/>
      <c r="B82" s="279" t="s">
        <v>1214</v>
      </c>
      <c r="C82" s="273"/>
      <c r="D82" s="273">
        <v>0</v>
      </c>
      <c r="E82" s="273">
        <v>0</v>
      </c>
      <c r="F82" s="273">
        <v>0</v>
      </c>
      <c r="G82" s="273">
        <v>0</v>
      </c>
      <c r="H82" s="273">
        <v>0</v>
      </c>
      <c r="I82" s="273">
        <v>0</v>
      </c>
      <c r="J82" s="273">
        <v>0</v>
      </c>
      <c r="K82" s="273">
        <v>240</v>
      </c>
      <c r="L82" s="273">
        <v>1470</v>
      </c>
      <c r="M82" s="273"/>
      <c r="N82" s="273"/>
      <c r="O82" s="273"/>
      <c r="P82" s="273">
        <f t="shared" si="34"/>
        <v>1710</v>
      </c>
      <c r="Q82" s="79"/>
    </row>
    <row r="83" spans="1:17" ht="15.75" x14ac:dyDescent="0.3">
      <c r="A83" s="80"/>
      <c r="B83" s="279" t="s">
        <v>1215</v>
      </c>
      <c r="C83" s="273"/>
      <c r="D83" s="273">
        <v>0</v>
      </c>
      <c r="E83" s="273">
        <v>0</v>
      </c>
      <c r="F83" s="273">
        <v>0</v>
      </c>
      <c r="G83" s="273">
        <v>0</v>
      </c>
      <c r="H83" s="273">
        <v>0</v>
      </c>
      <c r="I83" s="273">
        <v>0</v>
      </c>
      <c r="J83" s="273">
        <v>0</v>
      </c>
      <c r="K83" s="273">
        <v>450</v>
      </c>
      <c r="L83" s="273">
        <v>990</v>
      </c>
      <c r="M83" s="273"/>
      <c r="N83" s="273"/>
      <c r="O83" s="273"/>
      <c r="P83" s="273">
        <f t="shared" ref="P83:P87" si="35">SUM(D83:O83)</f>
        <v>1440</v>
      </c>
      <c r="Q83" s="79"/>
    </row>
    <row r="84" spans="1:17" ht="15.75" x14ac:dyDescent="0.3">
      <c r="A84" s="80"/>
      <c r="B84" s="279" t="s">
        <v>1216</v>
      </c>
      <c r="C84" s="273"/>
      <c r="D84" s="273">
        <v>0</v>
      </c>
      <c r="E84" s="273">
        <v>0</v>
      </c>
      <c r="F84" s="273">
        <v>0</v>
      </c>
      <c r="G84" s="273">
        <v>0</v>
      </c>
      <c r="H84" s="273">
        <v>0</v>
      </c>
      <c r="I84" s="273">
        <v>0</v>
      </c>
      <c r="J84" s="273">
        <v>0</v>
      </c>
      <c r="K84" s="273">
        <v>375</v>
      </c>
      <c r="L84" s="273">
        <v>3525</v>
      </c>
      <c r="M84" s="273"/>
      <c r="N84" s="273"/>
      <c r="O84" s="273"/>
      <c r="P84" s="273">
        <f t="shared" si="35"/>
        <v>3900</v>
      </c>
      <c r="Q84" s="79"/>
    </row>
    <row r="85" spans="1:17" ht="15.75" x14ac:dyDescent="0.3">
      <c r="A85" s="80"/>
      <c r="B85" s="279" t="s">
        <v>1217</v>
      </c>
      <c r="C85" s="273"/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645</v>
      </c>
      <c r="L85" s="273">
        <v>6375</v>
      </c>
      <c r="M85" s="273"/>
      <c r="N85" s="273"/>
      <c r="O85" s="273"/>
      <c r="P85" s="273">
        <f t="shared" si="35"/>
        <v>7020</v>
      </c>
      <c r="Q85" s="79"/>
    </row>
    <row r="86" spans="1:17" ht="15.75" x14ac:dyDescent="0.3">
      <c r="A86" s="80"/>
      <c r="B86" s="279" t="s">
        <v>1218</v>
      </c>
      <c r="C86" s="273"/>
      <c r="D86" s="273">
        <v>0</v>
      </c>
      <c r="E86" s="273">
        <v>0</v>
      </c>
      <c r="F86" s="273">
        <v>0</v>
      </c>
      <c r="G86" s="273">
        <v>0</v>
      </c>
      <c r="H86" s="273">
        <v>0</v>
      </c>
      <c r="I86" s="273">
        <v>0</v>
      </c>
      <c r="J86" s="273">
        <v>0</v>
      </c>
      <c r="K86" s="273">
        <v>195</v>
      </c>
      <c r="L86" s="273">
        <v>2805</v>
      </c>
      <c r="M86" s="273"/>
      <c r="N86" s="273"/>
      <c r="O86" s="273"/>
      <c r="P86" s="273">
        <f t="shared" si="35"/>
        <v>3000</v>
      </c>
      <c r="Q86" s="79"/>
    </row>
    <row r="87" spans="1:17" ht="15.75" x14ac:dyDescent="0.3">
      <c r="A87" s="80"/>
      <c r="B87" s="279" t="s">
        <v>1219</v>
      </c>
      <c r="C87" s="273"/>
      <c r="D87" s="273">
        <v>0</v>
      </c>
      <c r="E87" s="273">
        <v>0</v>
      </c>
      <c r="F87" s="273">
        <v>0</v>
      </c>
      <c r="G87" s="273">
        <v>0</v>
      </c>
      <c r="H87" s="273">
        <v>0</v>
      </c>
      <c r="I87" s="273">
        <v>0</v>
      </c>
      <c r="J87" s="273">
        <v>0</v>
      </c>
      <c r="K87" s="273">
        <v>930</v>
      </c>
      <c r="L87" s="273">
        <v>1260</v>
      </c>
      <c r="M87" s="273"/>
      <c r="N87" s="273"/>
      <c r="O87" s="273"/>
      <c r="P87" s="273">
        <f t="shared" si="35"/>
        <v>2190</v>
      </c>
      <c r="Q87" s="79"/>
    </row>
    <row r="88" spans="1:17" ht="15.75" x14ac:dyDescent="0.3">
      <c r="A88" s="80"/>
      <c r="B88" s="279" t="s">
        <v>1220</v>
      </c>
      <c r="C88" s="273"/>
      <c r="D88" s="273">
        <v>0</v>
      </c>
      <c r="E88" s="273">
        <v>0</v>
      </c>
      <c r="F88" s="273">
        <v>0</v>
      </c>
      <c r="G88" s="273">
        <v>0</v>
      </c>
      <c r="H88" s="273">
        <v>0</v>
      </c>
      <c r="I88" s="273">
        <v>0</v>
      </c>
      <c r="J88" s="273">
        <v>0</v>
      </c>
      <c r="K88" s="273">
        <f>585+90</f>
        <v>675</v>
      </c>
      <c r="L88" s="273">
        <f>435+225</f>
        <v>660</v>
      </c>
      <c r="M88" s="273"/>
      <c r="N88" s="273"/>
      <c r="O88" s="273"/>
      <c r="P88" s="273">
        <f>SUM(D88:O88)</f>
        <v>1335</v>
      </c>
      <c r="Q88" s="79"/>
    </row>
    <row r="89" spans="1:17" ht="15.75" x14ac:dyDescent="0.3">
      <c r="A89" s="80"/>
      <c r="B89" s="279" t="s">
        <v>1221</v>
      </c>
      <c r="C89" s="273"/>
      <c r="D89" s="273">
        <v>0</v>
      </c>
      <c r="E89" s="273">
        <v>0</v>
      </c>
      <c r="F89" s="273">
        <v>0</v>
      </c>
      <c r="G89" s="273">
        <v>0</v>
      </c>
      <c r="H89" s="273">
        <v>0</v>
      </c>
      <c r="I89" s="273">
        <v>0</v>
      </c>
      <c r="J89" s="273">
        <v>0</v>
      </c>
      <c r="K89" s="273">
        <v>0</v>
      </c>
      <c r="L89" s="273">
        <v>285</v>
      </c>
      <c r="M89" s="273">
        <v>0</v>
      </c>
      <c r="N89" s="273">
        <v>0</v>
      </c>
      <c r="O89" s="273">
        <v>0</v>
      </c>
      <c r="P89" s="273">
        <f t="shared" ref="P89" si="36">SUM(D89:O89)</f>
        <v>285</v>
      </c>
      <c r="Q89" s="79"/>
    </row>
    <row r="90" spans="1:17" ht="15.75" x14ac:dyDescent="0.3">
      <c r="A90" s="80"/>
      <c r="B90" s="279" t="s">
        <v>1222</v>
      </c>
      <c r="C90" s="273"/>
      <c r="D90" s="273">
        <v>0</v>
      </c>
      <c r="E90" s="273">
        <v>0</v>
      </c>
      <c r="F90" s="273">
        <v>0</v>
      </c>
      <c r="G90" s="273">
        <v>0</v>
      </c>
      <c r="H90" s="273">
        <v>0</v>
      </c>
      <c r="I90" s="273">
        <v>0</v>
      </c>
      <c r="J90" s="273">
        <v>0</v>
      </c>
      <c r="K90" s="273">
        <v>0</v>
      </c>
      <c r="L90" s="273">
        <v>2835</v>
      </c>
      <c r="M90" s="273">
        <v>0</v>
      </c>
      <c r="N90" s="273">
        <v>0</v>
      </c>
      <c r="O90" s="273">
        <v>0</v>
      </c>
      <c r="P90" s="273">
        <f t="shared" ref="P90:P93" si="37">SUM(D90:O90)</f>
        <v>2835</v>
      </c>
      <c r="Q90" s="79"/>
    </row>
    <row r="91" spans="1:17" ht="15.75" x14ac:dyDescent="0.3">
      <c r="A91" s="80"/>
      <c r="B91" s="279" t="s">
        <v>1223</v>
      </c>
      <c r="C91" s="273"/>
      <c r="D91" s="273">
        <v>0</v>
      </c>
      <c r="E91" s="273">
        <v>0</v>
      </c>
      <c r="F91" s="273">
        <v>0</v>
      </c>
      <c r="G91" s="273">
        <v>0</v>
      </c>
      <c r="H91" s="273">
        <v>0</v>
      </c>
      <c r="I91" s="273">
        <v>0</v>
      </c>
      <c r="J91" s="273">
        <v>0</v>
      </c>
      <c r="K91" s="273">
        <v>0</v>
      </c>
      <c r="L91" s="273">
        <v>990</v>
      </c>
      <c r="M91" s="273">
        <v>0</v>
      </c>
      <c r="N91" s="273">
        <v>0</v>
      </c>
      <c r="O91" s="273">
        <v>0</v>
      </c>
      <c r="P91" s="273">
        <f t="shared" si="37"/>
        <v>990</v>
      </c>
      <c r="Q91" s="79"/>
    </row>
    <row r="92" spans="1:17" ht="15.75" x14ac:dyDescent="0.3">
      <c r="A92" s="80"/>
      <c r="B92" s="279" t="s">
        <v>1224</v>
      </c>
      <c r="C92" s="273"/>
      <c r="D92" s="273">
        <v>0</v>
      </c>
      <c r="E92" s="273">
        <v>0</v>
      </c>
      <c r="F92" s="273">
        <v>0</v>
      </c>
      <c r="G92" s="273">
        <v>0</v>
      </c>
      <c r="H92" s="273">
        <v>0</v>
      </c>
      <c r="I92" s="273">
        <v>0</v>
      </c>
      <c r="J92" s="273">
        <v>0</v>
      </c>
      <c r="K92" s="273">
        <v>0</v>
      </c>
      <c r="L92" s="273">
        <v>4320</v>
      </c>
      <c r="M92" s="273">
        <v>0</v>
      </c>
      <c r="N92" s="273">
        <v>0</v>
      </c>
      <c r="O92" s="273">
        <v>0</v>
      </c>
      <c r="P92" s="273">
        <f t="shared" si="37"/>
        <v>4320</v>
      </c>
      <c r="Q92" s="79"/>
    </row>
    <row r="93" spans="1:17" ht="15.75" x14ac:dyDescent="0.3">
      <c r="A93" s="80"/>
      <c r="D93" s="273">
        <v>0</v>
      </c>
      <c r="E93" s="273">
        <v>0</v>
      </c>
      <c r="F93" s="273">
        <v>0</v>
      </c>
      <c r="G93" s="273">
        <v>0</v>
      </c>
      <c r="H93" s="273">
        <v>0</v>
      </c>
      <c r="I93" s="273">
        <v>0</v>
      </c>
      <c r="J93" s="273">
        <v>0</v>
      </c>
      <c r="K93" s="273">
        <v>0</v>
      </c>
      <c r="L93" s="273">
        <v>0</v>
      </c>
      <c r="M93" s="273">
        <v>0</v>
      </c>
      <c r="N93" s="273">
        <v>0</v>
      </c>
      <c r="O93" s="273">
        <v>0</v>
      </c>
      <c r="P93" s="273">
        <f t="shared" si="37"/>
        <v>0</v>
      </c>
    </row>
    <row r="94" spans="1:17" x14ac:dyDescent="0.25">
      <c r="A94" s="81"/>
      <c r="B94" s="268" t="s">
        <v>1225</v>
      </c>
      <c r="C94" s="269">
        <v>196860</v>
      </c>
      <c r="D94" s="269">
        <f t="shared" ref="D94:P94" si="38">+D95+D106</f>
        <v>540</v>
      </c>
      <c r="E94" s="269">
        <f t="shared" si="38"/>
        <v>4575</v>
      </c>
      <c r="F94" s="269">
        <f t="shared" si="38"/>
        <v>30085</v>
      </c>
      <c r="G94" s="269">
        <f t="shared" si="38"/>
        <v>18615</v>
      </c>
      <c r="H94" s="269">
        <f t="shared" si="38"/>
        <v>9500</v>
      </c>
      <c r="I94" s="269">
        <f t="shared" si="38"/>
        <v>1320</v>
      </c>
      <c r="J94" s="269">
        <f t="shared" si="38"/>
        <v>1150</v>
      </c>
      <c r="K94" s="269">
        <f t="shared" si="38"/>
        <v>6160</v>
      </c>
      <c r="L94" s="269">
        <f t="shared" si="38"/>
        <v>21940</v>
      </c>
      <c r="M94" s="269">
        <f t="shared" si="38"/>
        <v>0</v>
      </c>
      <c r="N94" s="269">
        <f t="shared" si="38"/>
        <v>0</v>
      </c>
      <c r="O94" s="269">
        <f t="shared" si="38"/>
        <v>0</v>
      </c>
      <c r="P94" s="269">
        <f t="shared" si="38"/>
        <v>93885</v>
      </c>
      <c r="Q94" s="270">
        <f>+P94/C94</f>
        <v>0.47691252666869854</v>
      </c>
    </row>
    <row r="95" spans="1:17" x14ac:dyDescent="0.25">
      <c r="A95" s="81">
        <v>1</v>
      </c>
      <c r="B95" s="284" t="s">
        <v>1158</v>
      </c>
      <c r="C95" s="286">
        <v>0</v>
      </c>
      <c r="D95" s="286">
        <f t="shared" ref="D95:P95" si="39">SUM(D96:D105)</f>
        <v>45</v>
      </c>
      <c r="E95" s="286">
        <f t="shared" si="39"/>
        <v>60</v>
      </c>
      <c r="F95" s="286">
        <f t="shared" si="39"/>
        <v>135</v>
      </c>
      <c r="G95" s="286">
        <f t="shared" si="39"/>
        <v>1665</v>
      </c>
      <c r="H95" s="286">
        <f t="shared" si="39"/>
        <v>0</v>
      </c>
      <c r="I95" s="286">
        <f t="shared" si="39"/>
        <v>0</v>
      </c>
      <c r="J95" s="286">
        <f t="shared" si="39"/>
        <v>0</v>
      </c>
      <c r="K95" s="286">
        <f t="shared" si="39"/>
        <v>0</v>
      </c>
      <c r="L95" s="286">
        <f t="shared" si="39"/>
        <v>1440</v>
      </c>
      <c r="M95" s="286">
        <f t="shared" si="39"/>
        <v>0</v>
      </c>
      <c r="N95" s="286">
        <f t="shared" si="39"/>
        <v>0</v>
      </c>
      <c r="O95" s="286">
        <f t="shared" si="39"/>
        <v>0</v>
      </c>
      <c r="P95" s="286">
        <f t="shared" si="39"/>
        <v>3345</v>
      </c>
      <c r="Q95" s="25"/>
    </row>
    <row r="96" spans="1:17" ht="15.75" x14ac:dyDescent="0.3">
      <c r="A96" s="78">
        <v>1</v>
      </c>
      <c r="B96" s="194" t="s">
        <v>1226</v>
      </c>
      <c r="C96" s="273">
        <v>20700</v>
      </c>
      <c r="D96" s="273">
        <v>0</v>
      </c>
      <c r="E96" s="273">
        <v>60</v>
      </c>
      <c r="F96" s="273">
        <v>0</v>
      </c>
      <c r="G96" s="273">
        <v>0</v>
      </c>
      <c r="H96" s="273">
        <v>0</v>
      </c>
      <c r="I96" s="273">
        <v>0</v>
      </c>
      <c r="J96" s="273">
        <v>0</v>
      </c>
      <c r="K96" s="273">
        <v>0</v>
      </c>
      <c r="L96" s="273">
        <v>0</v>
      </c>
      <c r="M96" s="273">
        <v>0</v>
      </c>
      <c r="N96" s="273">
        <v>0</v>
      </c>
      <c r="O96" s="273">
        <v>0</v>
      </c>
      <c r="P96" s="273">
        <f t="shared" ref="P96:P136" si="40">SUM(D96:O96)</f>
        <v>60</v>
      </c>
      <c r="Q96" s="25"/>
    </row>
    <row r="97" spans="1:17" ht="15.75" x14ac:dyDescent="0.3">
      <c r="A97" s="78">
        <f>+A96+1</f>
        <v>2</v>
      </c>
      <c r="B97" s="194" t="s">
        <v>1227</v>
      </c>
      <c r="C97" s="273">
        <v>3000</v>
      </c>
      <c r="D97" s="273">
        <v>15</v>
      </c>
      <c r="E97" s="273">
        <v>0</v>
      </c>
      <c r="F97" s="273">
        <v>0</v>
      </c>
      <c r="G97" s="273">
        <v>0</v>
      </c>
      <c r="H97" s="273">
        <v>0</v>
      </c>
      <c r="I97" s="273">
        <v>0</v>
      </c>
      <c r="J97" s="273">
        <v>0</v>
      </c>
      <c r="K97" s="273">
        <v>0</v>
      </c>
      <c r="L97" s="273">
        <v>0</v>
      </c>
      <c r="M97" s="273">
        <v>0</v>
      </c>
      <c r="N97" s="273">
        <v>0</v>
      </c>
      <c r="O97" s="273">
        <v>0</v>
      </c>
      <c r="P97" s="273">
        <f>SUM(D97:O97)</f>
        <v>15</v>
      </c>
      <c r="Q97" s="25"/>
    </row>
    <row r="98" spans="1:17" ht="25.5" x14ac:dyDescent="0.3">
      <c r="A98" s="78">
        <f t="shared" ref="A98:A105" si="41">+A97+1</f>
        <v>3</v>
      </c>
      <c r="B98" s="194" t="s">
        <v>1228</v>
      </c>
      <c r="C98" s="273">
        <v>6000</v>
      </c>
      <c r="D98" s="273">
        <v>0</v>
      </c>
      <c r="E98" s="273">
        <v>0</v>
      </c>
      <c r="F98" s="273">
        <v>135</v>
      </c>
      <c r="G98" s="273">
        <v>1665</v>
      </c>
      <c r="H98" s="273">
        <v>0</v>
      </c>
      <c r="I98" s="273">
        <v>0</v>
      </c>
      <c r="J98" s="273">
        <v>0</v>
      </c>
      <c r="K98" s="273">
        <v>0</v>
      </c>
      <c r="L98" s="273">
        <v>0</v>
      </c>
      <c r="M98" s="273">
        <v>0</v>
      </c>
      <c r="N98" s="273">
        <v>0</v>
      </c>
      <c r="O98" s="273">
        <v>0</v>
      </c>
      <c r="P98" s="273">
        <f>SUM(D98:O98)</f>
        <v>1800</v>
      </c>
      <c r="Q98" s="25"/>
    </row>
    <row r="99" spans="1:17" ht="15.75" x14ac:dyDescent="0.3">
      <c r="A99" s="78">
        <f t="shared" si="41"/>
        <v>4</v>
      </c>
      <c r="B99" s="194" t="s">
        <v>1229</v>
      </c>
      <c r="C99" s="273">
        <v>10500</v>
      </c>
      <c r="D99" s="273">
        <v>30</v>
      </c>
      <c r="E99" s="273">
        <v>0</v>
      </c>
      <c r="F99" s="273">
        <v>0</v>
      </c>
      <c r="G99" s="273">
        <v>0</v>
      </c>
      <c r="H99" s="273">
        <v>0</v>
      </c>
      <c r="I99" s="273">
        <v>0</v>
      </c>
      <c r="J99" s="273">
        <v>0</v>
      </c>
      <c r="K99" s="273">
        <v>0</v>
      </c>
      <c r="L99" s="273">
        <v>0</v>
      </c>
      <c r="M99" s="273">
        <v>0</v>
      </c>
      <c r="N99" s="273">
        <v>0</v>
      </c>
      <c r="O99" s="273">
        <v>0</v>
      </c>
      <c r="P99" s="273">
        <f>SUM(D99:O99)</f>
        <v>30</v>
      </c>
      <c r="Q99" s="25"/>
    </row>
    <row r="100" spans="1:17" ht="15.75" x14ac:dyDescent="0.3">
      <c r="A100" s="78">
        <f t="shared" si="41"/>
        <v>5</v>
      </c>
      <c r="B100" s="194" t="s">
        <v>1230</v>
      </c>
      <c r="C100" s="273">
        <v>3750</v>
      </c>
      <c r="D100" s="273">
        <v>0</v>
      </c>
      <c r="E100" s="273">
        <v>0</v>
      </c>
      <c r="F100" s="273">
        <v>0</v>
      </c>
      <c r="G100" s="273">
        <v>0</v>
      </c>
      <c r="H100" s="273">
        <v>0</v>
      </c>
      <c r="I100" s="273">
        <v>0</v>
      </c>
      <c r="J100" s="273">
        <v>0</v>
      </c>
      <c r="K100" s="273">
        <v>0</v>
      </c>
      <c r="L100" s="273">
        <v>1440</v>
      </c>
      <c r="M100" s="273">
        <v>0</v>
      </c>
      <c r="N100" s="273">
        <v>0</v>
      </c>
      <c r="O100" s="273">
        <v>0</v>
      </c>
      <c r="P100" s="273">
        <f t="shared" si="40"/>
        <v>1440</v>
      </c>
      <c r="Q100" s="25"/>
    </row>
    <row r="101" spans="1:17" ht="15.75" x14ac:dyDescent="0.3">
      <c r="A101" s="78">
        <f t="shared" si="41"/>
        <v>6</v>
      </c>
      <c r="B101" s="194" t="s">
        <v>1231</v>
      </c>
      <c r="C101" s="273">
        <v>3000</v>
      </c>
      <c r="D101" s="273">
        <v>0</v>
      </c>
      <c r="E101" s="273">
        <v>0</v>
      </c>
      <c r="F101" s="273">
        <v>0</v>
      </c>
      <c r="G101" s="273">
        <v>0</v>
      </c>
      <c r="H101" s="273">
        <v>0</v>
      </c>
      <c r="I101" s="273">
        <v>0</v>
      </c>
      <c r="J101" s="273">
        <v>0</v>
      </c>
      <c r="K101" s="273">
        <v>0</v>
      </c>
      <c r="L101" s="273">
        <v>0</v>
      </c>
      <c r="M101" s="273">
        <v>0</v>
      </c>
      <c r="N101" s="273">
        <v>0</v>
      </c>
      <c r="O101" s="273">
        <v>0</v>
      </c>
      <c r="P101" s="273">
        <f t="shared" si="40"/>
        <v>0</v>
      </c>
      <c r="Q101" s="25"/>
    </row>
    <row r="102" spans="1:17" ht="25.5" x14ac:dyDescent="0.3">
      <c r="A102" s="78">
        <f t="shared" si="41"/>
        <v>7</v>
      </c>
      <c r="B102" s="194" t="s">
        <v>1232</v>
      </c>
      <c r="C102" s="273">
        <v>6600</v>
      </c>
      <c r="D102" s="273">
        <v>0</v>
      </c>
      <c r="E102" s="273">
        <v>0</v>
      </c>
      <c r="F102" s="273">
        <v>0</v>
      </c>
      <c r="G102" s="273">
        <v>0</v>
      </c>
      <c r="H102" s="273">
        <v>0</v>
      </c>
      <c r="I102" s="273">
        <v>0</v>
      </c>
      <c r="J102" s="273">
        <v>0</v>
      </c>
      <c r="K102" s="273">
        <v>0</v>
      </c>
      <c r="L102" s="273">
        <v>0</v>
      </c>
      <c r="M102" s="273">
        <v>0</v>
      </c>
      <c r="N102" s="273">
        <v>0</v>
      </c>
      <c r="O102" s="273">
        <v>0</v>
      </c>
      <c r="P102" s="273">
        <f t="shared" si="40"/>
        <v>0</v>
      </c>
      <c r="Q102" s="25"/>
    </row>
    <row r="103" spans="1:17" ht="25.5" x14ac:dyDescent="0.3">
      <c r="A103" s="78">
        <f t="shared" si="41"/>
        <v>8</v>
      </c>
      <c r="B103" s="194" t="s">
        <v>1233</v>
      </c>
      <c r="C103" s="273">
        <v>6300</v>
      </c>
      <c r="D103" s="273">
        <v>0</v>
      </c>
      <c r="E103" s="273">
        <v>0</v>
      </c>
      <c r="F103" s="273">
        <v>0</v>
      </c>
      <c r="G103" s="273">
        <v>0</v>
      </c>
      <c r="H103" s="273">
        <v>0</v>
      </c>
      <c r="I103" s="273">
        <v>0</v>
      </c>
      <c r="J103" s="273">
        <v>0</v>
      </c>
      <c r="K103" s="273">
        <v>0</v>
      </c>
      <c r="L103" s="273">
        <v>0</v>
      </c>
      <c r="M103" s="273">
        <v>0</v>
      </c>
      <c r="N103" s="273">
        <v>0</v>
      </c>
      <c r="O103" s="273">
        <v>0</v>
      </c>
      <c r="P103" s="273">
        <f t="shared" si="40"/>
        <v>0</v>
      </c>
      <c r="Q103" s="25"/>
    </row>
    <row r="104" spans="1:17" ht="18" customHeight="1" x14ac:dyDescent="0.3">
      <c r="A104" s="78">
        <f t="shared" si="41"/>
        <v>9</v>
      </c>
      <c r="B104" s="194" t="s">
        <v>1234</v>
      </c>
      <c r="C104" s="273">
        <v>3600</v>
      </c>
      <c r="D104" s="273">
        <v>0</v>
      </c>
      <c r="E104" s="273">
        <v>0</v>
      </c>
      <c r="F104" s="273">
        <v>0</v>
      </c>
      <c r="G104" s="273">
        <v>0</v>
      </c>
      <c r="H104" s="273">
        <v>0</v>
      </c>
      <c r="I104" s="273">
        <v>0</v>
      </c>
      <c r="J104" s="273">
        <v>0</v>
      </c>
      <c r="K104" s="273">
        <v>0</v>
      </c>
      <c r="L104" s="273">
        <v>0</v>
      </c>
      <c r="M104" s="273">
        <v>0</v>
      </c>
      <c r="N104" s="273">
        <v>0</v>
      </c>
      <c r="O104" s="273">
        <v>0</v>
      </c>
      <c r="P104" s="273">
        <f t="shared" si="40"/>
        <v>0</v>
      </c>
      <c r="Q104" s="25"/>
    </row>
    <row r="105" spans="1:17" ht="25.5" x14ac:dyDescent="0.3">
      <c r="A105" s="78">
        <f t="shared" si="41"/>
        <v>10</v>
      </c>
      <c r="B105" s="194" t="s">
        <v>1235</v>
      </c>
      <c r="C105" s="273">
        <v>8400</v>
      </c>
      <c r="D105" s="273">
        <v>0</v>
      </c>
      <c r="E105" s="273">
        <v>0</v>
      </c>
      <c r="F105" s="273">
        <v>0</v>
      </c>
      <c r="G105" s="273">
        <v>0</v>
      </c>
      <c r="H105" s="273">
        <v>0</v>
      </c>
      <c r="I105" s="273">
        <v>0</v>
      </c>
      <c r="J105" s="273">
        <v>0</v>
      </c>
      <c r="K105" s="273">
        <v>0</v>
      </c>
      <c r="L105" s="273">
        <v>0</v>
      </c>
      <c r="M105" s="273">
        <v>0</v>
      </c>
      <c r="N105" s="273">
        <v>0</v>
      </c>
      <c r="O105" s="273">
        <v>0</v>
      </c>
      <c r="P105" s="273">
        <f t="shared" si="40"/>
        <v>0</v>
      </c>
      <c r="Q105" s="25"/>
    </row>
    <row r="106" spans="1:17" x14ac:dyDescent="0.25">
      <c r="A106" s="81"/>
      <c r="B106" s="284" t="s">
        <v>1163</v>
      </c>
      <c r="C106" s="286">
        <v>0</v>
      </c>
      <c r="D106" s="286">
        <f t="shared" ref="D106:P106" si="42">SUM(D107:D146)</f>
        <v>495</v>
      </c>
      <c r="E106" s="286">
        <f t="shared" si="42"/>
        <v>4515</v>
      </c>
      <c r="F106" s="286">
        <f t="shared" si="42"/>
        <v>29950</v>
      </c>
      <c r="G106" s="286">
        <f t="shared" si="42"/>
        <v>16950</v>
      </c>
      <c r="H106" s="286">
        <f t="shared" si="42"/>
        <v>9500</v>
      </c>
      <c r="I106" s="286">
        <f t="shared" si="42"/>
        <v>1320</v>
      </c>
      <c r="J106" s="286">
        <f t="shared" si="42"/>
        <v>1150</v>
      </c>
      <c r="K106" s="286">
        <f t="shared" si="42"/>
        <v>6160</v>
      </c>
      <c r="L106" s="286">
        <f t="shared" si="42"/>
        <v>20500</v>
      </c>
      <c r="M106" s="286">
        <f t="shared" si="42"/>
        <v>0</v>
      </c>
      <c r="N106" s="286">
        <f t="shared" si="42"/>
        <v>0</v>
      </c>
      <c r="O106" s="286">
        <f t="shared" si="42"/>
        <v>0</v>
      </c>
      <c r="P106" s="286">
        <f t="shared" si="42"/>
        <v>90540</v>
      </c>
      <c r="Q106" s="25"/>
    </row>
    <row r="107" spans="1:17" ht="24" x14ac:dyDescent="0.3">
      <c r="A107" s="78">
        <v>1</v>
      </c>
      <c r="B107" s="287" t="s">
        <v>1236</v>
      </c>
      <c r="C107" s="288">
        <v>19500</v>
      </c>
      <c r="D107" s="273">
        <v>30</v>
      </c>
      <c r="E107" s="273">
        <v>1710</v>
      </c>
      <c r="F107" s="273">
        <v>10365</v>
      </c>
      <c r="G107" s="273">
        <v>15</v>
      </c>
      <c r="H107" s="273">
        <v>0</v>
      </c>
      <c r="I107" s="273">
        <v>0</v>
      </c>
      <c r="J107" s="273">
        <v>0</v>
      </c>
      <c r="K107" s="273">
        <v>4035</v>
      </c>
      <c r="L107" s="273">
        <v>8835</v>
      </c>
      <c r="M107" s="273">
        <v>0</v>
      </c>
      <c r="N107" s="273">
        <v>0</v>
      </c>
      <c r="O107" s="273">
        <v>0</v>
      </c>
      <c r="P107" s="273">
        <f t="shared" si="40"/>
        <v>24990</v>
      </c>
      <c r="Q107" s="25"/>
    </row>
    <row r="108" spans="1:17" ht="18.75" customHeight="1" x14ac:dyDescent="0.3">
      <c r="A108" s="78">
        <f>+A107+1</f>
        <v>2</v>
      </c>
      <c r="B108" s="194" t="s">
        <v>1237</v>
      </c>
      <c r="C108" s="273">
        <v>13500</v>
      </c>
      <c r="D108" s="273">
        <v>90</v>
      </c>
      <c r="E108" s="273">
        <v>30</v>
      </c>
      <c r="F108" s="273">
        <v>5280</v>
      </c>
      <c r="G108" s="273">
        <v>1170</v>
      </c>
      <c r="H108" s="273">
        <v>0</v>
      </c>
      <c r="I108" s="273">
        <v>0</v>
      </c>
      <c r="J108" s="273">
        <v>0</v>
      </c>
      <c r="K108" s="273">
        <v>0</v>
      </c>
      <c r="L108" s="273">
        <v>3675</v>
      </c>
      <c r="M108" s="273">
        <v>0</v>
      </c>
      <c r="N108" s="273">
        <v>0</v>
      </c>
      <c r="O108" s="273">
        <v>0</v>
      </c>
      <c r="P108" s="273">
        <f t="shared" si="40"/>
        <v>10245</v>
      </c>
      <c r="Q108" s="25"/>
    </row>
    <row r="109" spans="1:17" ht="24" x14ac:dyDescent="0.3">
      <c r="A109" s="78">
        <f t="shared" ref="A109:A140" si="43">+A108+1</f>
        <v>3</v>
      </c>
      <c r="B109" s="287" t="s">
        <v>1238</v>
      </c>
      <c r="C109" s="288">
        <v>3000</v>
      </c>
      <c r="D109" s="273">
        <v>15</v>
      </c>
      <c r="E109" s="273">
        <v>30</v>
      </c>
      <c r="F109" s="273">
        <v>105</v>
      </c>
      <c r="G109" s="273">
        <v>660</v>
      </c>
      <c r="H109" s="273">
        <v>570</v>
      </c>
      <c r="I109" s="273">
        <v>0</v>
      </c>
      <c r="J109" s="273">
        <v>0</v>
      </c>
      <c r="K109" s="273">
        <v>30</v>
      </c>
      <c r="L109" s="273">
        <v>2535</v>
      </c>
      <c r="M109" s="273">
        <v>0</v>
      </c>
      <c r="N109" s="273">
        <v>0</v>
      </c>
      <c r="O109" s="273">
        <v>0</v>
      </c>
      <c r="P109" s="273">
        <f t="shared" si="40"/>
        <v>3945</v>
      </c>
      <c r="Q109" s="25"/>
    </row>
    <row r="110" spans="1:17" ht="24" x14ac:dyDescent="0.3">
      <c r="A110" s="78">
        <f t="shared" si="43"/>
        <v>4</v>
      </c>
      <c r="B110" s="287" t="s">
        <v>1239</v>
      </c>
      <c r="C110" s="288">
        <v>3000</v>
      </c>
      <c r="D110" s="273">
        <v>0</v>
      </c>
      <c r="E110" s="273">
        <v>0</v>
      </c>
      <c r="F110" s="273">
        <v>225</v>
      </c>
      <c r="G110" s="273">
        <v>1035</v>
      </c>
      <c r="H110" s="273">
        <v>0</v>
      </c>
      <c r="I110" s="273">
        <v>0</v>
      </c>
      <c r="J110" s="273">
        <v>0</v>
      </c>
      <c r="K110" s="273">
        <v>0</v>
      </c>
      <c r="L110" s="273">
        <v>0</v>
      </c>
      <c r="M110" s="273">
        <v>0</v>
      </c>
      <c r="N110" s="273">
        <v>0</v>
      </c>
      <c r="O110" s="273">
        <v>0</v>
      </c>
      <c r="P110" s="273">
        <f t="shared" si="40"/>
        <v>1260</v>
      </c>
      <c r="Q110" s="25"/>
    </row>
    <row r="111" spans="1:17" ht="21.75" customHeight="1" x14ac:dyDescent="0.3">
      <c r="A111" s="78">
        <f t="shared" si="43"/>
        <v>5</v>
      </c>
      <c r="B111" s="287" t="s">
        <v>1240</v>
      </c>
      <c r="C111" s="288">
        <v>3000</v>
      </c>
      <c r="D111" s="273">
        <v>0</v>
      </c>
      <c r="E111" s="273">
        <v>0</v>
      </c>
      <c r="F111" s="273">
        <v>15</v>
      </c>
      <c r="G111" s="273">
        <v>330</v>
      </c>
      <c r="H111" s="273">
        <v>1665</v>
      </c>
      <c r="I111" s="273">
        <v>0</v>
      </c>
      <c r="J111" s="273">
        <v>0</v>
      </c>
      <c r="K111" s="273">
        <v>0</v>
      </c>
      <c r="L111" s="273">
        <v>0</v>
      </c>
      <c r="M111" s="273">
        <v>0</v>
      </c>
      <c r="N111" s="273">
        <v>0</v>
      </c>
      <c r="O111" s="273">
        <v>0</v>
      </c>
      <c r="P111" s="273">
        <f t="shared" si="40"/>
        <v>2010</v>
      </c>
      <c r="Q111" s="25"/>
    </row>
    <row r="112" spans="1:17" ht="25.5" x14ac:dyDescent="0.3">
      <c r="A112" s="78">
        <f t="shared" si="43"/>
        <v>6</v>
      </c>
      <c r="B112" s="271" t="s">
        <v>1241</v>
      </c>
      <c r="C112" s="277">
        <v>3000</v>
      </c>
      <c r="D112" s="273">
        <v>0</v>
      </c>
      <c r="E112" s="273">
        <v>0</v>
      </c>
      <c r="F112" s="273">
        <v>0</v>
      </c>
      <c r="G112" s="273">
        <v>855</v>
      </c>
      <c r="H112" s="273">
        <v>0</v>
      </c>
      <c r="I112" s="273">
        <v>0</v>
      </c>
      <c r="J112" s="273">
        <v>0</v>
      </c>
      <c r="K112" s="273">
        <v>0</v>
      </c>
      <c r="L112" s="273">
        <v>0</v>
      </c>
      <c r="M112" s="273">
        <v>0</v>
      </c>
      <c r="N112" s="273">
        <v>0</v>
      </c>
      <c r="O112" s="273">
        <v>0</v>
      </c>
      <c r="P112" s="273">
        <f t="shared" si="40"/>
        <v>855</v>
      </c>
      <c r="Q112" s="25"/>
    </row>
    <row r="113" spans="1:17" ht="15.75" x14ac:dyDescent="0.3">
      <c r="A113" s="78">
        <f t="shared" si="43"/>
        <v>7</v>
      </c>
      <c r="B113" s="276" t="s">
        <v>1242</v>
      </c>
      <c r="C113" s="277">
        <v>1800</v>
      </c>
      <c r="D113" s="273">
        <v>0</v>
      </c>
      <c r="E113" s="273">
        <v>0</v>
      </c>
      <c r="F113" s="273">
        <v>45</v>
      </c>
      <c r="G113" s="273">
        <v>480</v>
      </c>
      <c r="H113" s="273">
        <v>225</v>
      </c>
      <c r="I113" s="273">
        <v>0</v>
      </c>
      <c r="J113" s="273">
        <v>0</v>
      </c>
      <c r="K113" s="273">
        <v>0</v>
      </c>
      <c r="L113" s="273">
        <v>0</v>
      </c>
      <c r="M113" s="273">
        <v>0</v>
      </c>
      <c r="N113" s="273">
        <v>0</v>
      </c>
      <c r="O113" s="273">
        <v>0</v>
      </c>
      <c r="P113" s="273">
        <f t="shared" ref="P113" si="44">SUM(D113:O113)</f>
        <v>750</v>
      </c>
      <c r="Q113" s="25"/>
    </row>
    <row r="114" spans="1:17" ht="15.75" x14ac:dyDescent="0.3">
      <c r="A114" s="78">
        <f t="shared" si="43"/>
        <v>8</v>
      </c>
      <c r="B114" s="276" t="s">
        <v>1243</v>
      </c>
      <c r="C114" s="277">
        <v>3000</v>
      </c>
      <c r="D114" s="273">
        <v>75</v>
      </c>
      <c r="E114" s="273">
        <v>0</v>
      </c>
      <c r="F114" s="273">
        <v>375</v>
      </c>
      <c r="G114" s="273">
        <v>375</v>
      </c>
      <c r="H114" s="273">
        <v>780</v>
      </c>
      <c r="I114" s="273">
        <v>0</v>
      </c>
      <c r="J114" s="273">
        <v>0</v>
      </c>
      <c r="K114" s="273">
        <v>0</v>
      </c>
      <c r="L114" s="273">
        <v>0</v>
      </c>
      <c r="M114" s="273">
        <v>0</v>
      </c>
      <c r="N114" s="273">
        <v>0</v>
      </c>
      <c r="O114" s="273">
        <v>0</v>
      </c>
      <c r="P114" s="273">
        <f t="shared" si="40"/>
        <v>1605</v>
      </c>
      <c r="Q114" s="25"/>
    </row>
    <row r="115" spans="1:17" ht="15.75" x14ac:dyDescent="0.3">
      <c r="A115" s="78">
        <f t="shared" si="43"/>
        <v>9</v>
      </c>
      <c r="B115" s="276" t="s">
        <v>1244</v>
      </c>
      <c r="C115" s="277">
        <v>3000</v>
      </c>
      <c r="D115" s="273">
        <v>0</v>
      </c>
      <c r="E115" s="273">
        <v>30</v>
      </c>
      <c r="F115" s="273">
        <v>0</v>
      </c>
      <c r="G115" s="273">
        <v>0</v>
      </c>
      <c r="H115" s="273">
        <v>795</v>
      </c>
      <c r="I115" s="273">
        <v>1035</v>
      </c>
      <c r="J115" s="273">
        <v>0</v>
      </c>
      <c r="K115" s="273">
        <v>0</v>
      </c>
      <c r="L115" s="273">
        <v>0</v>
      </c>
      <c r="M115" s="273">
        <v>0</v>
      </c>
      <c r="N115" s="273">
        <v>0</v>
      </c>
      <c r="O115" s="273">
        <v>0</v>
      </c>
      <c r="P115" s="273">
        <f t="shared" si="40"/>
        <v>1860</v>
      </c>
      <c r="Q115" s="25"/>
    </row>
    <row r="116" spans="1:17" ht="15.75" x14ac:dyDescent="0.3">
      <c r="A116" s="78">
        <f t="shared" si="43"/>
        <v>10</v>
      </c>
      <c r="B116" s="271" t="s">
        <v>1245</v>
      </c>
      <c r="C116" s="277">
        <v>7500</v>
      </c>
      <c r="D116" s="273">
        <v>240</v>
      </c>
      <c r="E116" s="273">
        <v>2670</v>
      </c>
      <c r="F116" s="273">
        <v>0</v>
      </c>
      <c r="G116" s="273">
        <v>0</v>
      </c>
      <c r="H116" s="273">
        <v>15</v>
      </c>
      <c r="I116" s="273">
        <v>0</v>
      </c>
      <c r="J116" s="273">
        <v>30</v>
      </c>
      <c r="K116" s="273">
        <v>1905</v>
      </c>
      <c r="L116" s="273">
        <v>0</v>
      </c>
      <c r="M116" s="273">
        <v>0</v>
      </c>
      <c r="N116" s="273">
        <v>0</v>
      </c>
      <c r="O116" s="273">
        <v>0</v>
      </c>
      <c r="P116" s="273">
        <f t="shared" si="40"/>
        <v>4860</v>
      </c>
      <c r="Q116" s="25"/>
    </row>
    <row r="117" spans="1:17" ht="15.75" x14ac:dyDescent="0.3">
      <c r="A117" s="78">
        <f t="shared" si="43"/>
        <v>11</v>
      </c>
      <c r="B117" s="271" t="s">
        <v>1246</v>
      </c>
      <c r="C117" s="277">
        <v>4500</v>
      </c>
      <c r="D117" s="273">
        <v>0</v>
      </c>
      <c r="E117" s="273">
        <v>15</v>
      </c>
      <c r="F117" s="273">
        <v>210</v>
      </c>
      <c r="G117" s="273">
        <v>1755</v>
      </c>
      <c r="H117" s="273">
        <v>285</v>
      </c>
      <c r="I117" s="273">
        <v>0</v>
      </c>
      <c r="J117" s="273">
        <v>0</v>
      </c>
      <c r="K117" s="273">
        <v>0</v>
      </c>
      <c r="L117" s="273">
        <v>15</v>
      </c>
      <c r="M117" s="273">
        <v>0</v>
      </c>
      <c r="N117" s="273">
        <v>0</v>
      </c>
      <c r="O117" s="273">
        <v>0</v>
      </c>
      <c r="P117" s="273">
        <f t="shared" si="40"/>
        <v>2280</v>
      </c>
      <c r="Q117" s="25"/>
    </row>
    <row r="118" spans="1:17" ht="15.75" x14ac:dyDescent="0.3">
      <c r="A118" s="78">
        <f t="shared" si="43"/>
        <v>12</v>
      </c>
      <c r="B118" s="287" t="s">
        <v>1247</v>
      </c>
      <c r="C118" s="277"/>
      <c r="D118" s="273">
        <v>0</v>
      </c>
      <c r="E118" s="273">
        <v>0</v>
      </c>
      <c r="F118" s="273">
        <v>15</v>
      </c>
      <c r="G118" s="273">
        <v>0</v>
      </c>
      <c r="H118" s="273">
        <v>0</v>
      </c>
      <c r="I118" s="273">
        <v>0</v>
      </c>
      <c r="J118" s="273">
        <v>0</v>
      </c>
      <c r="K118" s="273">
        <v>0</v>
      </c>
      <c r="L118" s="273">
        <v>0</v>
      </c>
      <c r="M118" s="273">
        <v>0</v>
      </c>
      <c r="N118" s="273">
        <v>0</v>
      </c>
      <c r="O118" s="273">
        <v>0</v>
      </c>
      <c r="P118" s="273">
        <f t="shared" si="40"/>
        <v>15</v>
      </c>
      <c r="Q118" s="25"/>
    </row>
    <row r="119" spans="1:17" ht="15.75" x14ac:dyDescent="0.3">
      <c r="A119" s="78">
        <f t="shared" si="43"/>
        <v>13</v>
      </c>
      <c r="B119" s="287" t="s">
        <v>1248</v>
      </c>
      <c r="C119" s="277"/>
      <c r="D119" s="273">
        <v>0</v>
      </c>
      <c r="E119" s="273">
        <v>0</v>
      </c>
      <c r="F119" s="273">
        <v>420</v>
      </c>
      <c r="G119" s="273">
        <v>340</v>
      </c>
      <c r="H119" s="273">
        <v>440</v>
      </c>
      <c r="I119" s="273">
        <v>0</v>
      </c>
      <c r="J119" s="273">
        <f>700+120</f>
        <v>820</v>
      </c>
      <c r="K119" s="273">
        <v>0</v>
      </c>
      <c r="L119" s="273">
        <v>0</v>
      </c>
      <c r="M119" s="273">
        <v>0</v>
      </c>
      <c r="N119" s="273">
        <v>0</v>
      </c>
      <c r="O119" s="273">
        <v>0</v>
      </c>
      <c r="P119" s="273">
        <f t="shared" si="40"/>
        <v>2020</v>
      </c>
      <c r="Q119" s="25"/>
    </row>
    <row r="120" spans="1:17" ht="15.75" x14ac:dyDescent="0.3">
      <c r="A120" s="78">
        <f t="shared" si="43"/>
        <v>14</v>
      </c>
      <c r="B120" s="287" t="s">
        <v>1249</v>
      </c>
      <c r="C120" s="277"/>
      <c r="D120" s="273">
        <v>0</v>
      </c>
      <c r="E120" s="273">
        <v>0</v>
      </c>
      <c r="F120" s="273">
        <v>220</v>
      </c>
      <c r="G120" s="273">
        <v>120</v>
      </c>
      <c r="H120" s="273">
        <v>260</v>
      </c>
      <c r="I120" s="273">
        <v>0</v>
      </c>
      <c r="J120" s="273">
        <v>280</v>
      </c>
      <c r="K120" s="273">
        <v>20</v>
      </c>
      <c r="L120" s="273">
        <v>0</v>
      </c>
      <c r="M120" s="273">
        <v>0</v>
      </c>
      <c r="N120" s="273">
        <v>0</v>
      </c>
      <c r="O120" s="273">
        <v>0</v>
      </c>
      <c r="P120" s="273">
        <f t="shared" si="40"/>
        <v>900</v>
      </c>
      <c r="Q120" s="25"/>
    </row>
    <row r="121" spans="1:17" ht="15.75" x14ac:dyDescent="0.3">
      <c r="A121" s="78">
        <f t="shared" si="43"/>
        <v>15</v>
      </c>
      <c r="B121" s="287" t="s">
        <v>1250</v>
      </c>
      <c r="C121" s="277"/>
      <c r="D121" s="273">
        <v>0</v>
      </c>
      <c r="E121" s="273">
        <v>0</v>
      </c>
      <c r="F121" s="273">
        <v>20</v>
      </c>
      <c r="G121" s="273">
        <v>80</v>
      </c>
      <c r="H121" s="273">
        <v>120</v>
      </c>
      <c r="I121" s="273">
        <v>0</v>
      </c>
      <c r="J121" s="273">
        <v>0</v>
      </c>
      <c r="K121" s="273">
        <v>0</v>
      </c>
      <c r="L121" s="273">
        <v>0</v>
      </c>
      <c r="M121" s="273">
        <v>0</v>
      </c>
      <c r="N121" s="273">
        <v>0</v>
      </c>
      <c r="O121" s="273">
        <v>0</v>
      </c>
      <c r="P121" s="273">
        <f t="shared" si="40"/>
        <v>220</v>
      </c>
      <c r="Q121" s="25"/>
    </row>
    <row r="122" spans="1:17" ht="15.75" x14ac:dyDescent="0.3">
      <c r="A122" s="78">
        <f t="shared" si="43"/>
        <v>16</v>
      </c>
      <c r="B122" s="287" t="s">
        <v>1251</v>
      </c>
      <c r="C122" s="277"/>
      <c r="D122" s="273">
        <v>0</v>
      </c>
      <c r="E122" s="273">
        <v>0</v>
      </c>
      <c r="F122" s="273">
        <v>0</v>
      </c>
      <c r="G122" s="273">
        <v>20</v>
      </c>
      <c r="H122" s="273">
        <v>0</v>
      </c>
      <c r="I122" s="273">
        <v>0</v>
      </c>
      <c r="J122" s="273">
        <v>0</v>
      </c>
      <c r="K122" s="273">
        <v>0</v>
      </c>
      <c r="L122" s="273">
        <v>0</v>
      </c>
      <c r="M122" s="273">
        <v>0</v>
      </c>
      <c r="N122" s="273">
        <v>0</v>
      </c>
      <c r="O122" s="273">
        <v>0</v>
      </c>
      <c r="P122" s="273">
        <f t="shared" ref="P122" si="45">SUM(D122:O122)</f>
        <v>20</v>
      </c>
      <c r="Q122" s="25"/>
    </row>
    <row r="123" spans="1:17" ht="24" x14ac:dyDescent="0.3">
      <c r="A123" s="78">
        <f t="shared" si="43"/>
        <v>17</v>
      </c>
      <c r="B123" s="287" t="s">
        <v>1252</v>
      </c>
      <c r="C123" s="277"/>
      <c r="D123" s="273">
        <v>0</v>
      </c>
      <c r="E123" s="273">
        <v>0</v>
      </c>
      <c r="F123" s="273">
        <v>100</v>
      </c>
      <c r="G123" s="273">
        <v>140</v>
      </c>
      <c r="H123" s="273">
        <v>60</v>
      </c>
      <c r="I123" s="273">
        <v>0</v>
      </c>
      <c r="J123" s="273">
        <v>0</v>
      </c>
      <c r="K123" s="273">
        <v>0</v>
      </c>
      <c r="L123" s="273">
        <v>20</v>
      </c>
      <c r="M123" s="273">
        <v>0</v>
      </c>
      <c r="N123" s="273">
        <v>0</v>
      </c>
      <c r="O123" s="273">
        <v>0</v>
      </c>
      <c r="P123" s="273">
        <f>SUM(D123:O123)</f>
        <v>320</v>
      </c>
      <c r="Q123" s="25"/>
    </row>
    <row r="124" spans="1:17" ht="15.75" x14ac:dyDescent="0.3">
      <c r="A124" s="78">
        <f t="shared" si="43"/>
        <v>18</v>
      </c>
      <c r="B124" s="287" t="s">
        <v>1253</v>
      </c>
      <c r="C124" s="277"/>
      <c r="D124" s="273">
        <v>0</v>
      </c>
      <c r="E124" s="273">
        <v>0</v>
      </c>
      <c r="F124" s="273">
        <v>70</v>
      </c>
      <c r="G124" s="273">
        <v>0</v>
      </c>
      <c r="H124" s="273">
        <v>0</v>
      </c>
      <c r="I124" s="273">
        <v>0</v>
      </c>
      <c r="J124" s="273">
        <v>0</v>
      </c>
      <c r="K124" s="273">
        <v>0</v>
      </c>
      <c r="L124" s="273">
        <v>0</v>
      </c>
      <c r="M124" s="273">
        <v>0</v>
      </c>
      <c r="N124" s="273">
        <v>0</v>
      </c>
      <c r="O124" s="273">
        <v>0</v>
      </c>
      <c r="P124" s="273">
        <f>SUM(D124:O124)</f>
        <v>70</v>
      </c>
      <c r="Q124" s="25"/>
    </row>
    <row r="125" spans="1:17" ht="24" x14ac:dyDescent="0.3">
      <c r="A125" s="78">
        <f t="shared" si="43"/>
        <v>19</v>
      </c>
      <c r="B125" s="287" t="s">
        <v>1254</v>
      </c>
      <c r="C125" s="277"/>
      <c r="D125" s="273">
        <v>0</v>
      </c>
      <c r="E125" s="273">
        <v>0</v>
      </c>
      <c r="F125" s="273">
        <v>500</v>
      </c>
      <c r="G125" s="273">
        <v>160</v>
      </c>
      <c r="H125" s="273">
        <v>640</v>
      </c>
      <c r="I125" s="273">
        <v>240</v>
      </c>
      <c r="J125" s="273">
        <v>0</v>
      </c>
      <c r="K125" s="273">
        <v>40</v>
      </c>
      <c r="L125" s="273">
        <v>680</v>
      </c>
      <c r="M125" s="273">
        <v>0</v>
      </c>
      <c r="N125" s="273">
        <v>0</v>
      </c>
      <c r="O125" s="273">
        <v>0</v>
      </c>
      <c r="P125" s="273">
        <f t="shared" ref="P125" si="46">SUM(D125:O125)</f>
        <v>2260</v>
      </c>
      <c r="Q125" s="25"/>
    </row>
    <row r="126" spans="1:17" ht="15.75" x14ac:dyDescent="0.3">
      <c r="A126" s="78">
        <f t="shared" si="43"/>
        <v>20</v>
      </c>
      <c r="B126" s="287" t="s">
        <v>1255</v>
      </c>
      <c r="C126" s="277"/>
      <c r="D126" s="273">
        <v>0</v>
      </c>
      <c r="E126" s="273">
        <v>0</v>
      </c>
      <c r="F126" s="273">
        <v>0</v>
      </c>
      <c r="G126" s="273">
        <v>20</v>
      </c>
      <c r="H126" s="273">
        <v>0</v>
      </c>
      <c r="I126" s="273">
        <v>0</v>
      </c>
      <c r="J126" s="273">
        <v>0</v>
      </c>
      <c r="K126" s="273">
        <v>0</v>
      </c>
      <c r="L126" s="273">
        <v>0</v>
      </c>
      <c r="M126" s="273">
        <v>0</v>
      </c>
      <c r="N126" s="273">
        <v>0</v>
      </c>
      <c r="O126" s="273">
        <v>0</v>
      </c>
      <c r="P126" s="273">
        <f t="shared" ref="P126" si="47">SUM(D126:O126)</f>
        <v>20</v>
      </c>
      <c r="Q126" s="25"/>
    </row>
    <row r="127" spans="1:17" ht="15.75" x14ac:dyDescent="0.3">
      <c r="A127" s="78">
        <f t="shared" si="43"/>
        <v>21</v>
      </c>
      <c r="B127" s="287" t="s">
        <v>1256</v>
      </c>
      <c r="C127" s="277"/>
      <c r="D127" s="273">
        <v>0</v>
      </c>
      <c r="E127" s="273">
        <v>0</v>
      </c>
      <c r="F127" s="273">
        <v>75</v>
      </c>
      <c r="G127" s="273">
        <v>1140</v>
      </c>
      <c r="H127" s="273">
        <v>15</v>
      </c>
      <c r="I127" s="273">
        <v>0</v>
      </c>
      <c r="J127" s="273">
        <v>0</v>
      </c>
      <c r="K127" s="273">
        <v>0</v>
      </c>
      <c r="L127" s="273">
        <v>2340</v>
      </c>
      <c r="M127" s="273">
        <v>0</v>
      </c>
      <c r="N127" s="273">
        <v>0</v>
      </c>
      <c r="O127" s="273">
        <v>0</v>
      </c>
      <c r="P127" s="273">
        <f t="shared" si="40"/>
        <v>3570</v>
      </c>
      <c r="Q127" s="25"/>
    </row>
    <row r="128" spans="1:17" ht="24" x14ac:dyDescent="0.3">
      <c r="A128" s="78">
        <f t="shared" si="43"/>
        <v>22</v>
      </c>
      <c r="B128" s="287" t="s">
        <v>1257</v>
      </c>
      <c r="C128" s="277"/>
      <c r="D128" s="273">
        <v>0</v>
      </c>
      <c r="E128" s="273">
        <v>0</v>
      </c>
      <c r="F128" s="273">
        <v>225</v>
      </c>
      <c r="G128" s="273">
        <v>1575</v>
      </c>
      <c r="H128" s="273">
        <v>0</v>
      </c>
      <c r="I128" s="273">
        <v>0</v>
      </c>
      <c r="J128" s="273">
        <v>0</v>
      </c>
      <c r="K128" s="273">
        <v>0</v>
      </c>
      <c r="L128" s="273">
        <v>0</v>
      </c>
      <c r="M128" s="273">
        <v>0</v>
      </c>
      <c r="N128" s="273">
        <v>0</v>
      </c>
      <c r="O128" s="273">
        <v>0</v>
      </c>
      <c r="P128" s="273">
        <f t="shared" ref="P128:P130" si="48">SUM(D128:O128)</f>
        <v>1800</v>
      </c>
      <c r="Q128" s="25"/>
    </row>
    <row r="129" spans="1:17" ht="24" x14ac:dyDescent="0.3">
      <c r="A129" s="78">
        <f t="shared" si="43"/>
        <v>23</v>
      </c>
      <c r="B129" s="287" t="s">
        <v>1258</v>
      </c>
      <c r="C129" s="277"/>
      <c r="D129" s="273">
        <v>0</v>
      </c>
      <c r="E129" s="273">
        <v>0</v>
      </c>
      <c r="F129" s="273">
        <v>645</v>
      </c>
      <c r="G129" s="273">
        <v>390</v>
      </c>
      <c r="H129" s="273">
        <v>0</v>
      </c>
      <c r="I129" s="273">
        <v>0</v>
      </c>
      <c r="J129" s="273">
        <v>0</v>
      </c>
      <c r="K129" s="273">
        <v>0</v>
      </c>
      <c r="L129" s="273">
        <v>0</v>
      </c>
      <c r="M129" s="273">
        <v>0</v>
      </c>
      <c r="N129" s="273">
        <v>0</v>
      </c>
      <c r="O129" s="273">
        <v>0</v>
      </c>
      <c r="P129" s="273">
        <f t="shared" si="48"/>
        <v>1035</v>
      </c>
      <c r="Q129" s="25"/>
    </row>
    <row r="130" spans="1:17" ht="24" x14ac:dyDescent="0.3">
      <c r="A130" s="78">
        <f t="shared" si="43"/>
        <v>24</v>
      </c>
      <c r="B130" s="287" t="s">
        <v>1259</v>
      </c>
      <c r="C130" s="277"/>
      <c r="D130" s="273">
        <v>0</v>
      </c>
      <c r="E130" s="273">
        <v>0</v>
      </c>
      <c r="F130" s="273">
        <v>1395</v>
      </c>
      <c r="G130" s="273">
        <v>4620</v>
      </c>
      <c r="H130" s="273">
        <v>1095</v>
      </c>
      <c r="I130" s="273">
        <v>15</v>
      </c>
      <c r="J130" s="273">
        <v>0</v>
      </c>
      <c r="K130" s="273">
        <v>0</v>
      </c>
      <c r="L130" s="273">
        <v>30</v>
      </c>
      <c r="M130" s="273">
        <v>0</v>
      </c>
      <c r="N130" s="273">
        <v>0</v>
      </c>
      <c r="O130" s="273">
        <v>0</v>
      </c>
      <c r="P130" s="273">
        <f t="shared" si="48"/>
        <v>7155</v>
      </c>
      <c r="Q130" s="25"/>
    </row>
    <row r="131" spans="1:17" ht="15.75" x14ac:dyDescent="0.3">
      <c r="A131" s="78">
        <f t="shared" si="43"/>
        <v>25</v>
      </c>
      <c r="B131" s="287" t="s">
        <v>1260</v>
      </c>
      <c r="C131" s="277"/>
      <c r="D131" s="273">
        <v>0</v>
      </c>
      <c r="E131" s="273">
        <v>0</v>
      </c>
      <c r="F131" s="273">
        <v>1980</v>
      </c>
      <c r="G131" s="273">
        <v>0</v>
      </c>
      <c r="H131" s="273">
        <v>0</v>
      </c>
      <c r="I131" s="273">
        <v>0</v>
      </c>
      <c r="J131" s="273">
        <v>0</v>
      </c>
      <c r="K131" s="273">
        <v>0</v>
      </c>
      <c r="L131" s="273">
        <v>0</v>
      </c>
      <c r="M131" s="273">
        <v>0</v>
      </c>
      <c r="N131" s="273">
        <v>0</v>
      </c>
      <c r="O131" s="273">
        <v>0</v>
      </c>
      <c r="P131" s="273">
        <f t="shared" ref="P131:P134" si="49">SUM(D131:O131)</f>
        <v>1980</v>
      </c>
      <c r="Q131" s="25"/>
    </row>
    <row r="132" spans="1:17" ht="24" x14ac:dyDescent="0.3">
      <c r="A132" s="78">
        <f t="shared" si="43"/>
        <v>26</v>
      </c>
      <c r="B132" s="287" t="s">
        <v>1261</v>
      </c>
      <c r="C132" s="277"/>
      <c r="D132" s="273">
        <v>0</v>
      </c>
      <c r="E132" s="273">
        <v>0</v>
      </c>
      <c r="F132" s="273">
        <v>1485</v>
      </c>
      <c r="G132" s="273">
        <v>0</v>
      </c>
      <c r="H132" s="273">
        <v>0</v>
      </c>
      <c r="I132" s="273">
        <v>0</v>
      </c>
      <c r="J132" s="273">
        <v>0</v>
      </c>
      <c r="K132" s="273">
        <v>0</v>
      </c>
      <c r="L132" s="273">
        <v>30</v>
      </c>
      <c r="M132" s="273">
        <v>0</v>
      </c>
      <c r="N132" s="273">
        <v>0</v>
      </c>
      <c r="O132" s="273">
        <v>0</v>
      </c>
      <c r="P132" s="273">
        <f t="shared" si="49"/>
        <v>1515</v>
      </c>
      <c r="Q132" s="25"/>
    </row>
    <row r="133" spans="1:17" ht="15.75" x14ac:dyDescent="0.3">
      <c r="A133" s="78">
        <f t="shared" si="43"/>
        <v>27</v>
      </c>
      <c r="B133" s="287" t="s">
        <v>1262</v>
      </c>
      <c r="C133" s="277"/>
      <c r="D133" s="273">
        <v>0</v>
      </c>
      <c r="E133" s="273">
        <v>0</v>
      </c>
      <c r="F133" s="273">
        <v>1215</v>
      </c>
      <c r="G133" s="273">
        <v>165</v>
      </c>
      <c r="H133" s="273">
        <v>495</v>
      </c>
      <c r="I133" s="273">
        <v>0</v>
      </c>
      <c r="J133" s="273">
        <v>0</v>
      </c>
      <c r="K133" s="273">
        <v>0</v>
      </c>
      <c r="L133" s="273">
        <v>0</v>
      </c>
      <c r="M133" s="273">
        <v>0</v>
      </c>
      <c r="N133" s="273">
        <v>0</v>
      </c>
      <c r="O133" s="273">
        <v>0</v>
      </c>
      <c r="P133" s="273">
        <f t="shared" si="49"/>
        <v>1875</v>
      </c>
      <c r="Q133" s="25"/>
    </row>
    <row r="134" spans="1:17" ht="15.75" x14ac:dyDescent="0.3">
      <c r="A134" s="78">
        <f t="shared" si="43"/>
        <v>28</v>
      </c>
      <c r="B134" s="287" t="s">
        <v>1263</v>
      </c>
      <c r="C134" s="277"/>
      <c r="D134" s="273">
        <v>0</v>
      </c>
      <c r="E134" s="273">
        <v>0</v>
      </c>
      <c r="F134" s="273">
        <v>90</v>
      </c>
      <c r="G134" s="273">
        <v>200</v>
      </c>
      <c r="H134" s="273">
        <v>180</v>
      </c>
      <c r="I134" s="273">
        <v>30</v>
      </c>
      <c r="J134" s="273">
        <v>20</v>
      </c>
      <c r="K134" s="273">
        <v>130</v>
      </c>
      <c r="L134" s="273">
        <f>40+80+90</f>
        <v>210</v>
      </c>
      <c r="M134" s="273">
        <v>0</v>
      </c>
      <c r="N134" s="273">
        <v>0</v>
      </c>
      <c r="O134" s="273">
        <v>0</v>
      </c>
      <c r="P134" s="273">
        <f t="shared" si="49"/>
        <v>860</v>
      </c>
      <c r="Q134" s="25"/>
    </row>
    <row r="135" spans="1:17" ht="15.75" x14ac:dyDescent="0.3">
      <c r="A135" s="78">
        <f t="shared" si="43"/>
        <v>29</v>
      </c>
      <c r="B135" s="287" t="s">
        <v>1264</v>
      </c>
      <c r="C135" s="277">
        <v>3000</v>
      </c>
      <c r="D135" s="273">
        <v>0</v>
      </c>
      <c r="E135" s="273">
        <v>0</v>
      </c>
      <c r="F135" s="273">
        <v>0</v>
      </c>
      <c r="G135" s="273">
        <v>0</v>
      </c>
      <c r="H135" s="273">
        <v>0</v>
      </c>
      <c r="I135" s="273">
        <v>0</v>
      </c>
      <c r="J135" s="273">
        <v>0</v>
      </c>
      <c r="K135" s="273">
        <v>0</v>
      </c>
      <c r="L135" s="273">
        <v>0</v>
      </c>
      <c r="M135" s="273">
        <v>0</v>
      </c>
      <c r="N135" s="273">
        <v>0</v>
      </c>
      <c r="O135" s="273">
        <v>0</v>
      </c>
      <c r="P135" s="273">
        <f t="shared" si="40"/>
        <v>0</v>
      </c>
      <c r="Q135" s="25"/>
    </row>
    <row r="136" spans="1:17" ht="15.75" x14ac:dyDescent="0.3">
      <c r="A136" s="78">
        <f t="shared" si="43"/>
        <v>30</v>
      </c>
      <c r="B136" s="287" t="s">
        <v>1265</v>
      </c>
      <c r="C136" s="277">
        <v>3000</v>
      </c>
      <c r="D136" s="273">
        <v>0</v>
      </c>
      <c r="E136" s="273">
        <v>0</v>
      </c>
      <c r="F136" s="273">
        <v>0</v>
      </c>
      <c r="G136" s="273">
        <v>0</v>
      </c>
      <c r="H136" s="273">
        <v>0</v>
      </c>
      <c r="I136" s="273">
        <v>0</v>
      </c>
      <c r="J136" s="273">
        <v>0</v>
      </c>
      <c r="K136" s="273">
        <v>0</v>
      </c>
      <c r="L136" s="273">
        <v>0</v>
      </c>
      <c r="M136" s="273">
        <v>0</v>
      </c>
      <c r="N136" s="273">
        <v>0</v>
      </c>
      <c r="O136" s="273">
        <v>0</v>
      </c>
      <c r="P136" s="273">
        <f t="shared" si="40"/>
        <v>0</v>
      </c>
      <c r="Q136" s="25"/>
    </row>
    <row r="137" spans="1:17" ht="15.75" x14ac:dyDescent="0.3">
      <c r="A137" s="78">
        <f t="shared" si="43"/>
        <v>31</v>
      </c>
      <c r="B137" s="287" t="s">
        <v>1266</v>
      </c>
      <c r="C137" s="277">
        <v>0</v>
      </c>
      <c r="D137" s="273">
        <v>0</v>
      </c>
      <c r="E137" s="273">
        <v>15</v>
      </c>
      <c r="F137" s="273">
        <v>0</v>
      </c>
      <c r="G137" s="273">
        <v>0</v>
      </c>
      <c r="H137" s="273">
        <v>0</v>
      </c>
      <c r="I137" s="273">
        <v>0</v>
      </c>
      <c r="J137" s="273">
        <v>0</v>
      </c>
      <c r="K137" s="273">
        <v>0</v>
      </c>
      <c r="L137" s="273">
        <v>0</v>
      </c>
      <c r="M137" s="273">
        <v>0</v>
      </c>
      <c r="N137" s="273">
        <v>0</v>
      </c>
      <c r="O137" s="273">
        <v>0</v>
      </c>
      <c r="P137" s="273">
        <f t="shared" ref="P137:P138" si="50">SUM(D137:O137)</f>
        <v>15</v>
      </c>
      <c r="Q137" s="25"/>
    </row>
    <row r="138" spans="1:17" ht="15.75" x14ac:dyDescent="0.3">
      <c r="A138" s="78">
        <f t="shared" si="43"/>
        <v>32</v>
      </c>
      <c r="B138" s="287" t="s">
        <v>1267</v>
      </c>
      <c r="C138" s="277">
        <v>0</v>
      </c>
      <c r="D138" s="273">
        <v>0</v>
      </c>
      <c r="E138" s="273">
        <v>15</v>
      </c>
      <c r="F138" s="273">
        <v>0</v>
      </c>
      <c r="G138" s="273">
        <v>0</v>
      </c>
      <c r="H138" s="273">
        <v>0</v>
      </c>
      <c r="I138" s="273">
        <v>0</v>
      </c>
      <c r="J138" s="273">
        <v>0</v>
      </c>
      <c r="K138" s="273">
        <v>0</v>
      </c>
      <c r="L138" s="273">
        <v>0</v>
      </c>
      <c r="M138" s="273">
        <v>0</v>
      </c>
      <c r="N138" s="273">
        <v>0</v>
      </c>
      <c r="O138" s="273">
        <v>0</v>
      </c>
      <c r="P138" s="273">
        <f t="shared" si="50"/>
        <v>15</v>
      </c>
      <c r="Q138" s="25"/>
    </row>
    <row r="139" spans="1:17" ht="24" x14ac:dyDescent="0.3">
      <c r="A139" s="78">
        <f t="shared" si="43"/>
        <v>33</v>
      </c>
      <c r="B139" s="287" t="s">
        <v>1268</v>
      </c>
      <c r="C139" s="277"/>
      <c r="D139" s="273">
        <v>0</v>
      </c>
      <c r="E139" s="273">
        <v>0</v>
      </c>
      <c r="F139" s="273">
        <v>0</v>
      </c>
      <c r="G139" s="273">
        <v>675</v>
      </c>
      <c r="H139" s="273">
        <v>690</v>
      </c>
      <c r="I139" s="273">
        <v>0</v>
      </c>
      <c r="J139" s="273">
        <v>0</v>
      </c>
      <c r="K139" s="273">
        <v>0</v>
      </c>
      <c r="L139" s="273">
        <v>0</v>
      </c>
      <c r="M139" s="273">
        <v>0</v>
      </c>
      <c r="N139" s="273">
        <v>0</v>
      </c>
      <c r="O139" s="273">
        <v>0</v>
      </c>
      <c r="P139" s="273">
        <f t="shared" ref="P139:P140" si="51">SUM(D139:O139)</f>
        <v>1365</v>
      </c>
      <c r="Q139" s="25"/>
    </row>
    <row r="140" spans="1:17" ht="15.75" x14ac:dyDescent="0.3">
      <c r="A140" s="78">
        <f t="shared" si="43"/>
        <v>34</v>
      </c>
      <c r="B140" s="287" t="s">
        <v>1269</v>
      </c>
      <c r="C140" s="277"/>
      <c r="D140" s="273">
        <v>0</v>
      </c>
      <c r="E140" s="273">
        <v>0</v>
      </c>
      <c r="F140" s="273">
        <v>0</v>
      </c>
      <c r="G140" s="273">
        <v>630</v>
      </c>
      <c r="H140" s="273">
        <v>1170</v>
      </c>
      <c r="I140" s="273">
        <v>0</v>
      </c>
      <c r="J140" s="273">
        <v>0</v>
      </c>
      <c r="K140" s="273">
        <v>0</v>
      </c>
      <c r="L140" s="273">
        <v>0</v>
      </c>
      <c r="M140" s="273">
        <v>0</v>
      </c>
      <c r="N140" s="273">
        <v>0</v>
      </c>
      <c r="O140" s="273">
        <v>0</v>
      </c>
      <c r="P140" s="273">
        <f t="shared" si="51"/>
        <v>1800</v>
      </c>
      <c r="Q140" s="25"/>
    </row>
    <row r="141" spans="1:17" ht="15.75" x14ac:dyDescent="0.3">
      <c r="A141" s="78">
        <f>+A140+1</f>
        <v>35</v>
      </c>
      <c r="B141" s="287" t="s">
        <v>1270</v>
      </c>
      <c r="C141" s="277">
        <v>4500</v>
      </c>
      <c r="D141" s="273">
        <f>30+15</f>
        <v>45</v>
      </c>
      <c r="E141" s="273">
        <v>0</v>
      </c>
      <c r="F141" s="273">
        <v>4875</v>
      </c>
      <c r="G141" s="273">
        <v>0</v>
      </c>
      <c r="H141" s="273">
        <v>0</v>
      </c>
      <c r="I141" s="273">
        <v>0</v>
      </c>
      <c r="J141" s="273">
        <v>0</v>
      </c>
      <c r="K141" s="273">
        <v>0</v>
      </c>
      <c r="L141" s="273">
        <v>795</v>
      </c>
      <c r="M141" s="273">
        <v>0</v>
      </c>
      <c r="N141" s="273">
        <v>0</v>
      </c>
      <c r="O141" s="273">
        <v>0</v>
      </c>
      <c r="P141" s="273">
        <f>SUM(D141:O141)</f>
        <v>5715</v>
      </c>
      <c r="Q141" s="25"/>
    </row>
    <row r="142" spans="1:17" ht="24" x14ac:dyDescent="0.3">
      <c r="A142" s="78"/>
      <c r="B142" s="287" t="s">
        <v>1271</v>
      </c>
      <c r="C142" s="277"/>
      <c r="D142" s="273">
        <v>0</v>
      </c>
      <c r="E142" s="273">
        <v>0</v>
      </c>
      <c r="F142" s="273">
        <v>0</v>
      </c>
      <c r="G142" s="273">
        <v>0</v>
      </c>
      <c r="H142" s="273">
        <v>0</v>
      </c>
      <c r="I142" s="273">
        <v>0</v>
      </c>
      <c r="J142" s="273">
        <v>0</v>
      </c>
      <c r="K142" s="273">
        <v>0</v>
      </c>
      <c r="L142" s="273">
        <v>300</v>
      </c>
      <c r="M142" s="273">
        <v>0</v>
      </c>
      <c r="N142" s="273">
        <v>0</v>
      </c>
      <c r="O142" s="273">
        <v>0</v>
      </c>
      <c r="P142" s="273">
        <f t="shared" ref="P142:P143" si="52">SUM(D142:O142)</f>
        <v>300</v>
      </c>
      <c r="Q142" s="25"/>
    </row>
    <row r="143" spans="1:17" ht="24" x14ac:dyDescent="0.3">
      <c r="A143" s="78"/>
      <c r="B143" s="287" t="s">
        <v>1272</v>
      </c>
      <c r="C143" s="277"/>
      <c r="D143" s="273">
        <v>0</v>
      </c>
      <c r="E143" s="273">
        <v>0</v>
      </c>
      <c r="F143" s="273">
        <v>0</v>
      </c>
      <c r="G143" s="273">
        <v>0</v>
      </c>
      <c r="H143" s="273">
        <v>0</v>
      </c>
      <c r="I143" s="273">
        <v>0</v>
      </c>
      <c r="J143" s="273">
        <v>0</v>
      </c>
      <c r="K143" s="273">
        <v>0</v>
      </c>
      <c r="L143" s="273">
        <v>30</v>
      </c>
      <c r="M143" s="273">
        <v>0</v>
      </c>
      <c r="N143" s="273">
        <v>0</v>
      </c>
      <c r="O143" s="273">
        <v>0</v>
      </c>
      <c r="P143" s="273">
        <f t="shared" si="52"/>
        <v>30</v>
      </c>
      <c r="Q143" s="25"/>
    </row>
    <row r="144" spans="1:17" ht="24" x14ac:dyDescent="0.3">
      <c r="A144" s="78"/>
      <c r="B144" s="287" t="s">
        <v>1273</v>
      </c>
      <c r="C144" s="277"/>
      <c r="D144" s="273">
        <v>0</v>
      </c>
      <c r="E144" s="273">
        <v>0</v>
      </c>
      <c r="F144" s="273">
        <v>0</v>
      </c>
      <c r="G144" s="273">
        <v>0</v>
      </c>
      <c r="H144" s="273">
        <v>0</v>
      </c>
      <c r="I144" s="273">
        <v>0</v>
      </c>
      <c r="J144" s="273">
        <v>0</v>
      </c>
      <c r="K144" s="273">
        <v>0</v>
      </c>
      <c r="L144" s="273">
        <v>225</v>
      </c>
      <c r="M144" s="273">
        <v>0</v>
      </c>
      <c r="N144" s="273">
        <v>0</v>
      </c>
      <c r="O144" s="273">
        <v>0</v>
      </c>
      <c r="P144" s="273">
        <f t="shared" ref="P144:P146" si="53">SUM(D144:O144)</f>
        <v>225</v>
      </c>
      <c r="Q144" s="25"/>
    </row>
    <row r="145" spans="1:17" ht="15.75" x14ac:dyDescent="0.3">
      <c r="A145" s="78"/>
      <c r="B145" s="287" t="s">
        <v>1274</v>
      </c>
      <c r="C145" s="277"/>
      <c r="D145" s="273">
        <v>0</v>
      </c>
      <c r="E145" s="273">
        <v>0</v>
      </c>
      <c r="F145" s="273">
        <v>0</v>
      </c>
      <c r="G145" s="273">
        <v>0</v>
      </c>
      <c r="H145" s="273">
        <v>0</v>
      </c>
      <c r="I145" s="273">
        <v>0</v>
      </c>
      <c r="J145" s="273">
        <v>0</v>
      </c>
      <c r="K145" s="273">
        <v>0</v>
      </c>
      <c r="L145" s="273">
        <v>780</v>
      </c>
      <c r="M145" s="273">
        <v>0</v>
      </c>
      <c r="N145" s="273">
        <v>0</v>
      </c>
      <c r="O145" s="273">
        <v>0</v>
      </c>
      <c r="P145" s="273">
        <f t="shared" si="53"/>
        <v>780</v>
      </c>
      <c r="Q145" s="25"/>
    </row>
    <row r="146" spans="1:17" ht="15.75" x14ac:dyDescent="0.3">
      <c r="A146" s="78"/>
      <c r="B146" s="287"/>
      <c r="C146" s="277"/>
      <c r="D146" s="273">
        <v>0</v>
      </c>
      <c r="E146" s="273">
        <v>0</v>
      </c>
      <c r="F146" s="273">
        <v>0</v>
      </c>
      <c r="G146" s="273">
        <v>0</v>
      </c>
      <c r="H146" s="273">
        <v>0</v>
      </c>
      <c r="I146" s="273">
        <v>0</v>
      </c>
      <c r="J146" s="273">
        <v>0</v>
      </c>
      <c r="K146" s="273">
        <v>0</v>
      </c>
      <c r="L146" s="273">
        <v>0</v>
      </c>
      <c r="M146" s="273">
        <v>0</v>
      </c>
      <c r="N146" s="273">
        <v>0</v>
      </c>
      <c r="O146" s="273">
        <v>0</v>
      </c>
      <c r="P146" s="273">
        <f t="shared" si="53"/>
        <v>0</v>
      </c>
      <c r="Q146" s="25"/>
    </row>
    <row r="147" spans="1:17" x14ac:dyDescent="0.25">
      <c r="A147" s="81"/>
      <c r="B147" s="268" t="s">
        <v>1275</v>
      </c>
      <c r="C147" s="269">
        <v>184225</v>
      </c>
      <c r="D147" s="269">
        <f t="shared" ref="D147:P147" si="54">+D148+D160+D173+D178+D182</f>
        <v>495</v>
      </c>
      <c r="E147" s="269">
        <f t="shared" si="54"/>
        <v>17550</v>
      </c>
      <c r="F147" s="269">
        <f t="shared" si="54"/>
        <v>33225</v>
      </c>
      <c r="G147" s="269">
        <f t="shared" si="54"/>
        <v>8250</v>
      </c>
      <c r="H147" s="269">
        <f t="shared" si="54"/>
        <v>6825</v>
      </c>
      <c r="I147" s="269">
        <f t="shared" si="54"/>
        <v>11715</v>
      </c>
      <c r="J147" s="269">
        <f t="shared" si="54"/>
        <v>7960</v>
      </c>
      <c r="K147" s="269">
        <f t="shared" si="54"/>
        <v>9240</v>
      </c>
      <c r="L147" s="269">
        <f t="shared" si="54"/>
        <v>25095</v>
      </c>
      <c r="M147" s="269">
        <f t="shared" si="54"/>
        <v>0</v>
      </c>
      <c r="N147" s="269">
        <f t="shared" si="54"/>
        <v>0</v>
      </c>
      <c r="O147" s="269">
        <f t="shared" si="54"/>
        <v>0</v>
      </c>
      <c r="P147" s="269">
        <f t="shared" si="54"/>
        <v>120355</v>
      </c>
      <c r="Q147" s="270">
        <f>+P147/C147</f>
        <v>0.65330438322703221</v>
      </c>
    </row>
    <row r="148" spans="1:17" x14ac:dyDescent="0.25">
      <c r="A148" s="80"/>
      <c r="B148" s="289" t="s">
        <v>1167</v>
      </c>
      <c r="C148" s="290">
        <f>SUM(C149:C164)</f>
        <v>72900</v>
      </c>
      <c r="D148" s="290">
        <f>SUM(D149:D159)</f>
        <v>300</v>
      </c>
      <c r="E148" s="290">
        <f t="shared" ref="E148:P148" si="55">SUM(E149:E159)</f>
        <v>10185</v>
      </c>
      <c r="F148" s="290">
        <f t="shared" si="55"/>
        <v>18225</v>
      </c>
      <c r="G148" s="290">
        <f t="shared" si="55"/>
        <v>1605</v>
      </c>
      <c r="H148" s="290">
        <f t="shared" si="55"/>
        <v>0</v>
      </c>
      <c r="I148" s="290">
        <f t="shared" si="55"/>
        <v>7215</v>
      </c>
      <c r="J148" s="290">
        <f t="shared" si="55"/>
        <v>3495</v>
      </c>
      <c r="K148" s="290">
        <f t="shared" si="55"/>
        <v>5355</v>
      </c>
      <c r="L148" s="290">
        <f t="shared" si="55"/>
        <v>10275</v>
      </c>
      <c r="M148" s="290">
        <f t="shared" si="55"/>
        <v>0</v>
      </c>
      <c r="N148" s="290">
        <f t="shared" si="55"/>
        <v>0</v>
      </c>
      <c r="O148" s="290">
        <f t="shared" si="55"/>
        <v>0</v>
      </c>
      <c r="P148" s="290">
        <f t="shared" si="55"/>
        <v>56655</v>
      </c>
      <c r="Q148" s="25"/>
    </row>
    <row r="149" spans="1:17" ht="15.75" x14ac:dyDescent="0.3">
      <c r="A149" s="78">
        <v>1</v>
      </c>
      <c r="B149" s="278" t="s">
        <v>1276</v>
      </c>
      <c r="C149" s="291">
        <v>4500</v>
      </c>
      <c r="D149" s="273">
        <v>0</v>
      </c>
      <c r="E149" s="273">
        <v>810</v>
      </c>
      <c r="F149" s="273">
        <v>1980</v>
      </c>
      <c r="G149" s="273">
        <v>0</v>
      </c>
      <c r="H149" s="273">
        <v>0</v>
      </c>
      <c r="I149" s="273">
        <v>795</v>
      </c>
      <c r="J149" s="273">
        <v>720</v>
      </c>
      <c r="K149" s="273">
        <v>645</v>
      </c>
      <c r="L149" s="273">
        <v>1005</v>
      </c>
      <c r="M149" s="273">
        <v>0</v>
      </c>
      <c r="N149" s="273">
        <v>0</v>
      </c>
      <c r="O149" s="273">
        <v>0</v>
      </c>
      <c r="P149" s="273">
        <f t="shared" ref="P149:P181" si="56">SUM(D149:O149)</f>
        <v>5955</v>
      </c>
      <c r="Q149" s="25"/>
    </row>
    <row r="150" spans="1:17" ht="15.75" x14ac:dyDescent="0.3">
      <c r="A150" s="78">
        <f>+A149+1</f>
        <v>2</v>
      </c>
      <c r="B150" s="278" t="s">
        <v>1277</v>
      </c>
      <c r="C150" s="291">
        <v>4500</v>
      </c>
      <c r="D150" s="273">
        <v>0</v>
      </c>
      <c r="E150" s="273">
        <v>510</v>
      </c>
      <c r="F150" s="273">
        <v>1560</v>
      </c>
      <c r="G150" s="273">
        <v>0</v>
      </c>
      <c r="H150" s="273">
        <v>0</v>
      </c>
      <c r="I150" s="273">
        <v>600</v>
      </c>
      <c r="J150" s="273">
        <v>510</v>
      </c>
      <c r="K150" s="273">
        <v>915</v>
      </c>
      <c r="L150" s="273">
        <v>1170</v>
      </c>
      <c r="M150" s="273">
        <v>0</v>
      </c>
      <c r="N150" s="273">
        <v>0</v>
      </c>
      <c r="O150" s="273">
        <v>0</v>
      </c>
      <c r="P150" s="273">
        <f t="shared" si="56"/>
        <v>5265</v>
      </c>
      <c r="Q150" s="25"/>
    </row>
    <row r="151" spans="1:17" ht="15.75" x14ac:dyDescent="0.3">
      <c r="A151" s="78">
        <f t="shared" ref="A151:A159" si="57">+A150+1</f>
        <v>3</v>
      </c>
      <c r="B151" s="278" t="s">
        <v>1278</v>
      </c>
      <c r="C151" s="291">
        <v>3000</v>
      </c>
      <c r="D151" s="273">
        <v>0</v>
      </c>
      <c r="E151" s="273">
        <v>165</v>
      </c>
      <c r="F151" s="273">
        <v>1110</v>
      </c>
      <c r="G151" s="273">
        <v>0</v>
      </c>
      <c r="H151" s="273">
        <v>0</v>
      </c>
      <c r="I151" s="273">
        <v>0</v>
      </c>
      <c r="J151" s="273">
        <v>0</v>
      </c>
      <c r="K151" s="273">
        <v>825</v>
      </c>
      <c r="L151" s="273">
        <v>1710</v>
      </c>
      <c r="M151" s="273">
        <v>0</v>
      </c>
      <c r="N151" s="273">
        <v>0</v>
      </c>
      <c r="O151" s="273">
        <v>0</v>
      </c>
      <c r="P151" s="273">
        <f t="shared" si="56"/>
        <v>3810</v>
      </c>
      <c r="Q151" s="25"/>
    </row>
    <row r="152" spans="1:17" ht="25.5" x14ac:dyDescent="0.3">
      <c r="A152" s="78">
        <f t="shared" si="57"/>
        <v>4</v>
      </c>
      <c r="B152" s="278" t="s">
        <v>1279</v>
      </c>
      <c r="C152" s="291">
        <v>1500</v>
      </c>
      <c r="D152" s="273">
        <v>0</v>
      </c>
      <c r="E152" s="273">
        <v>240</v>
      </c>
      <c r="F152" s="273">
        <v>570</v>
      </c>
      <c r="G152" s="273">
        <v>0</v>
      </c>
      <c r="H152" s="273">
        <v>0</v>
      </c>
      <c r="I152" s="273">
        <v>0</v>
      </c>
      <c r="J152" s="273">
        <v>0</v>
      </c>
      <c r="K152" s="273">
        <v>0</v>
      </c>
      <c r="L152" s="273">
        <v>0</v>
      </c>
      <c r="M152" s="273">
        <v>0</v>
      </c>
      <c r="N152" s="273">
        <v>0</v>
      </c>
      <c r="O152" s="273">
        <v>0</v>
      </c>
      <c r="P152" s="273">
        <f t="shared" si="56"/>
        <v>810</v>
      </c>
      <c r="Q152" s="25"/>
    </row>
    <row r="153" spans="1:17" ht="15.75" x14ac:dyDescent="0.3">
      <c r="A153" s="78">
        <f t="shared" si="57"/>
        <v>5</v>
      </c>
      <c r="B153" s="278" t="s">
        <v>1280</v>
      </c>
      <c r="C153" s="291">
        <v>4500</v>
      </c>
      <c r="D153" s="273">
        <v>0</v>
      </c>
      <c r="E153" s="273">
        <v>-150</v>
      </c>
      <c r="F153" s="273">
        <v>1260</v>
      </c>
      <c r="G153" s="273">
        <v>0</v>
      </c>
      <c r="H153" s="273">
        <v>0</v>
      </c>
      <c r="I153" s="273">
        <v>855</v>
      </c>
      <c r="J153" s="273">
        <v>735</v>
      </c>
      <c r="K153" s="273">
        <v>180</v>
      </c>
      <c r="L153" s="273">
        <v>1680</v>
      </c>
      <c r="M153" s="273">
        <v>0</v>
      </c>
      <c r="N153" s="273">
        <v>0</v>
      </c>
      <c r="O153" s="273">
        <v>0</v>
      </c>
      <c r="P153" s="273">
        <f t="shared" si="56"/>
        <v>4560</v>
      </c>
      <c r="Q153" s="25"/>
    </row>
    <row r="154" spans="1:17" ht="25.5" x14ac:dyDescent="0.3">
      <c r="A154" s="78">
        <f t="shared" si="57"/>
        <v>6</v>
      </c>
      <c r="B154" s="278" t="s">
        <v>1281</v>
      </c>
      <c r="C154" s="291">
        <v>4500</v>
      </c>
      <c r="D154" s="273">
        <v>0</v>
      </c>
      <c r="E154" s="273">
        <v>390</v>
      </c>
      <c r="F154" s="273">
        <v>2805</v>
      </c>
      <c r="G154" s="273">
        <v>0</v>
      </c>
      <c r="H154" s="273">
        <v>0</v>
      </c>
      <c r="I154" s="273">
        <v>990</v>
      </c>
      <c r="J154" s="273">
        <v>465</v>
      </c>
      <c r="K154" s="273">
        <v>285</v>
      </c>
      <c r="L154" s="273">
        <v>1350</v>
      </c>
      <c r="M154" s="273">
        <v>0</v>
      </c>
      <c r="N154" s="273">
        <v>0</v>
      </c>
      <c r="O154" s="273">
        <v>0</v>
      </c>
      <c r="P154" s="273">
        <f t="shared" si="56"/>
        <v>6285</v>
      </c>
      <c r="Q154" s="25"/>
    </row>
    <row r="155" spans="1:17" ht="25.5" x14ac:dyDescent="0.3">
      <c r="A155" s="78">
        <f t="shared" si="57"/>
        <v>7</v>
      </c>
      <c r="B155" s="278" t="s">
        <v>1282</v>
      </c>
      <c r="C155" s="291">
        <v>3000</v>
      </c>
      <c r="D155" s="273">
        <v>0</v>
      </c>
      <c r="E155" s="273">
        <v>285</v>
      </c>
      <c r="F155" s="273">
        <v>1950</v>
      </c>
      <c r="G155" s="273">
        <v>0</v>
      </c>
      <c r="H155" s="273">
        <v>0</v>
      </c>
      <c r="I155" s="273">
        <v>1095</v>
      </c>
      <c r="J155" s="273">
        <v>405</v>
      </c>
      <c r="K155" s="273">
        <v>360</v>
      </c>
      <c r="L155" s="273">
        <v>930</v>
      </c>
      <c r="M155" s="273">
        <v>0</v>
      </c>
      <c r="N155" s="273">
        <v>0</v>
      </c>
      <c r="O155" s="273">
        <v>0</v>
      </c>
      <c r="P155" s="273">
        <f t="shared" si="56"/>
        <v>5025</v>
      </c>
      <c r="Q155" s="25"/>
    </row>
    <row r="156" spans="1:17" ht="25.5" x14ac:dyDescent="0.3">
      <c r="A156" s="78">
        <f t="shared" si="57"/>
        <v>8</v>
      </c>
      <c r="B156" s="278" t="s">
        <v>1283</v>
      </c>
      <c r="C156" s="291">
        <v>1500</v>
      </c>
      <c r="D156" s="273">
        <v>0</v>
      </c>
      <c r="E156" s="273">
        <v>45</v>
      </c>
      <c r="F156" s="273">
        <v>1680</v>
      </c>
      <c r="G156" s="273">
        <v>0</v>
      </c>
      <c r="H156" s="273">
        <v>0</v>
      </c>
      <c r="I156" s="273">
        <v>0</v>
      </c>
      <c r="J156" s="273">
        <v>0</v>
      </c>
      <c r="K156" s="273">
        <v>270</v>
      </c>
      <c r="L156" s="273">
        <v>2100</v>
      </c>
      <c r="M156" s="273">
        <v>0</v>
      </c>
      <c r="N156" s="273">
        <v>0</v>
      </c>
      <c r="O156" s="273">
        <v>0</v>
      </c>
      <c r="P156" s="273">
        <f t="shared" si="56"/>
        <v>4095</v>
      </c>
      <c r="Q156" s="25"/>
    </row>
    <row r="157" spans="1:17" ht="25.5" x14ac:dyDescent="0.3">
      <c r="A157" s="78">
        <f t="shared" si="57"/>
        <v>9</v>
      </c>
      <c r="B157" s="278" t="s">
        <v>1284</v>
      </c>
      <c r="C157" s="291">
        <v>7500</v>
      </c>
      <c r="D157" s="273">
        <v>240</v>
      </c>
      <c r="E157" s="273">
        <f>5250+15</f>
        <v>5265</v>
      </c>
      <c r="F157" s="273">
        <v>15</v>
      </c>
      <c r="G157" s="273">
        <v>0</v>
      </c>
      <c r="H157" s="273">
        <v>0</v>
      </c>
      <c r="I157" s="273">
        <v>1875</v>
      </c>
      <c r="J157" s="273">
        <v>180</v>
      </c>
      <c r="K157" s="273">
        <v>1830</v>
      </c>
      <c r="L157" s="273">
        <v>0</v>
      </c>
      <c r="M157" s="273">
        <v>0</v>
      </c>
      <c r="N157" s="273">
        <v>0</v>
      </c>
      <c r="O157" s="273">
        <v>0</v>
      </c>
      <c r="P157" s="273">
        <f t="shared" si="56"/>
        <v>9405</v>
      </c>
      <c r="Q157" s="25"/>
    </row>
    <row r="158" spans="1:17" ht="25.5" x14ac:dyDescent="0.3">
      <c r="A158" s="78">
        <f t="shared" si="57"/>
        <v>10</v>
      </c>
      <c r="B158" s="278" t="s">
        <v>1285</v>
      </c>
      <c r="C158" s="291">
        <v>6000</v>
      </c>
      <c r="D158" s="273">
        <v>45</v>
      </c>
      <c r="E158" s="273">
        <v>2010</v>
      </c>
      <c r="F158" s="273">
        <v>3075</v>
      </c>
      <c r="G158" s="273">
        <v>0</v>
      </c>
      <c r="H158" s="273">
        <v>0</v>
      </c>
      <c r="I158" s="273">
        <v>0</v>
      </c>
      <c r="J158" s="273">
        <v>0</v>
      </c>
      <c r="K158" s="273">
        <v>30</v>
      </c>
      <c r="L158" s="273">
        <v>0</v>
      </c>
      <c r="M158" s="273">
        <v>0</v>
      </c>
      <c r="N158" s="273">
        <v>0</v>
      </c>
      <c r="O158" s="273">
        <v>0</v>
      </c>
      <c r="P158" s="273">
        <f t="shared" si="56"/>
        <v>5160</v>
      </c>
      <c r="Q158" s="25"/>
    </row>
    <row r="159" spans="1:17" ht="25.5" x14ac:dyDescent="0.3">
      <c r="A159" s="78">
        <f t="shared" si="57"/>
        <v>11</v>
      </c>
      <c r="B159" s="278" t="s">
        <v>1286</v>
      </c>
      <c r="C159" s="291">
        <v>7500</v>
      </c>
      <c r="D159" s="273">
        <v>15</v>
      </c>
      <c r="E159" s="273">
        <v>615</v>
      </c>
      <c r="F159" s="273">
        <v>2220</v>
      </c>
      <c r="G159" s="273">
        <v>1605</v>
      </c>
      <c r="H159" s="273">
        <v>0</v>
      </c>
      <c r="I159" s="273">
        <v>1005</v>
      </c>
      <c r="J159" s="273">
        <v>480</v>
      </c>
      <c r="K159" s="273">
        <v>15</v>
      </c>
      <c r="L159" s="273">
        <v>330</v>
      </c>
      <c r="M159" s="273">
        <v>0</v>
      </c>
      <c r="N159" s="273">
        <v>0</v>
      </c>
      <c r="O159" s="273">
        <v>0</v>
      </c>
      <c r="P159" s="273">
        <f>SUM(D159:O159)</f>
        <v>6285</v>
      </c>
      <c r="Q159" s="25"/>
    </row>
    <row r="160" spans="1:17" x14ac:dyDescent="0.25">
      <c r="A160" s="78" t="s">
        <v>1</v>
      </c>
      <c r="B160" s="289" t="s">
        <v>1170</v>
      </c>
      <c r="C160" s="292">
        <f t="shared" ref="C160:P160" si="58">SUM(C161:C172)</f>
        <v>16200</v>
      </c>
      <c r="D160" s="292">
        <f t="shared" si="58"/>
        <v>0</v>
      </c>
      <c r="E160" s="292">
        <f t="shared" si="58"/>
        <v>120</v>
      </c>
      <c r="F160" s="292">
        <f t="shared" si="58"/>
        <v>2985</v>
      </c>
      <c r="G160" s="292">
        <f t="shared" si="58"/>
        <v>6345</v>
      </c>
      <c r="H160" s="292">
        <f t="shared" si="58"/>
        <v>3855</v>
      </c>
      <c r="I160" s="292">
        <f t="shared" si="58"/>
        <v>255</v>
      </c>
      <c r="J160" s="292">
        <f t="shared" si="58"/>
        <v>4465</v>
      </c>
      <c r="K160" s="292">
        <f t="shared" si="58"/>
        <v>15</v>
      </c>
      <c r="L160" s="292">
        <f t="shared" si="58"/>
        <v>7050</v>
      </c>
      <c r="M160" s="292">
        <f t="shared" si="58"/>
        <v>0</v>
      </c>
      <c r="N160" s="292">
        <f t="shared" si="58"/>
        <v>0</v>
      </c>
      <c r="O160" s="292">
        <f t="shared" si="58"/>
        <v>0</v>
      </c>
      <c r="P160" s="292">
        <f t="shared" si="58"/>
        <v>25090</v>
      </c>
      <c r="Q160" s="25"/>
    </row>
    <row r="161" spans="1:17" ht="20.25" customHeight="1" x14ac:dyDescent="0.3">
      <c r="A161" s="78">
        <v>1</v>
      </c>
      <c r="B161" s="278" t="s">
        <v>1287</v>
      </c>
      <c r="C161" s="291">
        <v>2250</v>
      </c>
      <c r="D161" s="273">
        <v>0</v>
      </c>
      <c r="E161" s="273">
        <v>0</v>
      </c>
      <c r="F161" s="273">
        <v>1155</v>
      </c>
      <c r="G161" s="273">
        <v>765</v>
      </c>
      <c r="H161" s="273">
        <v>0</v>
      </c>
      <c r="I161" s="273">
        <v>0</v>
      </c>
      <c r="J161" s="273">
        <v>0</v>
      </c>
      <c r="K161" s="273">
        <v>15</v>
      </c>
      <c r="L161" s="273">
        <v>135</v>
      </c>
      <c r="M161" s="273">
        <v>0</v>
      </c>
      <c r="N161" s="273">
        <v>0</v>
      </c>
      <c r="O161" s="273">
        <v>0</v>
      </c>
      <c r="P161" s="273">
        <f t="shared" si="56"/>
        <v>2070</v>
      </c>
      <c r="Q161" s="25"/>
    </row>
    <row r="162" spans="1:17" ht="25.5" x14ac:dyDescent="0.3">
      <c r="A162" s="78">
        <f>+A161+1</f>
        <v>2</v>
      </c>
      <c r="B162" s="293" t="s">
        <v>1288</v>
      </c>
      <c r="C162" s="291">
        <v>2250</v>
      </c>
      <c r="D162" s="273">
        <v>0</v>
      </c>
      <c r="E162" s="273">
        <v>15</v>
      </c>
      <c r="F162" s="273">
        <v>495</v>
      </c>
      <c r="G162" s="273">
        <v>0</v>
      </c>
      <c r="H162" s="273">
        <v>0</v>
      </c>
      <c r="I162" s="273">
        <v>0</v>
      </c>
      <c r="J162" s="273">
        <v>0</v>
      </c>
      <c r="K162" s="273">
        <v>0</v>
      </c>
      <c r="L162" s="273">
        <v>2010</v>
      </c>
      <c r="M162" s="273">
        <v>0</v>
      </c>
      <c r="N162" s="273">
        <v>0</v>
      </c>
      <c r="O162" s="273">
        <v>0</v>
      </c>
      <c r="P162" s="273">
        <f t="shared" si="56"/>
        <v>2520</v>
      </c>
      <c r="Q162" s="25"/>
    </row>
    <row r="163" spans="1:17" ht="25.5" x14ac:dyDescent="0.3">
      <c r="A163" s="78">
        <f t="shared" ref="A163:A169" si="59">+A162+1</f>
        <v>3</v>
      </c>
      <c r="B163" s="278" t="s">
        <v>1289</v>
      </c>
      <c r="C163" s="291">
        <v>4200</v>
      </c>
      <c r="D163" s="273">
        <v>0</v>
      </c>
      <c r="E163" s="273">
        <v>75</v>
      </c>
      <c r="F163" s="273">
        <v>1290</v>
      </c>
      <c r="G163" s="273">
        <v>0</v>
      </c>
      <c r="H163" s="273">
        <v>0</v>
      </c>
      <c r="I163" s="273">
        <v>0</v>
      </c>
      <c r="J163" s="273">
        <v>0</v>
      </c>
      <c r="K163" s="273">
        <v>0</v>
      </c>
      <c r="L163" s="273">
        <v>0</v>
      </c>
      <c r="M163" s="273">
        <v>0</v>
      </c>
      <c r="N163" s="273">
        <v>0</v>
      </c>
      <c r="O163" s="273">
        <v>0</v>
      </c>
      <c r="P163" s="273">
        <f t="shared" si="56"/>
        <v>1365</v>
      </c>
      <c r="Q163" s="25"/>
    </row>
    <row r="164" spans="1:17" ht="15.75" x14ac:dyDescent="0.3">
      <c r="A164" s="78">
        <f t="shared" si="59"/>
        <v>4</v>
      </c>
      <c r="B164" s="278" t="s">
        <v>1290</v>
      </c>
      <c r="C164" s="291"/>
      <c r="D164" s="273">
        <v>0</v>
      </c>
      <c r="E164" s="273">
        <v>0</v>
      </c>
      <c r="F164" s="273">
        <v>15</v>
      </c>
      <c r="G164" s="273">
        <v>585</v>
      </c>
      <c r="H164" s="273">
        <v>0</v>
      </c>
      <c r="I164" s="273">
        <v>0</v>
      </c>
      <c r="J164" s="273">
        <v>0</v>
      </c>
      <c r="K164" s="273">
        <v>0</v>
      </c>
      <c r="L164" s="273">
        <v>0</v>
      </c>
      <c r="M164" s="273">
        <v>0</v>
      </c>
      <c r="N164" s="273">
        <v>0</v>
      </c>
      <c r="O164" s="273">
        <v>0</v>
      </c>
      <c r="P164" s="273">
        <f t="shared" ref="P164:P165" si="60">SUM(D164:O164)</f>
        <v>600</v>
      </c>
      <c r="Q164" s="25"/>
    </row>
    <row r="165" spans="1:17" ht="15.75" x14ac:dyDescent="0.3">
      <c r="A165" s="78">
        <f t="shared" si="59"/>
        <v>5</v>
      </c>
      <c r="B165" s="128" t="s">
        <v>1291</v>
      </c>
      <c r="D165" s="273">
        <v>0</v>
      </c>
      <c r="E165" s="273">
        <v>0</v>
      </c>
      <c r="F165" s="273">
        <v>0</v>
      </c>
      <c r="G165" s="273">
        <v>0</v>
      </c>
      <c r="H165" s="273">
        <v>1560</v>
      </c>
      <c r="I165" s="273">
        <v>0</v>
      </c>
      <c r="J165" s="273">
        <v>0</v>
      </c>
      <c r="K165" s="273">
        <v>0</v>
      </c>
      <c r="L165" s="273">
        <v>0</v>
      </c>
      <c r="M165" s="273">
        <v>0</v>
      </c>
      <c r="N165" s="273">
        <v>0</v>
      </c>
      <c r="O165" s="273">
        <v>0</v>
      </c>
      <c r="P165" s="273">
        <f t="shared" si="60"/>
        <v>1560</v>
      </c>
      <c r="Q165" s="25"/>
    </row>
    <row r="166" spans="1:17" ht="25.5" x14ac:dyDescent="0.3">
      <c r="A166" s="78">
        <f t="shared" si="59"/>
        <v>6</v>
      </c>
      <c r="B166" s="278" t="s">
        <v>1292</v>
      </c>
      <c r="C166" s="291">
        <v>1500</v>
      </c>
      <c r="D166" s="273">
        <v>0</v>
      </c>
      <c r="E166" s="273">
        <v>0</v>
      </c>
      <c r="F166" s="273">
        <v>0</v>
      </c>
      <c r="G166" s="273">
        <v>225</v>
      </c>
      <c r="H166" s="273">
        <v>1545</v>
      </c>
      <c r="I166" s="273">
        <v>0</v>
      </c>
      <c r="J166" s="273">
        <v>0</v>
      </c>
      <c r="K166" s="273">
        <v>0</v>
      </c>
      <c r="L166" s="273">
        <v>1035</v>
      </c>
      <c r="M166" s="273">
        <v>0</v>
      </c>
      <c r="N166" s="273">
        <v>0</v>
      </c>
      <c r="O166" s="273">
        <v>0</v>
      </c>
      <c r="P166" s="273">
        <f t="shared" si="56"/>
        <v>2805</v>
      </c>
      <c r="Q166" s="25"/>
    </row>
    <row r="167" spans="1:17" ht="25.5" x14ac:dyDescent="0.3">
      <c r="A167" s="78">
        <f t="shared" si="59"/>
        <v>7</v>
      </c>
      <c r="B167" s="278" t="s">
        <v>1293</v>
      </c>
      <c r="C167" s="291">
        <v>3000</v>
      </c>
      <c r="D167" s="273">
        <v>0</v>
      </c>
      <c r="E167" s="273">
        <v>0</v>
      </c>
      <c r="F167" s="273">
        <v>0</v>
      </c>
      <c r="G167" s="273">
        <v>105</v>
      </c>
      <c r="H167" s="273">
        <v>750</v>
      </c>
      <c r="I167" s="273">
        <v>0</v>
      </c>
      <c r="J167" s="273">
        <v>0</v>
      </c>
      <c r="K167" s="273">
        <v>0</v>
      </c>
      <c r="L167" s="273">
        <v>0</v>
      </c>
      <c r="M167" s="273">
        <v>0</v>
      </c>
      <c r="N167" s="273">
        <v>0</v>
      </c>
      <c r="O167" s="273">
        <v>0</v>
      </c>
      <c r="P167" s="273">
        <f t="shared" si="56"/>
        <v>855</v>
      </c>
      <c r="Q167" s="25"/>
    </row>
    <row r="168" spans="1:17" ht="15.75" x14ac:dyDescent="0.3">
      <c r="A168" s="78">
        <f t="shared" si="59"/>
        <v>8</v>
      </c>
      <c r="B168" s="278" t="s">
        <v>1294</v>
      </c>
      <c r="C168" s="291">
        <v>0</v>
      </c>
      <c r="D168" s="273">
        <v>0</v>
      </c>
      <c r="E168" s="273">
        <v>0</v>
      </c>
      <c r="F168" s="273">
        <v>0</v>
      </c>
      <c r="G168" s="273">
        <f>2625</f>
        <v>2625</v>
      </c>
      <c r="H168" s="273">
        <v>0</v>
      </c>
      <c r="I168" s="273">
        <v>225</v>
      </c>
      <c r="J168" s="273">
        <v>3885</v>
      </c>
      <c r="K168" s="273">
        <v>0</v>
      </c>
      <c r="L168" s="273">
        <v>3705</v>
      </c>
      <c r="M168" s="273">
        <v>0</v>
      </c>
      <c r="N168" s="273">
        <v>0</v>
      </c>
      <c r="O168" s="273">
        <v>0</v>
      </c>
      <c r="P168" s="273">
        <f t="shared" ref="P168" si="61">SUM(D168:O168)</f>
        <v>10440</v>
      </c>
      <c r="Q168" s="25"/>
    </row>
    <row r="169" spans="1:17" ht="15.75" x14ac:dyDescent="0.3">
      <c r="A169" s="78">
        <f t="shared" si="59"/>
        <v>9</v>
      </c>
      <c r="B169" s="278" t="s">
        <v>1295</v>
      </c>
      <c r="C169" s="291">
        <v>0</v>
      </c>
      <c r="D169" s="273">
        <v>0</v>
      </c>
      <c r="E169" s="273">
        <v>0</v>
      </c>
      <c r="F169" s="273">
        <v>0</v>
      </c>
      <c r="G169" s="273">
        <v>1170</v>
      </c>
      <c r="H169" s="273">
        <v>0</v>
      </c>
      <c r="I169" s="273">
        <v>0</v>
      </c>
      <c r="J169" s="273">
        <v>0</v>
      </c>
      <c r="K169" s="273">
        <v>0</v>
      </c>
      <c r="L169" s="273">
        <v>0</v>
      </c>
      <c r="M169" s="273">
        <v>0</v>
      </c>
      <c r="N169" s="273">
        <v>0</v>
      </c>
      <c r="O169" s="273">
        <v>0</v>
      </c>
      <c r="P169" s="273">
        <f t="shared" ref="P169" si="62">SUM(D169:O169)</f>
        <v>1170</v>
      </c>
      <c r="Q169" s="25"/>
    </row>
    <row r="170" spans="1:17" ht="25.5" x14ac:dyDescent="0.3">
      <c r="A170" s="78">
        <f>+A169+1</f>
        <v>10</v>
      </c>
      <c r="B170" s="278" t="s">
        <v>1296</v>
      </c>
      <c r="C170" s="291">
        <v>3000</v>
      </c>
      <c r="D170" s="273">
        <v>0</v>
      </c>
      <c r="E170" s="273">
        <v>30</v>
      </c>
      <c r="F170" s="273">
        <v>30</v>
      </c>
      <c r="G170" s="273">
        <v>870</v>
      </c>
      <c r="H170" s="273">
        <v>0</v>
      </c>
      <c r="I170" s="273">
        <v>0</v>
      </c>
      <c r="J170" s="273">
        <v>0</v>
      </c>
      <c r="K170" s="273">
        <v>0</v>
      </c>
      <c r="L170" s="273">
        <v>60</v>
      </c>
      <c r="M170" s="273">
        <v>0</v>
      </c>
      <c r="N170" s="273">
        <v>0</v>
      </c>
      <c r="O170" s="273">
        <v>0</v>
      </c>
      <c r="P170" s="273">
        <f>SUM(D170:O170)</f>
        <v>990</v>
      </c>
      <c r="Q170" s="25"/>
    </row>
    <row r="171" spans="1:17" ht="25.5" x14ac:dyDescent="0.3">
      <c r="A171" s="78"/>
      <c r="B171" s="278" t="s">
        <v>1297</v>
      </c>
      <c r="C171" s="291">
        <v>0</v>
      </c>
      <c r="D171" s="273">
        <v>0</v>
      </c>
      <c r="E171" s="273">
        <v>0</v>
      </c>
      <c r="F171" s="273">
        <v>0</v>
      </c>
      <c r="G171" s="273">
        <v>0</v>
      </c>
      <c r="H171" s="273">
        <v>0</v>
      </c>
      <c r="I171" s="273">
        <v>30</v>
      </c>
      <c r="J171" s="273">
        <v>580</v>
      </c>
      <c r="K171" s="273">
        <v>0</v>
      </c>
      <c r="L171" s="273">
        <v>0</v>
      </c>
      <c r="M171" s="273">
        <v>0</v>
      </c>
      <c r="N171" s="273">
        <v>0</v>
      </c>
      <c r="O171" s="273">
        <v>0</v>
      </c>
      <c r="P171" s="273">
        <f>SUM(D171:O171)</f>
        <v>610</v>
      </c>
      <c r="Q171" s="25"/>
    </row>
    <row r="172" spans="1:17" ht="24" x14ac:dyDescent="0.3">
      <c r="A172" s="78"/>
      <c r="B172" s="282" t="s">
        <v>1298</v>
      </c>
      <c r="C172" s="273">
        <v>0</v>
      </c>
      <c r="D172" s="273">
        <v>0</v>
      </c>
      <c r="E172" s="273">
        <v>0</v>
      </c>
      <c r="F172" s="273">
        <v>0</v>
      </c>
      <c r="G172" s="273">
        <v>0</v>
      </c>
      <c r="H172" s="273">
        <v>0</v>
      </c>
      <c r="I172" s="273">
        <v>0</v>
      </c>
      <c r="J172" s="273">
        <v>0</v>
      </c>
      <c r="K172" s="273">
        <v>0</v>
      </c>
      <c r="L172" s="273">
        <v>105</v>
      </c>
      <c r="M172" s="273">
        <v>0</v>
      </c>
      <c r="N172" s="273">
        <v>0</v>
      </c>
      <c r="O172" s="273">
        <v>0</v>
      </c>
      <c r="P172" s="273">
        <f>SUM(D172:O172)</f>
        <v>105</v>
      </c>
      <c r="Q172" s="79"/>
    </row>
    <row r="173" spans="1:17" x14ac:dyDescent="0.25">
      <c r="A173" s="82"/>
      <c r="B173" s="289" t="s">
        <v>1179</v>
      </c>
      <c r="C173" s="290">
        <f>SUM(C174:C177)</f>
        <v>30750</v>
      </c>
      <c r="D173" s="290">
        <f t="shared" ref="D173:P173" si="63">SUM(D174:D177)</f>
        <v>45</v>
      </c>
      <c r="E173" s="290">
        <f t="shared" si="63"/>
        <v>15</v>
      </c>
      <c r="F173" s="290">
        <f t="shared" si="63"/>
        <v>10965</v>
      </c>
      <c r="G173" s="290">
        <f t="shared" si="63"/>
        <v>0</v>
      </c>
      <c r="H173" s="290">
        <f t="shared" si="63"/>
        <v>0</v>
      </c>
      <c r="I173" s="290">
        <f t="shared" si="63"/>
        <v>0</v>
      </c>
      <c r="J173" s="290">
        <f t="shared" si="63"/>
        <v>0</v>
      </c>
      <c r="K173" s="290">
        <f t="shared" si="63"/>
        <v>0</v>
      </c>
      <c r="L173" s="290">
        <f t="shared" si="63"/>
        <v>0</v>
      </c>
      <c r="M173" s="290">
        <f t="shared" si="63"/>
        <v>0</v>
      </c>
      <c r="N173" s="290">
        <f t="shared" si="63"/>
        <v>0</v>
      </c>
      <c r="O173" s="290">
        <f t="shared" si="63"/>
        <v>0</v>
      </c>
      <c r="P173" s="290">
        <f t="shared" si="63"/>
        <v>11025</v>
      </c>
      <c r="Q173" s="25"/>
    </row>
    <row r="174" spans="1:17" ht="25.5" x14ac:dyDescent="0.3">
      <c r="A174" s="82">
        <v>1</v>
      </c>
      <c r="B174" s="278" t="s">
        <v>1299</v>
      </c>
      <c r="C174" s="291">
        <v>26000</v>
      </c>
      <c r="D174" s="273">
        <f>30+15</f>
        <v>45</v>
      </c>
      <c r="E174" s="273">
        <v>15</v>
      </c>
      <c r="F174" s="273">
        <v>10965</v>
      </c>
      <c r="G174" s="273">
        <v>0</v>
      </c>
      <c r="H174" s="273">
        <v>0</v>
      </c>
      <c r="I174" s="273">
        <v>0</v>
      </c>
      <c r="J174" s="273">
        <v>0</v>
      </c>
      <c r="K174" s="273">
        <v>0</v>
      </c>
      <c r="L174" s="273">
        <v>0</v>
      </c>
      <c r="M174" s="273">
        <v>0</v>
      </c>
      <c r="N174" s="273">
        <v>0</v>
      </c>
      <c r="O174" s="273">
        <v>0</v>
      </c>
      <c r="P174" s="273">
        <f t="shared" si="56"/>
        <v>11025</v>
      </c>
      <c r="Q174" s="25"/>
    </row>
    <row r="175" spans="1:17" ht="25.5" x14ac:dyDescent="0.3">
      <c r="A175" s="82">
        <f>+A174+1</f>
        <v>2</v>
      </c>
      <c r="B175" s="278" t="s">
        <v>1300</v>
      </c>
      <c r="C175" s="291">
        <v>2500</v>
      </c>
      <c r="D175" s="273">
        <v>0</v>
      </c>
      <c r="E175" s="273">
        <v>0</v>
      </c>
      <c r="F175" s="273">
        <v>0</v>
      </c>
      <c r="G175" s="273">
        <v>0</v>
      </c>
      <c r="H175" s="273">
        <v>0</v>
      </c>
      <c r="I175" s="273">
        <v>0</v>
      </c>
      <c r="J175" s="273">
        <v>0</v>
      </c>
      <c r="K175" s="273">
        <v>0</v>
      </c>
      <c r="L175" s="273">
        <v>0</v>
      </c>
      <c r="M175" s="273">
        <v>0</v>
      </c>
      <c r="N175" s="273">
        <v>0</v>
      </c>
      <c r="O175" s="273">
        <v>0</v>
      </c>
      <c r="P175" s="273">
        <f t="shared" si="56"/>
        <v>0</v>
      </c>
      <c r="Q175" s="25"/>
    </row>
    <row r="176" spans="1:17" ht="25.5" x14ac:dyDescent="0.3">
      <c r="A176" s="82">
        <f t="shared" ref="A176:A177" si="64">+A175+1</f>
        <v>3</v>
      </c>
      <c r="B176" s="278" t="s">
        <v>1301</v>
      </c>
      <c r="C176" s="291">
        <v>2250</v>
      </c>
      <c r="D176" s="273">
        <v>0</v>
      </c>
      <c r="E176" s="273">
        <v>0</v>
      </c>
      <c r="F176" s="273">
        <v>0</v>
      </c>
      <c r="G176" s="273">
        <v>0</v>
      </c>
      <c r="H176" s="273">
        <v>0</v>
      </c>
      <c r="I176" s="273">
        <v>0</v>
      </c>
      <c r="J176" s="273">
        <v>0</v>
      </c>
      <c r="K176" s="273">
        <v>0</v>
      </c>
      <c r="L176" s="273">
        <v>0</v>
      </c>
      <c r="M176" s="273">
        <v>0</v>
      </c>
      <c r="N176" s="273">
        <v>0</v>
      </c>
      <c r="O176" s="273">
        <v>0</v>
      </c>
      <c r="P176" s="273">
        <f t="shared" si="56"/>
        <v>0</v>
      </c>
      <c r="Q176" s="25"/>
    </row>
    <row r="177" spans="1:17" ht="15.75" x14ac:dyDescent="0.3">
      <c r="A177" s="82">
        <f t="shared" si="64"/>
        <v>4</v>
      </c>
      <c r="B177" s="278" t="s">
        <v>1302</v>
      </c>
      <c r="C177" s="291">
        <v>0</v>
      </c>
      <c r="D177" s="273">
        <v>0</v>
      </c>
      <c r="E177" s="273">
        <v>0</v>
      </c>
      <c r="F177" s="273">
        <v>0</v>
      </c>
      <c r="G177" s="273">
        <v>0</v>
      </c>
      <c r="H177" s="273">
        <v>0</v>
      </c>
      <c r="I177" s="273">
        <v>0</v>
      </c>
      <c r="J177" s="273">
        <v>0</v>
      </c>
      <c r="K177" s="273">
        <v>0</v>
      </c>
      <c r="L177" s="273">
        <v>0</v>
      </c>
      <c r="M177" s="273">
        <v>0</v>
      </c>
      <c r="N177" s="273">
        <v>0</v>
      </c>
      <c r="O177" s="273">
        <v>0</v>
      </c>
      <c r="P177" s="273">
        <f t="shared" si="56"/>
        <v>0</v>
      </c>
      <c r="Q177" s="25"/>
    </row>
    <row r="178" spans="1:17" x14ac:dyDescent="0.25">
      <c r="A178" s="82" t="s">
        <v>1</v>
      </c>
      <c r="B178" s="289" t="s">
        <v>1176</v>
      </c>
      <c r="C178" s="290">
        <f t="shared" ref="C178:P178" si="65">SUM(C179:C181)</f>
        <v>17250</v>
      </c>
      <c r="D178" s="290">
        <f t="shared" si="65"/>
        <v>135</v>
      </c>
      <c r="E178" s="290">
        <f t="shared" si="65"/>
        <v>7230</v>
      </c>
      <c r="F178" s="290">
        <f t="shared" si="65"/>
        <v>1035</v>
      </c>
      <c r="G178" s="290">
        <f t="shared" si="65"/>
        <v>0</v>
      </c>
      <c r="H178" s="290">
        <f t="shared" si="65"/>
        <v>0</v>
      </c>
      <c r="I178" s="290">
        <f t="shared" si="65"/>
        <v>4245</v>
      </c>
      <c r="J178" s="290">
        <f t="shared" si="65"/>
        <v>0</v>
      </c>
      <c r="K178" s="290">
        <f t="shared" si="65"/>
        <v>3855</v>
      </c>
      <c r="L178" s="290">
        <f t="shared" si="65"/>
        <v>6315</v>
      </c>
      <c r="M178" s="290">
        <f t="shared" si="65"/>
        <v>0</v>
      </c>
      <c r="N178" s="290">
        <f t="shared" si="65"/>
        <v>0</v>
      </c>
      <c r="O178" s="290">
        <f t="shared" si="65"/>
        <v>0</v>
      </c>
      <c r="P178" s="290">
        <f t="shared" si="65"/>
        <v>22815</v>
      </c>
      <c r="Q178" s="25"/>
    </row>
    <row r="179" spans="1:17" ht="15.75" x14ac:dyDescent="0.3">
      <c r="A179" s="82">
        <v>1</v>
      </c>
      <c r="B179" s="278" t="s">
        <v>1303</v>
      </c>
      <c r="C179" s="291">
        <v>13500</v>
      </c>
      <c r="D179" s="290">
        <v>135</v>
      </c>
      <c r="E179" s="273">
        <v>6765</v>
      </c>
      <c r="F179" s="273">
        <v>0</v>
      </c>
      <c r="G179" s="273">
        <v>0</v>
      </c>
      <c r="H179" s="273">
        <v>0</v>
      </c>
      <c r="I179" s="273">
        <v>4245</v>
      </c>
      <c r="J179" s="273">
        <v>0</v>
      </c>
      <c r="K179" s="273">
        <v>3345</v>
      </c>
      <c r="L179" s="273">
        <v>3375</v>
      </c>
      <c r="M179" s="273">
        <v>0</v>
      </c>
      <c r="N179" s="273">
        <v>0</v>
      </c>
      <c r="O179" s="273">
        <v>0</v>
      </c>
      <c r="P179" s="273">
        <f t="shared" si="56"/>
        <v>17865</v>
      </c>
      <c r="Q179" s="79"/>
    </row>
    <row r="180" spans="1:17" ht="15.75" x14ac:dyDescent="0.3">
      <c r="A180" s="82">
        <f>+A179+1</f>
        <v>2</v>
      </c>
      <c r="B180" s="278" t="s">
        <v>1304</v>
      </c>
      <c r="C180" s="291">
        <v>1500</v>
      </c>
      <c r="D180" s="273">
        <v>0</v>
      </c>
      <c r="E180" s="273">
        <v>465</v>
      </c>
      <c r="F180" s="273">
        <v>1035</v>
      </c>
      <c r="G180" s="273">
        <v>0</v>
      </c>
      <c r="H180" s="273">
        <v>0</v>
      </c>
      <c r="I180" s="273">
        <v>0</v>
      </c>
      <c r="J180" s="273">
        <v>0</v>
      </c>
      <c r="K180" s="273">
        <v>0</v>
      </c>
      <c r="L180" s="273">
        <v>0</v>
      </c>
      <c r="M180" s="273">
        <v>0</v>
      </c>
      <c r="N180" s="273">
        <v>0</v>
      </c>
      <c r="O180" s="273">
        <v>0</v>
      </c>
      <c r="P180" s="273">
        <f>SUM(D180:O180)</f>
        <v>1500</v>
      </c>
      <c r="Q180" s="79"/>
    </row>
    <row r="181" spans="1:17" ht="15.75" x14ac:dyDescent="0.3">
      <c r="A181" s="82">
        <f>+A180+1</f>
        <v>3</v>
      </c>
      <c r="B181" s="278" t="s">
        <v>1305</v>
      </c>
      <c r="C181" s="291">
        <v>2250</v>
      </c>
      <c r="D181" s="273">
        <v>0</v>
      </c>
      <c r="E181" s="273">
        <v>0</v>
      </c>
      <c r="F181" s="273">
        <v>0</v>
      </c>
      <c r="G181" s="273">
        <v>0</v>
      </c>
      <c r="H181" s="273">
        <v>0</v>
      </c>
      <c r="I181" s="273">
        <v>0</v>
      </c>
      <c r="J181" s="273">
        <v>0</v>
      </c>
      <c r="K181" s="273">
        <v>510</v>
      </c>
      <c r="L181" s="273">
        <v>2940</v>
      </c>
      <c r="M181" s="273">
        <v>0</v>
      </c>
      <c r="N181" s="273">
        <v>0</v>
      </c>
      <c r="O181" s="273">
        <v>0</v>
      </c>
      <c r="P181" s="273">
        <f t="shared" si="56"/>
        <v>3450</v>
      </c>
      <c r="Q181" s="79"/>
    </row>
    <row r="182" spans="1:17" x14ac:dyDescent="0.25">
      <c r="A182" s="82"/>
      <c r="B182" s="289" t="s">
        <v>1306</v>
      </c>
      <c r="C182" s="290">
        <v>150840</v>
      </c>
      <c r="D182" s="290">
        <f t="shared" ref="D182:P182" si="66">SUM(D183:D186)</f>
        <v>15</v>
      </c>
      <c r="E182" s="290">
        <f t="shared" si="66"/>
        <v>0</v>
      </c>
      <c r="F182" s="290">
        <f t="shared" si="66"/>
        <v>15</v>
      </c>
      <c r="G182" s="290">
        <f t="shared" si="66"/>
        <v>300</v>
      </c>
      <c r="H182" s="290">
        <f t="shared" si="66"/>
        <v>2970</v>
      </c>
      <c r="I182" s="290">
        <f t="shared" si="66"/>
        <v>0</v>
      </c>
      <c r="J182" s="290">
        <f t="shared" si="66"/>
        <v>0</v>
      </c>
      <c r="K182" s="290">
        <f t="shared" si="66"/>
        <v>15</v>
      </c>
      <c r="L182" s="290">
        <f t="shared" si="66"/>
        <v>1455</v>
      </c>
      <c r="M182" s="290">
        <f t="shared" si="66"/>
        <v>0</v>
      </c>
      <c r="N182" s="290">
        <f t="shared" si="66"/>
        <v>0</v>
      </c>
      <c r="O182" s="290">
        <f t="shared" si="66"/>
        <v>0</v>
      </c>
      <c r="P182" s="290">
        <f t="shared" si="66"/>
        <v>4770</v>
      </c>
      <c r="Q182" s="79"/>
    </row>
    <row r="183" spans="1:17" ht="24" x14ac:dyDescent="0.3">
      <c r="A183" s="82">
        <v>1</v>
      </c>
      <c r="B183" s="282" t="s">
        <v>1307</v>
      </c>
      <c r="C183" s="291">
        <v>600</v>
      </c>
      <c r="D183" s="273">
        <v>15</v>
      </c>
      <c r="E183" s="273">
        <v>0</v>
      </c>
      <c r="F183" s="273">
        <v>0</v>
      </c>
      <c r="G183" s="273">
        <v>0</v>
      </c>
      <c r="H183" s="273">
        <v>0</v>
      </c>
      <c r="I183" s="273">
        <v>0</v>
      </c>
      <c r="J183" s="273">
        <v>0</v>
      </c>
      <c r="K183" s="273">
        <v>0</v>
      </c>
      <c r="L183" s="273">
        <v>0</v>
      </c>
      <c r="M183" s="273">
        <v>0</v>
      </c>
      <c r="N183" s="273">
        <v>0</v>
      </c>
      <c r="O183" s="273">
        <v>0</v>
      </c>
      <c r="P183" s="273">
        <f t="shared" ref="P183:P184" si="67">SUM(D183:O183)</f>
        <v>15</v>
      </c>
      <c r="Q183" s="79"/>
    </row>
    <row r="184" spans="1:17" ht="15.75" x14ac:dyDescent="0.3">
      <c r="A184" s="82">
        <f>+A183+1</f>
        <v>2</v>
      </c>
      <c r="B184" s="282" t="s">
        <v>1308</v>
      </c>
      <c r="C184" s="291"/>
      <c r="D184" s="273">
        <v>0</v>
      </c>
      <c r="E184" s="273">
        <v>0</v>
      </c>
      <c r="F184" s="273">
        <v>15</v>
      </c>
      <c r="G184" s="273">
        <v>300</v>
      </c>
      <c r="H184" s="273">
        <v>2970</v>
      </c>
      <c r="I184" s="273">
        <v>0</v>
      </c>
      <c r="J184" s="273">
        <v>0</v>
      </c>
      <c r="K184" s="273">
        <v>15</v>
      </c>
      <c r="L184" s="273">
        <v>45</v>
      </c>
      <c r="M184" s="273">
        <v>0</v>
      </c>
      <c r="N184" s="273">
        <v>0</v>
      </c>
      <c r="O184" s="273">
        <v>0</v>
      </c>
      <c r="P184" s="273">
        <f t="shared" si="67"/>
        <v>3345</v>
      </c>
      <c r="Q184" s="79"/>
    </row>
    <row r="185" spans="1:17" ht="15.75" x14ac:dyDescent="0.3">
      <c r="A185" s="82">
        <f>+A184+1</f>
        <v>3</v>
      </c>
      <c r="B185" s="279" t="s">
        <v>1309</v>
      </c>
      <c r="C185" s="291">
        <v>1800</v>
      </c>
      <c r="D185" s="273">
        <v>0</v>
      </c>
      <c r="E185" s="273">
        <v>0</v>
      </c>
      <c r="F185" s="273">
        <v>0</v>
      </c>
      <c r="G185" s="273">
        <v>0</v>
      </c>
      <c r="H185" s="273">
        <v>0</v>
      </c>
      <c r="I185" s="273">
        <v>0</v>
      </c>
      <c r="J185" s="273">
        <v>0</v>
      </c>
      <c r="K185" s="273">
        <v>0</v>
      </c>
      <c r="L185" s="273">
        <v>0</v>
      </c>
      <c r="M185" s="273">
        <v>0</v>
      </c>
      <c r="N185" s="273">
        <v>0</v>
      </c>
      <c r="O185" s="273">
        <v>0</v>
      </c>
      <c r="P185" s="273">
        <f>SUM(D185:O185)</f>
        <v>0</v>
      </c>
      <c r="Q185" s="79"/>
    </row>
    <row r="186" spans="1:17" ht="15.75" x14ac:dyDescent="0.3">
      <c r="A186" s="82"/>
      <c r="B186" s="282" t="s">
        <v>1310</v>
      </c>
      <c r="C186" s="291"/>
      <c r="D186" s="273">
        <v>0</v>
      </c>
      <c r="E186" s="273">
        <v>0</v>
      </c>
      <c r="F186" s="273">
        <v>0</v>
      </c>
      <c r="G186" s="273">
        <v>0</v>
      </c>
      <c r="H186" s="273">
        <v>0</v>
      </c>
      <c r="I186" s="273">
        <v>0</v>
      </c>
      <c r="J186" s="273">
        <v>0</v>
      </c>
      <c r="K186" s="273">
        <v>0</v>
      </c>
      <c r="L186" s="273">
        <v>1410</v>
      </c>
      <c r="M186" s="273">
        <v>0</v>
      </c>
      <c r="N186" s="273">
        <v>0</v>
      </c>
      <c r="O186" s="273">
        <v>0</v>
      </c>
      <c r="P186" s="273">
        <f>SUM(D186:O186)</f>
        <v>1410</v>
      </c>
      <c r="Q186" s="79"/>
    </row>
    <row r="187" spans="1:17" x14ac:dyDescent="0.25">
      <c r="A187" s="81"/>
      <c r="B187" s="268" t="s">
        <v>1311</v>
      </c>
      <c r="C187" s="283">
        <v>54180</v>
      </c>
      <c r="D187" s="283">
        <f t="shared" ref="D187:P187" si="68">SUM(D188:D206)</f>
        <v>780</v>
      </c>
      <c r="E187" s="283">
        <f t="shared" si="68"/>
        <v>1350</v>
      </c>
      <c r="F187" s="283">
        <f t="shared" si="68"/>
        <v>12255</v>
      </c>
      <c r="G187" s="283">
        <f t="shared" si="68"/>
        <v>6900</v>
      </c>
      <c r="H187" s="283">
        <f t="shared" si="68"/>
        <v>13455</v>
      </c>
      <c r="I187" s="283">
        <f t="shared" si="68"/>
        <v>105</v>
      </c>
      <c r="J187" s="283">
        <f t="shared" si="68"/>
        <v>75</v>
      </c>
      <c r="K187" s="283">
        <f t="shared" si="68"/>
        <v>1245</v>
      </c>
      <c r="L187" s="283">
        <f t="shared" si="68"/>
        <v>13350</v>
      </c>
      <c r="M187" s="283">
        <f t="shared" si="68"/>
        <v>0</v>
      </c>
      <c r="N187" s="283">
        <f t="shared" si="68"/>
        <v>0</v>
      </c>
      <c r="O187" s="283">
        <f t="shared" si="68"/>
        <v>0</v>
      </c>
      <c r="P187" s="283">
        <f t="shared" si="68"/>
        <v>49515</v>
      </c>
      <c r="Q187" s="270">
        <f>+P187/C187</f>
        <v>0.91389811738648952</v>
      </c>
    </row>
    <row r="188" spans="1:17" ht="15.75" x14ac:dyDescent="0.3">
      <c r="A188" s="82">
        <v>1</v>
      </c>
      <c r="B188" s="278" t="s">
        <v>1312</v>
      </c>
      <c r="C188" s="291">
        <v>13500</v>
      </c>
      <c r="D188" s="273">
        <v>780</v>
      </c>
      <c r="E188" s="273">
        <v>0</v>
      </c>
      <c r="F188" s="273">
        <v>0</v>
      </c>
      <c r="G188" s="273">
        <v>0</v>
      </c>
      <c r="H188" s="273">
        <v>0</v>
      </c>
      <c r="I188" s="273">
        <v>0</v>
      </c>
      <c r="J188" s="273">
        <v>0</v>
      </c>
      <c r="K188" s="273">
        <v>0</v>
      </c>
      <c r="L188" s="273">
        <v>0</v>
      </c>
      <c r="M188" s="273">
        <v>0</v>
      </c>
      <c r="N188" s="273">
        <v>0</v>
      </c>
      <c r="O188" s="273">
        <v>0</v>
      </c>
      <c r="P188" s="273">
        <f t="shared" ref="P188:P195" si="69">SUM(D188:O188)</f>
        <v>780</v>
      </c>
      <c r="Q188" s="25"/>
    </row>
    <row r="189" spans="1:17" ht="15.75" x14ac:dyDescent="0.3">
      <c r="A189" s="82">
        <f>+A188+1</f>
        <v>2</v>
      </c>
      <c r="B189" s="278" t="s">
        <v>1313</v>
      </c>
      <c r="C189" s="291">
        <v>13500</v>
      </c>
      <c r="D189" s="273">
        <v>0</v>
      </c>
      <c r="E189" s="273">
        <v>1350</v>
      </c>
      <c r="F189" s="273">
        <v>0</v>
      </c>
      <c r="G189" s="273">
        <v>0</v>
      </c>
      <c r="H189" s="273">
        <v>0</v>
      </c>
      <c r="I189" s="273">
        <v>0</v>
      </c>
      <c r="J189" s="273">
        <v>0</v>
      </c>
      <c r="K189" s="273">
        <v>0</v>
      </c>
      <c r="L189" s="273">
        <v>0</v>
      </c>
      <c r="M189" s="273">
        <v>0</v>
      </c>
      <c r="N189" s="273">
        <v>0</v>
      </c>
      <c r="O189" s="273">
        <v>0</v>
      </c>
      <c r="P189" s="273">
        <f t="shared" si="69"/>
        <v>1350</v>
      </c>
      <c r="Q189" s="25"/>
    </row>
    <row r="190" spans="1:17" ht="15.75" x14ac:dyDescent="0.3">
      <c r="A190" s="82">
        <f t="shared" ref="A190:A197" si="70">+A189+1</f>
        <v>3</v>
      </c>
      <c r="B190" s="278" t="s">
        <v>1314</v>
      </c>
      <c r="C190" s="291"/>
      <c r="D190" s="273">
        <v>0</v>
      </c>
      <c r="E190" s="273">
        <v>0</v>
      </c>
      <c r="F190" s="273">
        <v>15</v>
      </c>
      <c r="G190" s="273">
        <v>0</v>
      </c>
      <c r="H190" s="273">
        <v>0</v>
      </c>
      <c r="I190" s="273">
        <v>0</v>
      </c>
      <c r="J190" s="273">
        <v>0</v>
      </c>
      <c r="K190" s="273">
        <v>0</v>
      </c>
      <c r="L190" s="273">
        <v>0</v>
      </c>
      <c r="M190" s="273">
        <v>0</v>
      </c>
      <c r="N190" s="273">
        <v>0</v>
      </c>
      <c r="O190" s="273">
        <v>0</v>
      </c>
      <c r="P190" s="273">
        <f t="shared" si="69"/>
        <v>15</v>
      </c>
      <c r="Q190" s="25"/>
    </row>
    <row r="191" spans="1:17" ht="25.5" x14ac:dyDescent="0.3">
      <c r="A191" s="82">
        <f t="shared" si="70"/>
        <v>4</v>
      </c>
      <c r="B191" s="278" t="s">
        <v>1315</v>
      </c>
      <c r="C191" s="291"/>
      <c r="D191" s="273">
        <v>0</v>
      </c>
      <c r="E191" s="273">
        <v>0</v>
      </c>
      <c r="F191" s="273">
        <v>2115</v>
      </c>
      <c r="G191" s="273">
        <v>0</v>
      </c>
      <c r="H191" s="273">
        <v>3330</v>
      </c>
      <c r="I191" s="273">
        <v>0</v>
      </c>
      <c r="J191" s="273">
        <v>0</v>
      </c>
      <c r="K191" s="273">
        <v>0</v>
      </c>
      <c r="L191" s="273">
        <v>0</v>
      </c>
      <c r="M191" s="273">
        <v>0</v>
      </c>
      <c r="N191" s="273">
        <v>0</v>
      </c>
      <c r="O191" s="273">
        <v>0</v>
      </c>
      <c r="P191" s="273">
        <f t="shared" si="69"/>
        <v>5445</v>
      </c>
      <c r="Q191" s="25"/>
    </row>
    <row r="192" spans="1:17" ht="25.5" x14ac:dyDescent="0.3">
      <c r="A192" s="82">
        <f t="shared" si="70"/>
        <v>5</v>
      </c>
      <c r="B192" s="278" t="s">
        <v>1316</v>
      </c>
      <c r="C192" s="291"/>
      <c r="D192" s="273">
        <v>0</v>
      </c>
      <c r="E192" s="273">
        <v>0</v>
      </c>
      <c r="F192" s="273">
        <v>2490</v>
      </c>
      <c r="G192" s="273">
        <v>0</v>
      </c>
      <c r="H192" s="273">
        <v>15</v>
      </c>
      <c r="I192" s="273">
        <v>0</v>
      </c>
      <c r="J192" s="273">
        <v>0</v>
      </c>
      <c r="K192" s="273">
        <v>0</v>
      </c>
      <c r="L192" s="273">
        <v>30</v>
      </c>
      <c r="M192" s="273">
        <v>0</v>
      </c>
      <c r="N192" s="273">
        <v>0</v>
      </c>
      <c r="O192" s="273">
        <v>0</v>
      </c>
      <c r="P192" s="273">
        <f t="shared" si="69"/>
        <v>2535</v>
      </c>
      <c r="Q192" s="25"/>
    </row>
    <row r="193" spans="1:17" ht="25.5" x14ac:dyDescent="0.3">
      <c r="A193" s="82">
        <f t="shared" si="70"/>
        <v>6</v>
      </c>
      <c r="B193" s="278" t="s">
        <v>1317</v>
      </c>
      <c r="C193" s="291"/>
      <c r="D193" s="273">
        <v>0</v>
      </c>
      <c r="E193" s="273">
        <v>0</v>
      </c>
      <c r="F193" s="273">
        <v>5355</v>
      </c>
      <c r="G193" s="273">
        <v>1620</v>
      </c>
      <c r="H193" s="273">
        <v>0</v>
      </c>
      <c r="I193" s="273">
        <v>0</v>
      </c>
      <c r="J193" s="273">
        <v>15</v>
      </c>
      <c r="K193" s="273">
        <v>45</v>
      </c>
      <c r="L193" s="273">
        <v>15</v>
      </c>
      <c r="M193" s="273">
        <v>0</v>
      </c>
      <c r="N193" s="273">
        <v>0</v>
      </c>
      <c r="O193" s="273">
        <v>0</v>
      </c>
      <c r="P193" s="273">
        <f t="shared" si="69"/>
        <v>7050</v>
      </c>
      <c r="Q193" s="25"/>
    </row>
    <row r="194" spans="1:17" ht="25.5" x14ac:dyDescent="0.3">
      <c r="A194" s="82">
        <f t="shared" si="70"/>
        <v>7</v>
      </c>
      <c r="B194" s="278" t="s">
        <v>1318</v>
      </c>
      <c r="C194" s="291"/>
      <c r="D194" s="273">
        <v>0</v>
      </c>
      <c r="E194" s="273">
        <v>0</v>
      </c>
      <c r="F194" s="273">
        <v>2280</v>
      </c>
      <c r="G194" s="273">
        <v>0</v>
      </c>
      <c r="H194" s="273">
        <v>0</v>
      </c>
      <c r="I194" s="273">
        <v>0</v>
      </c>
      <c r="J194" s="273">
        <v>0</v>
      </c>
      <c r="K194" s="273">
        <v>0</v>
      </c>
      <c r="L194" s="273">
        <v>0</v>
      </c>
      <c r="M194" s="273">
        <v>0</v>
      </c>
      <c r="N194" s="273">
        <v>0</v>
      </c>
      <c r="O194" s="273">
        <v>0</v>
      </c>
      <c r="P194" s="273">
        <f t="shared" si="69"/>
        <v>2280</v>
      </c>
      <c r="Q194" s="25"/>
    </row>
    <row r="195" spans="1:17" ht="15.75" x14ac:dyDescent="0.3">
      <c r="A195" s="82">
        <f t="shared" si="70"/>
        <v>8</v>
      </c>
      <c r="B195" s="278" t="s">
        <v>1319</v>
      </c>
      <c r="C195" s="291"/>
      <c r="D195" s="273">
        <v>0</v>
      </c>
      <c r="E195" s="273">
        <v>0</v>
      </c>
      <c r="F195" s="273">
        <v>0</v>
      </c>
      <c r="G195" s="273">
        <v>5280</v>
      </c>
      <c r="H195" s="273">
        <v>0</v>
      </c>
      <c r="I195" s="273">
        <v>0</v>
      </c>
      <c r="J195" s="273">
        <v>0</v>
      </c>
      <c r="K195" s="273">
        <v>0</v>
      </c>
      <c r="L195" s="273">
        <v>0</v>
      </c>
      <c r="M195" s="273">
        <v>0</v>
      </c>
      <c r="N195" s="273">
        <v>0</v>
      </c>
      <c r="O195" s="273">
        <v>0</v>
      </c>
      <c r="P195" s="273">
        <f t="shared" si="69"/>
        <v>5280</v>
      </c>
      <c r="Q195" s="79"/>
    </row>
    <row r="196" spans="1:17" ht="15.75" x14ac:dyDescent="0.3">
      <c r="A196" s="82">
        <f t="shared" si="70"/>
        <v>9</v>
      </c>
      <c r="B196" s="278" t="s">
        <v>1320</v>
      </c>
      <c r="C196" s="291">
        <v>13500</v>
      </c>
      <c r="D196" s="273">
        <v>0</v>
      </c>
      <c r="E196" s="273">
        <v>0</v>
      </c>
      <c r="F196" s="273">
        <v>0</v>
      </c>
      <c r="G196" s="273">
        <v>0</v>
      </c>
      <c r="H196" s="273">
        <v>0</v>
      </c>
      <c r="I196" s="273">
        <v>0</v>
      </c>
      <c r="J196" s="273">
        <v>0</v>
      </c>
      <c r="K196" s="273">
        <v>0</v>
      </c>
      <c r="L196" s="273">
        <v>0</v>
      </c>
      <c r="M196" s="273">
        <v>0</v>
      </c>
      <c r="N196" s="273">
        <v>0</v>
      </c>
      <c r="O196" s="273">
        <v>0</v>
      </c>
      <c r="P196" s="273">
        <f>SUM(D196:O196)</f>
        <v>0</v>
      </c>
      <c r="Q196" s="25"/>
    </row>
    <row r="197" spans="1:17" ht="18" customHeight="1" x14ac:dyDescent="0.3">
      <c r="A197" s="82">
        <f t="shared" si="70"/>
        <v>10</v>
      </c>
      <c r="B197" s="278" t="s">
        <v>1321</v>
      </c>
      <c r="C197" s="291"/>
      <c r="D197" s="273">
        <v>0</v>
      </c>
      <c r="E197" s="273">
        <v>0</v>
      </c>
      <c r="F197" s="273">
        <v>0</v>
      </c>
      <c r="G197" s="273">
        <v>0</v>
      </c>
      <c r="H197" s="273">
        <v>10110</v>
      </c>
      <c r="I197" s="273">
        <v>105</v>
      </c>
      <c r="J197" s="273">
        <v>60</v>
      </c>
      <c r="K197" s="273">
        <v>15</v>
      </c>
      <c r="L197" s="273">
        <v>0</v>
      </c>
      <c r="M197" s="273">
        <v>0</v>
      </c>
      <c r="N197" s="273">
        <v>0</v>
      </c>
      <c r="O197" s="273">
        <v>0</v>
      </c>
      <c r="P197" s="273">
        <f t="shared" ref="P197:P198" si="71">SUM(D197:O197)</f>
        <v>10290</v>
      </c>
      <c r="Q197" s="25"/>
    </row>
    <row r="198" spans="1:17" ht="27.75" customHeight="1" x14ac:dyDescent="0.3">
      <c r="A198" s="82"/>
      <c r="B198" s="278" t="s">
        <v>1322</v>
      </c>
      <c r="C198" s="291"/>
      <c r="D198" s="273">
        <v>0</v>
      </c>
      <c r="E198" s="273">
        <v>0</v>
      </c>
      <c r="F198" s="273">
        <v>0</v>
      </c>
      <c r="G198" s="273">
        <v>0</v>
      </c>
      <c r="H198" s="273">
        <v>0</v>
      </c>
      <c r="I198" s="273">
        <v>0</v>
      </c>
      <c r="J198" s="273">
        <v>0</v>
      </c>
      <c r="K198" s="273">
        <v>60</v>
      </c>
      <c r="L198" s="273">
        <v>4965</v>
      </c>
      <c r="M198" s="273"/>
      <c r="N198" s="273"/>
      <c r="O198" s="273"/>
      <c r="P198" s="273">
        <f t="shared" si="71"/>
        <v>5025</v>
      </c>
      <c r="Q198" s="25"/>
    </row>
    <row r="199" spans="1:17" ht="25.5" customHeight="1" x14ac:dyDescent="0.3">
      <c r="A199" s="82"/>
      <c r="B199" s="278" t="s">
        <v>1323</v>
      </c>
      <c r="C199" s="291"/>
      <c r="D199" s="273">
        <v>0</v>
      </c>
      <c r="E199" s="273">
        <v>0</v>
      </c>
      <c r="F199" s="273">
        <v>0</v>
      </c>
      <c r="G199" s="273">
        <v>0</v>
      </c>
      <c r="H199" s="273">
        <v>0</v>
      </c>
      <c r="I199" s="273">
        <v>0</v>
      </c>
      <c r="J199" s="273">
        <v>0</v>
      </c>
      <c r="K199" s="273">
        <v>1125</v>
      </c>
      <c r="L199" s="273">
        <v>3600</v>
      </c>
      <c r="M199" s="273"/>
      <c r="N199" s="273"/>
      <c r="O199" s="273"/>
      <c r="P199" s="273">
        <f t="shared" ref="P199" si="72">SUM(D199:O199)</f>
        <v>4725</v>
      </c>
      <c r="Q199" s="25"/>
    </row>
    <row r="200" spans="1:17" ht="25.5" customHeight="1" x14ac:dyDescent="0.3">
      <c r="A200" s="82"/>
      <c r="B200" s="278" t="s">
        <v>1324</v>
      </c>
      <c r="C200" s="291"/>
      <c r="D200" s="273">
        <v>0</v>
      </c>
      <c r="E200" s="273">
        <v>0</v>
      </c>
      <c r="F200" s="273">
        <v>0</v>
      </c>
      <c r="G200" s="273">
        <v>0</v>
      </c>
      <c r="H200" s="273">
        <v>0</v>
      </c>
      <c r="I200" s="273">
        <v>0</v>
      </c>
      <c r="J200" s="273">
        <v>0</v>
      </c>
      <c r="K200" s="273">
        <v>0</v>
      </c>
      <c r="L200" s="273">
        <v>3495</v>
      </c>
      <c r="M200" s="273"/>
      <c r="N200" s="273"/>
      <c r="O200" s="273"/>
      <c r="P200" s="273">
        <f t="shared" ref="P200:P202" si="73">SUM(D200:O200)</f>
        <v>3495</v>
      </c>
      <c r="Q200" s="25"/>
    </row>
    <row r="201" spans="1:17" ht="25.5" customHeight="1" x14ac:dyDescent="0.3">
      <c r="A201" s="82"/>
      <c r="B201" s="278" t="s">
        <v>1325</v>
      </c>
      <c r="C201" s="291"/>
      <c r="D201" s="273">
        <v>0</v>
      </c>
      <c r="E201" s="273">
        <v>0</v>
      </c>
      <c r="F201" s="273">
        <v>0</v>
      </c>
      <c r="G201" s="273">
        <v>0</v>
      </c>
      <c r="H201" s="273">
        <v>0</v>
      </c>
      <c r="I201" s="273">
        <v>0</v>
      </c>
      <c r="J201" s="273">
        <v>0</v>
      </c>
      <c r="K201" s="273">
        <v>0</v>
      </c>
      <c r="L201" s="273">
        <v>375</v>
      </c>
      <c r="M201" s="273"/>
      <c r="N201" s="273"/>
      <c r="O201" s="273"/>
      <c r="P201" s="273">
        <f t="shared" si="73"/>
        <v>375</v>
      </c>
      <c r="Q201" s="25"/>
    </row>
    <row r="202" spans="1:17" ht="25.5" customHeight="1" x14ac:dyDescent="0.3">
      <c r="A202" s="82"/>
      <c r="B202" s="278" t="s">
        <v>1326</v>
      </c>
      <c r="C202" s="291"/>
      <c r="D202" s="273">
        <v>0</v>
      </c>
      <c r="E202" s="273">
        <v>0</v>
      </c>
      <c r="F202" s="273">
        <v>0</v>
      </c>
      <c r="G202" s="273">
        <v>0</v>
      </c>
      <c r="H202" s="273">
        <v>0</v>
      </c>
      <c r="I202" s="273">
        <v>0</v>
      </c>
      <c r="J202" s="273">
        <v>0</v>
      </c>
      <c r="K202" s="273">
        <v>0</v>
      </c>
      <c r="L202" s="273">
        <v>870</v>
      </c>
      <c r="M202" s="273"/>
      <c r="N202" s="273"/>
      <c r="O202" s="273"/>
      <c r="P202" s="273">
        <f t="shared" si="73"/>
        <v>870</v>
      </c>
      <c r="Q202" s="25"/>
    </row>
  </sheetData>
  <mergeCells count="2">
    <mergeCell ref="A1:P1"/>
    <mergeCell ref="A2:P2"/>
  </mergeCells>
  <conditionalFormatting sqref="B100">
    <cfRule type="duplicateValues" dxfId="0" priority="1"/>
  </conditionalFormatting>
  <pageMargins left="0" right="0" top="0.35433070866141736" bottom="0.55118110236220474" header="0.11811023622047245" footer="0.31496062992125984"/>
  <pageSetup scale="80" orientation="landscape" r:id="rId1"/>
  <headerFooter>
    <oddFooter xml:space="preserve">&amp;L&amp;D&amp;C&amp;P/&amp;N&amp;R&amp;F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topLeftCell="B1" zoomScale="160" zoomScaleNormal="160" workbookViewId="0">
      <selection activeCell="D11" sqref="D11"/>
    </sheetView>
  </sheetViews>
  <sheetFormatPr baseColWidth="10" defaultColWidth="11.42578125" defaultRowHeight="15" x14ac:dyDescent="0.25"/>
  <cols>
    <col min="1" max="1" width="18.7109375" bestFit="1" customWidth="1"/>
    <col min="2" max="2" width="7.85546875" bestFit="1" customWidth="1"/>
    <col min="3" max="6" width="13.42578125" bestFit="1" customWidth="1"/>
    <col min="7" max="7" width="14.140625" bestFit="1" customWidth="1"/>
    <col min="8" max="14" width="13.42578125" bestFit="1" customWidth="1"/>
    <col min="15" max="15" width="14.42578125" bestFit="1" customWidth="1"/>
    <col min="16" max="16" width="16" customWidth="1"/>
    <col min="17" max="17" width="15.5703125" customWidth="1"/>
  </cols>
  <sheetData>
    <row r="1" spans="1:17" ht="15" customHeight="1" x14ac:dyDescent="0.25">
      <c r="A1" s="294"/>
      <c r="B1" s="302"/>
      <c r="C1" s="379">
        <v>2022</v>
      </c>
      <c r="D1" s="380"/>
      <c r="E1" s="380"/>
      <c r="F1" s="381"/>
      <c r="G1" s="303"/>
      <c r="H1" s="303" t="s">
        <v>1327</v>
      </c>
      <c r="I1" s="304">
        <v>0</v>
      </c>
      <c r="J1" s="303">
        <v>0</v>
      </c>
      <c r="K1" s="303"/>
      <c r="L1" s="303"/>
      <c r="M1" s="303"/>
      <c r="N1" s="303"/>
      <c r="O1" s="305"/>
    </row>
    <row r="2" spans="1:17" ht="22.5" customHeight="1" x14ac:dyDescent="0.25">
      <c r="A2" s="26"/>
      <c r="C2" s="382"/>
      <c r="D2" s="383"/>
      <c r="E2" s="383"/>
      <c r="F2" s="384"/>
      <c r="G2" s="27"/>
      <c r="H2" s="27" t="s">
        <v>1328</v>
      </c>
      <c r="I2" s="27">
        <v>0</v>
      </c>
      <c r="J2" s="27">
        <v>0</v>
      </c>
      <c r="K2" s="27"/>
      <c r="L2" s="27"/>
      <c r="M2" s="27"/>
      <c r="N2" s="27"/>
      <c r="O2" s="28"/>
    </row>
    <row r="3" spans="1:17" x14ac:dyDescent="0.25">
      <c r="A3" s="26"/>
      <c r="C3" s="27"/>
      <c r="D3" s="27"/>
      <c r="E3" s="27"/>
      <c r="F3" s="27"/>
      <c r="G3" s="27"/>
      <c r="H3" s="27" t="s">
        <v>1329</v>
      </c>
      <c r="I3" s="27">
        <v>0</v>
      </c>
      <c r="J3" s="29">
        <v>0</v>
      </c>
      <c r="K3" s="27"/>
      <c r="L3" s="27"/>
      <c r="M3" s="27" t="s">
        <v>1</v>
      </c>
      <c r="N3" s="27"/>
      <c r="O3" s="28"/>
    </row>
    <row r="4" spans="1:17" ht="15.75" thickBot="1" x14ac:dyDescent="0.3">
      <c r="A4" s="26"/>
      <c r="B4" t="s">
        <v>1</v>
      </c>
      <c r="C4" s="27"/>
      <c r="D4" s="27"/>
      <c r="E4" s="27"/>
      <c r="F4" s="27"/>
      <c r="G4" s="27"/>
      <c r="H4" s="27"/>
      <c r="I4" s="30">
        <v>0</v>
      </c>
      <c r="J4" s="30">
        <v>0</v>
      </c>
      <c r="K4" s="27"/>
      <c r="L4" s="27"/>
      <c r="M4" s="27"/>
      <c r="N4" s="27"/>
      <c r="O4" s="28"/>
    </row>
    <row r="5" spans="1:17" x14ac:dyDescent="0.25">
      <c r="A5" s="26"/>
      <c r="B5" t="s">
        <v>1</v>
      </c>
      <c r="C5" s="83">
        <v>18500</v>
      </c>
      <c r="D5" s="31">
        <f>+C5*0.98</f>
        <v>18130</v>
      </c>
      <c r="E5" s="31">
        <f>+C5*0.96</f>
        <v>17760</v>
      </c>
      <c r="F5" s="31">
        <f>+C5*0.94</f>
        <v>17390</v>
      </c>
      <c r="G5" s="31">
        <f>+C5*0.91</f>
        <v>16835</v>
      </c>
      <c r="H5" s="31">
        <f>+C5*0.88</f>
        <v>16280</v>
      </c>
      <c r="I5" s="84">
        <v>14960</v>
      </c>
      <c r="J5" s="31">
        <v>14810</v>
      </c>
      <c r="K5" s="31">
        <v>14511</v>
      </c>
      <c r="L5" s="31">
        <f>+I5*0.95</f>
        <v>14212</v>
      </c>
      <c r="M5" s="31">
        <v>13913</v>
      </c>
      <c r="N5" s="31">
        <v>13763</v>
      </c>
      <c r="O5" s="25"/>
    </row>
    <row r="6" spans="1:17" ht="15.75" thickBot="1" x14ac:dyDescent="0.3">
      <c r="A6" s="26"/>
      <c r="C6" s="32"/>
      <c r="D6" s="33">
        <v>0.02</v>
      </c>
      <c r="E6" s="33">
        <v>0.02</v>
      </c>
      <c r="F6" s="33">
        <v>0.02</v>
      </c>
      <c r="G6" s="33">
        <v>0.03</v>
      </c>
      <c r="H6" s="33">
        <v>0.03</v>
      </c>
      <c r="I6" s="34"/>
      <c r="J6" s="33">
        <v>0.01</v>
      </c>
      <c r="K6" s="33">
        <v>0.02</v>
      </c>
      <c r="L6" s="33">
        <v>0.02</v>
      </c>
      <c r="M6" s="33">
        <v>0.02</v>
      </c>
      <c r="N6" s="33">
        <v>0.01</v>
      </c>
      <c r="O6" s="25"/>
    </row>
    <row r="7" spans="1:17" ht="15.75" thickBot="1" x14ac:dyDescent="0.3">
      <c r="A7" s="26"/>
      <c r="C7" s="35"/>
      <c r="D7" s="36"/>
      <c r="E7" s="36"/>
      <c r="F7" s="36"/>
      <c r="G7" s="36"/>
      <c r="H7" s="36"/>
      <c r="I7" s="35"/>
      <c r="J7" s="36"/>
      <c r="K7" s="36"/>
      <c r="L7" s="36"/>
      <c r="M7" s="36"/>
      <c r="N7" s="36"/>
      <c r="O7" s="25"/>
    </row>
    <row r="8" spans="1:17" ht="15.75" thickBot="1" x14ac:dyDescent="0.3">
      <c r="A8" s="26"/>
      <c r="B8" s="306"/>
      <c r="C8" s="37" t="s">
        <v>1330</v>
      </c>
      <c r="D8" s="38" t="s">
        <v>1331</v>
      </c>
      <c r="E8" s="38" t="s">
        <v>1332</v>
      </c>
      <c r="F8" s="38" t="s">
        <v>1333</v>
      </c>
      <c r="G8" s="38" t="s">
        <v>1334</v>
      </c>
      <c r="H8" s="38" t="s">
        <v>1335</v>
      </c>
      <c r="I8" s="38" t="s">
        <v>1336</v>
      </c>
      <c r="J8" s="38" t="s">
        <v>1337</v>
      </c>
      <c r="K8" s="38" t="s">
        <v>1338</v>
      </c>
      <c r="L8" s="38" t="s">
        <v>1339</v>
      </c>
      <c r="M8" s="38" t="s">
        <v>1340</v>
      </c>
      <c r="N8" s="39" t="s">
        <v>1341</v>
      </c>
      <c r="O8" s="119">
        <v>2021</v>
      </c>
      <c r="P8" s="119">
        <v>2021</v>
      </c>
      <c r="Q8" s="119">
        <v>2022</v>
      </c>
    </row>
    <row r="9" spans="1:17" ht="21" customHeight="1" x14ac:dyDescent="0.25">
      <c r="A9" s="40" t="s">
        <v>1342</v>
      </c>
      <c r="B9" s="85">
        <v>80</v>
      </c>
      <c r="C9" s="41">
        <f>+C5*B9</f>
        <v>1480000</v>
      </c>
      <c r="D9" s="41"/>
      <c r="E9" s="41"/>
      <c r="F9" s="41"/>
      <c r="G9" s="41"/>
      <c r="H9" s="41"/>
      <c r="I9" s="41">
        <f>+B9*I5</f>
        <v>1196800</v>
      </c>
      <c r="J9" s="41"/>
      <c r="K9" s="41"/>
      <c r="L9" s="41"/>
      <c r="M9" s="41"/>
      <c r="N9" s="42"/>
      <c r="O9" s="118">
        <f>+C9+I9</f>
        <v>2676800</v>
      </c>
      <c r="P9" s="121">
        <v>3000000</v>
      </c>
      <c r="Q9" s="121">
        <v>3500000</v>
      </c>
    </row>
    <row r="10" spans="1:17" ht="25.5" customHeight="1" x14ac:dyDescent="0.25">
      <c r="A10" s="307" t="s">
        <v>1343</v>
      </c>
      <c r="B10" s="308">
        <v>63</v>
      </c>
      <c r="C10" s="309">
        <f>+C5*B10</f>
        <v>1165500</v>
      </c>
      <c r="D10" s="309">
        <f>+D5*B10</f>
        <v>1142190</v>
      </c>
      <c r="E10" s="309">
        <f>+E5*B10</f>
        <v>1118880</v>
      </c>
      <c r="F10" s="309">
        <f>+F5*B10</f>
        <v>1095570</v>
      </c>
      <c r="G10" s="309">
        <f>+G5*B10</f>
        <v>1060605</v>
      </c>
      <c r="H10" s="309">
        <f>+H5*B10</f>
        <v>1025640</v>
      </c>
      <c r="I10" s="309">
        <f>+I5*B10</f>
        <v>942480</v>
      </c>
      <c r="J10" s="309">
        <f>+J5*B10</f>
        <v>933030</v>
      </c>
      <c r="K10" s="309">
        <f>+K5*B10</f>
        <v>914193</v>
      </c>
      <c r="L10" s="309">
        <f>+L5*B10</f>
        <v>895356</v>
      </c>
      <c r="M10" s="309">
        <f>+M5*B10</f>
        <v>876519</v>
      </c>
      <c r="N10" s="309">
        <f>+N5*B10</f>
        <v>867069</v>
      </c>
      <c r="O10" s="310">
        <f>SUM(C10:N10)</f>
        <v>12037032</v>
      </c>
      <c r="P10" s="311">
        <v>12500000</v>
      </c>
      <c r="Q10" s="311">
        <v>13500000</v>
      </c>
    </row>
    <row r="11" spans="1:17" ht="21" customHeight="1" x14ac:dyDescent="0.25">
      <c r="A11" s="312"/>
      <c r="B11" s="313" t="s">
        <v>1344</v>
      </c>
      <c r="C11" s="314">
        <f>SUM(C9:C10)</f>
        <v>2645500</v>
      </c>
      <c r="D11" s="314">
        <f t="shared" ref="D11:N11" si="0">SUM(D9:D10)</f>
        <v>1142190</v>
      </c>
      <c r="E11" s="314">
        <f t="shared" si="0"/>
        <v>1118880</v>
      </c>
      <c r="F11" s="314">
        <f t="shared" si="0"/>
        <v>1095570</v>
      </c>
      <c r="G11" s="314">
        <f t="shared" si="0"/>
        <v>1060605</v>
      </c>
      <c r="H11" s="314">
        <f t="shared" si="0"/>
        <v>1025640</v>
      </c>
      <c r="I11" s="314">
        <f t="shared" si="0"/>
        <v>2139280</v>
      </c>
      <c r="J11" s="314">
        <f t="shared" si="0"/>
        <v>933030</v>
      </c>
      <c r="K11" s="314">
        <f t="shared" si="0"/>
        <v>914193</v>
      </c>
      <c r="L11" s="314">
        <f t="shared" si="0"/>
        <v>895356</v>
      </c>
      <c r="M11" s="314">
        <f t="shared" si="0"/>
        <v>876519</v>
      </c>
      <c r="N11" s="314">
        <f t="shared" si="0"/>
        <v>867069</v>
      </c>
      <c r="O11" s="315">
        <f>SUM(C11:N11)</f>
        <v>14713832</v>
      </c>
      <c r="P11" s="121">
        <f>SUM(P9:P10)</f>
        <v>15500000</v>
      </c>
      <c r="Q11" s="121">
        <f>SUM(Q9:Q10)</f>
        <v>17000000</v>
      </c>
    </row>
    <row r="13" spans="1:17" x14ac:dyDescent="0.25">
      <c r="A13" s="43" t="s">
        <v>1</v>
      </c>
    </row>
    <row r="14" spans="1:17" x14ac:dyDescent="0.25">
      <c r="A14" s="43" t="s">
        <v>1</v>
      </c>
    </row>
    <row r="18" spans="13:13" x14ac:dyDescent="0.25">
      <c r="M18" t="s">
        <v>1</v>
      </c>
    </row>
  </sheetData>
  <mergeCells count="1">
    <mergeCell ref="C1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3"/>
  <sheetViews>
    <sheetView workbookViewId="0">
      <selection activeCell="E11" sqref="E11"/>
    </sheetView>
  </sheetViews>
  <sheetFormatPr baseColWidth="10" defaultColWidth="11.42578125" defaultRowHeight="15" x14ac:dyDescent="0.25"/>
  <cols>
    <col min="1" max="1" width="5" customWidth="1"/>
    <col min="2" max="2" width="12" customWidth="1"/>
    <col min="4" max="4" width="13" customWidth="1"/>
    <col min="9" max="9" width="13.28515625" customWidth="1"/>
    <col min="12" max="12" width="12.7109375" bestFit="1" customWidth="1"/>
  </cols>
  <sheetData>
    <row r="2" spans="1:15" ht="24" customHeight="1" x14ac:dyDescent="0.25">
      <c r="A2" s="385">
        <v>1</v>
      </c>
      <c r="B2" s="386" t="s">
        <v>1345</v>
      </c>
      <c r="C2" s="387"/>
      <c r="D2" s="387"/>
      <c r="E2" s="388"/>
      <c r="F2" s="7"/>
      <c r="G2" s="386" t="s">
        <v>1346</v>
      </c>
      <c r="H2" s="387"/>
      <c r="I2" s="387"/>
      <c r="J2" s="388"/>
      <c r="L2" s="386" t="s">
        <v>1347</v>
      </c>
      <c r="M2" s="387"/>
      <c r="N2" s="387"/>
      <c r="O2" s="388"/>
    </row>
    <row r="3" spans="1:15" ht="22.5" x14ac:dyDescent="0.25">
      <c r="A3" s="385"/>
      <c r="B3" s="316" t="s">
        <v>1348</v>
      </c>
      <c r="C3" s="298">
        <v>16500</v>
      </c>
      <c r="D3" s="316" t="s">
        <v>1349</v>
      </c>
      <c r="E3" s="298">
        <v>16500</v>
      </c>
      <c r="G3" s="316" t="s">
        <v>1348</v>
      </c>
      <c r="H3" s="298">
        <v>16500</v>
      </c>
      <c r="I3" s="316" t="s">
        <v>1349</v>
      </c>
      <c r="J3" s="298">
        <v>16500</v>
      </c>
      <c r="L3" s="316" t="s">
        <v>1350</v>
      </c>
      <c r="M3" s="299">
        <v>21663</v>
      </c>
      <c r="N3" s="316" t="s">
        <v>1351</v>
      </c>
      <c r="O3" s="299">
        <v>21663</v>
      </c>
    </row>
    <row r="4" spans="1:15" x14ac:dyDescent="0.25">
      <c r="A4" s="385"/>
      <c r="B4" s="95">
        <v>13127268</v>
      </c>
      <c r="C4" s="101">
        <v>15482</v>
      </c>
      <c r="D4" s="95">
        <v>3033522</v>
      </c>
      <c r="E4" s="101">
        <v>15482</v>
      </c>
      <c r="G4" s="95">
        <v>13127268</v>
      </c>
      <c r="H4" s="101">
        <v>21663</v>
      </c>
      <c r="I4" s="95">
        <v>3033522</v>
      </c>
      <c r="J4" s="101">
        <v>21663</v>
      </c>
      <c r="L4" s="95">
        <v>7374692</v>
      </c>
      <c r="M4" s="96">
        <v>21663</v>
      </c>
      <c r="N4" s="95">
        <v>1597268</v>
      </c>
      <c r="O4" s="96">
        <v>21663</v>
      </c>
    </row>
    <row r="5" spans="1:15" x14ac:dyDescent="0.25">
      <c r="A5" s="385"/>
      <c r="B5" s="98">
        <f>+B4*C5/C4</f>
        <v>13990435.473453043</v>
      </c>
      <c r="C5" s="102">
        <v>16500</v>
      </c>
      <c r="D5" s="98">
        <f>+D4*E5/E4</f>
        <v>3232987.5339103476</v>
      </c>
      <c r="E5" s="102">
        <v>16500</v>
      </c>
      <c r="G5" s="98">
        <f>+G4*H5/H4</f>
        <v>9998611.5496468637</v>
      </c>
      <c r="H5" s="102">
        <v>16500</v>
      </c>
      <c r="I5" s="98">
        <f>+I4*J5/J4</f>
        <v>2310534.6904860823</v>
      </c>
      <c r="J5" s="102">
        <v>16500</v>
      </c>
      <c r="L5" s="98">
        <f>+L4*M5/M4</f>
        <v>5787276.185200572</v>
      </c>
      <c r="M5" s="97">
        <v>17000</v>
      </c>
      <c r="N5" s="98">
        <f>+N4*O5/O4</f>
        <v>1253453.1689978305</v>
      </c>
      <c r="O5" s="97">
        <v>17000</v>
      </c>
    </row>
    <row r="6" spans="1:15" x14ac:dyDescent="0.25">
      <c r="B6" s="93" t="s">
        <v>1</v>
      </c>
      <c r="D6" s="91" t="s">
        <v>1</v>
      </c>
      <c r="G6" s="93" t="s">
        <v>1</v>
      </c>
      <c r="I6" s="91" t="s">
        <v>1</v>
      </c>
      <c r="N6" s="91" t="s">
        <v>1</v>
      </c>
    </row>
    <row r="7" spans="1:15" ht="22.5" x14ac:dyDescent="0.25">
      <c r="A7" s="385">
        <v>2</v>
      </c>
      <c r="B7" s="316" t="s">
        <v>1348</v>
      </c>
      <c r="C7" s="298">
        <v>17000</v>
      </c>
      <c r="D7" s="316" t="s">
        <v>1349</v>
      </c>
      <c r="E7" s="298">
        <v>17000</v>
      </c>
      <c r="G7" s="316" t="s">
        <v>1348</v>
      </c>
      <c r="H7" s="298">
        <v>17000</v>
      </c>
      <c r="I7" s="316" t="s">
        <v>1349</v>
      </c>
      <c r="J7" s="298">
        <v>17000</v>
      </c>
      <c r="L7" s="316" t="s">
        <v>1352</v>
      </c>
      <c r="M7" s="299">
        <v>15482</v>
      </c>
      <c r="N7" s="316" t="s">
        <v>1353</v>
      </c>
      <c r="O7" s="299">
        <v>15482</v>
      </c>
    </row>
    <row r="8" spans="1:15" x14ac:dyDescent="0.25">
      <c r="A8" s="385"/>
      <c r="B8" s="95">
        <v>13127268</v>
      </c>
      <c r="C8" s="101">
        <v>15482</v>
      </c>
      <c r="D8" s="95">
        <v>3033522</v>
      </c>
      <c r="E8" s="101">
        <v>15482</v>
      </c>
      <c r="G8" s="95">
        <v>13127268</v>
      </c>
      <c r="H8" s="101">
        <v>21663</v>
      </c>
      <c r="I8" s="95">
        <v>3033522</v>
      </c>
      <c r="J8" s="101">
        <v>21663</v>
      </c>
      <c r="L8" s="95">
        <v>5752576</v>
      </c>
      <c r="M8" s="96">
        <v>15482</v>
      </c>
      <c r="N8" s="95">
        <v>1436254</v>
      </c>
      <c r="O8" s="96">
        <v>15482</v>
      </c>
    </row>
    <row r="9" spans="1:15" ht="15.75" thickBot="1" x14ac:dyDescent="0.3">
      <c r="A9" s="385"/>
      <c r="B9" s="98">
        <f>+B8*C9/C8</f>
        <v>14414388.063557681</v>
      </c>
      <c r="C9" s="102">
        <v>17000</v>
      </c>
      <c r="D9" s="98">
        <f>+D8*E9/E8</f>
        <v>3330956.8531197519</v>
      </c>
      <c r="E9" s="102">
        <v>17000</v>
      </c>
      <c r="G9" s="98">
        <f>+G8*H9/H8</f>
        <v>10301599.778424041</v>
      </c>
      <c r="H9" s="102">
        <v>17000</v>
      </c>
      <c r="I9" s="98">
        <f>+I8*J9/J8</f>
        <v>2380550.8932280848</v>
      </c>
      <c r="J9" s="102">
        <v>17000</v>
      </c>
      <c r="L9" s="104">
        <f>+L8*M9/M8</f>
        <v>5558618.8451104509</v>
      </c>
      <c r="M9" s="97">
        <v>14960</v>
      </c>
      <c r="N9" s="98">
        <f>+N8*O9/O8</f>
        <v>1387828.4356026354</v>
      </c>
      <c r="O9" s="97">
        <v>14960</v>
      </c>
    </row>
    <row r="10" spans="1:15" ht="15.75" thickBot="1" x14ac:dyDescent="0.3">
      <c r="A10" s="385"/>
      <c r="B10" s="93"/>
      <c r="G10" s="93"/>
      <c r="L10" s="105">
        <f>+L4+L8</f>
        <v>13127268</v>
      </c>
    </row>
    <row r="11" spans="1:15" x14ac:dyDescent="0.25">
      <c r="A11" s="385">
        <v>3</v>
      </c>
      <c r="B11" s="316" t="s">
        <v>1348</v>
      </c>
      <c r="C11" s="298">
        <v>17500</v>
      </c>
      <c r="D11" s="316" t="s">
        <v>1349</v>
      </c>
      <c r="E11" s="298">
        <v>17500</v>
      </c>
      <c r="G11" s="316" t="s">
        <v>1348</v>
      </c>
      <c r="H11" s="298">
        <v>17500</v>
      </c>
      <c r="I11" s="316" t="s">
        <v>1349</v>
      </c>
      <c r="J11" s="298">
        <v>17500</v>
      </c>
      <c r="L11" s="99">
        <f>+L9+L5</f>
        <v>11345895.030311022</v>
      </c>
      <c r="M11" s="100"/>
      <c r="N11" s="99">
        <f>+N9+N5</f>
        <v>2641281.6046004659</v>
      </c>
    </row>
    <row r="12" spans="1:15" x14ac:dyDescent="0.25">
      <c r="A12" s="385"/>
      <c r="B12" s="95">
        <v>13127268</v>
      </c>
      <c r="C12" s="101">
        <v>15482</v>
      </c>
      <c r="D12" s="95">
        <v>3033522</v>
      </c>
      <c r="E12" s="101">
        <v>15482</v>
      </c>
      <c r="G12" s="95">
        <v>13127268</v>
      </c>
      <c r="H12" s="101">
        <v>21663</v>
      </c>
      <c r="I12" s="95">
        <v>3033522</v>
      </c>
      <c r="J12" s="101">
        <v>21663</v>
      </c>
      <c r="M12" s="103">
        <f>+M3-M8</f>
        <v>6181</v>
      </c>
    </row>
    <row r="13" spans="1:15" ht="17.25" customHeight="1" x14ac:dyDescent="0.25">
      <c r="A13" s="385"/>
      <c r="B13" s="98">
        <f>+B12*C13/C12</f>
        <v>14838340.653662318</v>
      </c>
      <c r="C13" s="102">
        <v>17500</v>
      </c>
      <c r="D13" s="98">
        <f>+D12*E13/E12</f>
        <v>3428926.1723291567</v>
      </c>
      <c r="E13" s="102">
        <v>17500</v>
      </c>
      <c r="F13" s="7" t="s">
        <v>1</v>
      </c>
      <c r="G13" s="98">
        <f>+G12*H13/H12</f>
        <v>10604588.007201219</v>
      </c>
      <c r="H13" s="102">
        <v>17500</v>
      </c>
      <c r="I13" s="98">
        <f>+I12*J13/J12</f>
        <v>2450567.0959700872</v>
      </c>
      <c r="J13" s="102">
        <v>17500</v>
      </c>
    </row>
  </sheetData>
  <mergeCells count="6">
    <mergeCell ref="A11:A13"/>
    <mergeCell ref="L2:O2"/>
    <mergeCell ref="B2:E2"/>
    <mergeCell ref="G2:J2"/>
    <mergeCell ref="A2:A5"/>
    <mergeCell ref="A7:A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topLeftCell="A19" workbookViewId="0">
      <selection activeCell="N16" sqref="N16"/>
    </sheetView>
  </sheetViews>
  <sheetFormatPr baseColWidth="10" defaultColWidth="11.42578125" defaultRowHeight="15" x14ac:dyDescent="0.25"/>
  <cols>
    <col min="1" max="1" width="2.5703125" bestFit="1" customWidth="1"/>
    <col min="2" max="2" width="31.28515625" bestFit="1" customWidth="1"/>
    <col min="3" max="4" width="11.7109375" bestFit="1" customWidth="1"/>
    <col min="5" max="5" width="7.140625" bestFit="1" customWidth="1"/>
    <col min="6" max="6" width="12.28515625" bestFit="1" customWidth="1"/>
    <col min="7" max="7" width="13.42578125" bestFit="1" customWidth="1"/>
    <col min="8" max="8" width="12.140625" bestFit="1" customWidth="1"/>
    <col min="9" max="9" width="2.5703125" bestFit="1" customWidth="1"/>
    <col min="10" max="10" width="31.28515625" bestFit="1" customWidth="1"/>
    <col min="11" max="11" width="12.28515625" bestFit="1" customWidth="1"/>
    <col min="12" max="12" width="11.85546875" bestFit="1" customWidth="1"/>
    <col min="13" max="13" width="7.140625" bestFit="1" customWidth="1"/>
    <col min="14" max="14" width="12.28515625" bestFit="1" customWidth="1"/>
  </cols>
  <sheetData>
    <row r="1" spans="1:14" ht="37.5" x14ac:dyDescent="0.3">
      <c r="B1" s="389" t="s">
        <v>1354</v>
      </c>
      <c r="C1" s="390"/>
      <c r="D1" s="390"/>
      <c r="E1" s="391"/>
      <c r="F1" s="392" t="s">
        <v>1355</v>
      </c>
      <c r="G1" s="393"/>
      <c r="H1" s="394"/>
      <c r="J1" s="317" t="s">
        <v>1356</v>
      </c>
      <c r="K1" s="318">
        <v>2015</v>
      </c>
      <c r="L1" s="319" t="s">
        <v>1357</v>
      </c>
      <c r="M1" s="318" t="s">
        <v>15</v>
      </c>
      <c r="N1" s="318">
        <v>2016</v>
      </c>
    </row>
    <row r="2" spans="1:14" ht="47.25" x14ac:dyDescent="0.25">
      <c r="B2" s="320" t="s">
        <v>1</v>
      </c>
      <c r="C2" s="321" t="s">
        <v>1358</v>
      </c>
      <c r="D2" s="322" t="s">
        <v>1357</v>
      </c>
      <c r="E2" s="320" t="s">
        <v>15</v>
      </c>
      <c r="F2" s="323" t="s">
        <v>1359</v>
      </c>
      <c r="G2" s="323" t="s">
        <v>1360</v>
      </c>
      <c r="H2" s="323" t="s">
        <v>1361</v>
      </c>
      <c r="J2" s="307"/>
      <c r="K2" s="307"/>
      <c r="L2" s="307"/>
      <c r="M2" s="307"/>
      <c r="N2" s="307"/>
    </row>
    <row r="3" spans="1:14" ht="18.75" x14ac:dyDescent="0.3">
      <c r="A3" s="4">
        <v>4</v>
      </c>
      <c r="B3" s="1" t="s">
        <v>165</v>
      </c>
      <c r="C3" s="2">
        <f>+C4+C9</f>
        <v>1475000</v>
      </c>
      <c r="D3" s="2">
        <v>1448506.4900000002</v>
      </c>
      <c r="E3" s="6">
        <v>0.98203829830508493</v>
      </c>
      <c r="F3" s="2">
        <f>+F4+F9</f>
        <v>5380</v>
      </c>
      <c r="G3" s="2">
        <f>+G4+G9</f>
        <v>69940</v>
      </c>
      <c r="H3" s="2">
        <f>+H4+H9</f>
        <v>1592505.4700000002</v>
      </c>
      <c r="I3" s="4">
        <v>4</v>
      </c>
      <c r="J3" s="1" t="s">
        <v>165</v>
      </c>
      <c r="K3" s="2">
        <f>+K4+K9</f>
        <v>1475000</v>
      </c>
      <c r="L3" s="2">
        <f>+L4+L9</f>
        <v>1448506.4900000002</v>
      </c>
      <c r="M3" s="6">
        <f>+L3/K3</f>
        <v>0.98203829830508493</v>
      </c>
      <c r="N3" s="2">
        <f>+N4+N9</f>
        <v>1664390</v>
      </c>
    </row>
    <row r="4" spans="1:14" x14ac:dyDescent="0.25">
      <c r="A4" s="3"/>
      <c r="B4" s="324" t="s">
        <v>166</v>
      </c>
      <c r="C4" s="325">
        <f>SUM(C5:C8)</f>
        <v>508200</v>
      </c>
      <c r="D4" s="325">
        <v>489058.82999999996</v>
      </c>
      <c r="E4" s="326">
        <v>0.96233536009445098</v>
      </c>
      <c r="F4" s="325">
        <f>SUM(F5:F8)</f>
        <v>620</v>
      </c>
      <c r="G4" s="325">
        <f>SUM(G5:G8)</f>
        <v>8060</v>
      </c>
      <c r="H4" s="325">
        <f>SUM(H5:H8)</f>
        <v>497118.82999999996</v>
      </c>
      <c r="I4" s="3"/>
      <c r="J4" s="324" t="s">
        <v>166</v>
      </c>
      <c r="K4" s="325">
        <f>SUM(K5:K8)</f>
        <v>508200</v>
      </c>
      <c r="L4" s="325">
        <f>SUM(L5:L8)</f>
        <v>489058.82999999996</v>
      </c>
      <c r="M4" s="326">
        <f t="shared" ref="M4:M22" si="0">+L4/K4</f>
        <v>0.96233536009445098</v>
      </c>
      <c r="N4" s="327">
        <f>SUM(N5:N8)</f>
        <v>496410</v>
      </c>
    </row>
    <row r="5" spans="1:14" x14ac:dyDescent="0.25">
      <c r="A5" s="3"/>
      <c r="B5" s="328" t="s">
        <v>167</v>
      </c>
      <c r="C5" s="329">
        <v>84500</v>
      </c>
      <c r="D5" s="330">
        <v>75888.899999999994</v>
      </c>
      <c r="E5" s="331">
        <v>0.89809349112426029</v>
      </c>
      <c r="F5" s="329">
        <f>50+25</f>
        <v>75</v>
      </c>
      <c r="G5" s="329">
        <f>+F5*13</f>
        <v>975</v>
      </c>
      <c r="H5" s="330">
        <f>+G5+D5</f>
        <v>76863.899999999994</v>
      </c>
      <c r="I5" s="3"/>
      <c r="J5" s="328" t="s">
        <v>167</v>
      </c>
      <c r="K5" s="329">
        <v>84500</v>
      </c>
      <c r="L5" s="329">
        <v>75888.899999999994</v>
      </c>
      <c r="M5" s="332">
        <f t="shared" si="0"/>
        <v>0.89809349112426029</v>
      </c>
      <c r="N5" s="333">
        <f>76700+325</f>
        <v>77025</v>
      </c>
    </row>
    <row r="6" spans="1:14" x14ac:dyDescent="0.25">
      <c r="A6" s="3"/>
      <c r="B6" s="328" t="s">
        <v>1362</v>
      </c>
      <c r="C6" s="329">
        <v>145800</v>
      </c>
      <c r="D6" s="330">
        <v>140901.83000000002</v>
      </c>
      <c r="E6" s="331">
        <v>0.96640486968449946</v>
      </c>
      <c r="F6" s="329">
        <f>370+25</f>
        <v>395</v>
      </c>
      <c r="G6" s="329">
        <f t="shared" ref="G6:G46" si="1">+F6*13</f>
        <v>5135</v>
      </c>
      <c r="H6" s="330">
        <f>+G6+D6</f>
        <v>146036.83000000002</v>
      </c>
      <c r="I6" s="3"/>
      <c r="J6" s="328" t="s">
        <v>1363</v>
      </c>
      <c r="K6" s="329">
        <v>145800</v>
      </c>
      <c r="L6" s="329">
        <v>140901.82999999999</v>
      </c>
      <c r="M6" s="332">
        <f t="shared" si="0"/>
        <v>0.96640486968449923</v>
      </c>
      <c r="N6" s="333">
        <f>138000+5135</f>
        <v>143135</v>
      </c>
    </row>
    <row r="7" spans="1:14" x14ac:dyDescent="0.25">
      <c r="A7" s="3"/>
      <c r="B7" s="328" t="s">
        <v>169</v>
      </c>
      <c r="C7" s="329">
        <v>211500</v>
      </c>
      <c r="D7" s="330">
        <v>206180.59999999998</v>
      </c>
      <c r="E7" s="331">
        <v>0.97484917257683201</v>
      </c>
      <c r="F7" s="329">
        <f>50+50+25</f>
        <v>125</v>
      </c>
      <c r="G7" s="329">
        <f t="shared" si="1"/>
        <v>1625</v>
      </c>
      <c r="H7" s="330">
        <f>+G7+D7</f>
        <v>207805.59999999998</v>
      </c>
      <c r="I7" s="3"/>
      <c r="J7" s="328" t="s">
        <v>169</v>
      </c>
      <c r="K7" s="329">
        <v>211500</v>
      </c>
      <c r="L7" s="329">
        <v>206180.6</v>
      </c>
      <c r="M7" s="332">
        <f t="shared" si="0"/>
        <v>0.97484917257683212</v>
      </c>
      <c r="N7" s="333">
        <f>207675+1625</f>
        <v>209300</v>
      </c>
    </row>
    <row r="8" spans="1:14" x14ac:dyDescent="0.25">
      <c r="A8" s="3"/>
      <c r="B8" s="328" t="s">
        <v>170</v>
      </c>
      <c r="C8" s="329">
        <v>66400</v>
      </c>
      <c r="D8" s="330">
        <v>66087.5</v>
      </c>
      <c r="E8" s="331">
        <v>0.99529367469879515</v>
      </c>
      <c r="F8" s="329">
        <v>25</v>
      </c>
      <c r="G8" s="329">
        <f t="shared" si="1"/>
        <v>325</v>
      </c>
      <c r="H8" s="330">
        <f>+G8+D8</f>
        <v>66412.5</v>
      </c>
      <c r="I8" s="3"/>
      <c r="J8" s="328" t="s">
        <v>170</v>
      </c>
      <c r="K8" s="329">
        <v>66400</v>
      </c>
      <c r="L8" s="329">
        <v>66087.5</v>
      </c>
      <c r="M8" s="332">
        <f t="shared" si="0"/>
        <v>0.99529367469879515</v>
      </c>
      <c r="N8" s="333">
        <f>66625+325</f>
        <v>66950</v>
      </c>
    </row>
    <row r="9" spans="1:14" x14ac:dyDescent="0.25">
      <c r="A9" s="3"/>
      <c r="B9" s="324" t="s">
        <v>171</v>
      </c>
      <c r="C9" s="325">
        <f>SUM(C10:C23)</f>
        <v>966800</v>
      </c>
      <c r="D9" s="325">
        <v>959447.66000000015</v>
      </c>
      <c r="E9" s="326">
        <v>0.99239517997517601</v>
      </c>
      <c r="F9" s="325">
        <f>SUM(F10:F23)</f>
        <v>4760</v>
      </c>
      <c r="G9" s="325">
        <f>SUM(G10:G23)</f>
        <v>61880</v>
      </c>
      <c r="H9" s="325">
        <f>SUM(H10:H23)</f>
        <v>1095386.6400000001</v>
      </c>
      <c r="I9" s="3"/>
      <c r="J9" s="324" t="s">
        <v>171</v>
      </c>
      <c r="K9" s="325">
        <f>SUM(K10:K22)</f>
        <v>966800</v>
      </c>
      <c r="L9" s="325">
        <f>SUM(L10:L22)</f>
        <v>959447.66000000015</v>
      </c>
      <c r="M9" s="326">
        <f t="shared" si="0"/>
        <v>0.99239517997517601</v>
      </c>
      <c r="N9" s="327">
        <f>SUM(N10:N22)</f>
        <v>1167980</v>
      </c>
    </row>
    <row r="10" spans="1:14" x14ac:dyDescent="0.25">
      <c r="A10" s="3"/>
      <c r="B10" s="328" t="s">
        <v>1364</v>
      </c>
      <c r="C10" s="329">
        <v>73000</v>
      </c>
      <c r="D10" s="330">
        <v>72657.84</v>
      </c>
      <c r="E10" s="331">
        <v>0.99531287671232871</v>
      </c>
      <c r="F10" s="329">
        <v>50</v>
      </c>
      <c r="G10" s="329">
        <f t="shared" si="1"/>
        <v>650</v>
      </c>
      <c r="H10" s="330">
        <f t="shared" ref="H10:H23" si="2">+G10+D10</f>
        <v>73307.839999999997</v>
      </c>
      <c r="I10" s="3"/>
      <c r="J10" s="328" t="s">
        <v>1364</v>
      </c>
      <c r="K10" s="329">
        <f>5500*13</f>
        <v>71500</v>
      </c>
      <c r="L10" s="329">
        <v>72657.84</v>
      </c>
      <c r="M10" s="332">
        <f t="shared" si="0"/>
        <v>1.0161935664335664</v>
      </c>
      <c r="N10" s="333">
        <f>97500+1300</f>
        <v>98800</v>
      </c>
    </row>
    <row r="11" spans="1:14" x14ac:dyDescent="0.25">
      <c r="A11" s="3"/>
      <c r="B11" s="328" t="s">
        <v>1365</v>
      </c>
      <c r="C11" s="329">
        <v>73900</v>
      </c>
      <c r="D11" s="330">
        <v>71964.5</v>
      </c>
      <c r="E11" s="331">
        <v>0.97380920162381601</v>
      </c>
      <c r="F11" s="329">
        <f>560+300</f>
        <v>860</v>
      </c>
      <c r="G11" s="329">
        <f t="shared" si="1"/>
        <v>11180</v>
      </c>
      <c r="H11" s="330">
        <f t="shared" si="2"/>
        <v>83144.5</v>
      </c>
      <c r="I11" s="3"/>
      <c r="J11" s="328" t="s">
        <v>1365</v>
      </c>
      <c r="K11" s="329">
        <f>5800*13</f>
        <v>75400</v>
      </c>
      <c r="L11" s="329">
        <v>71964.5</v>
      </c>
      <c r="M11" s="332">
        <f t="shared" si="0"/>
        <v>0.95443633952254647</v>
      </c>
      <c r="N11" s="333">
        <f>75500+11180</f>
        <v>86680</v>
      </c>
    </row>
    <row r="12" spans="1:14" x14ac:dyDescent="0.25">
      <c r="A12" s="3"/>
      <c r="B12" s="328" t="s">
        <v>1366</v>
      </c>
      <c r="C12" s="329">
        <v>125500</v>
      </c>
      <c r="D12" s="330">
        <v>123614.83</v>
      </c>
      <c r="E12" s="331">
        <v>0.9849787250996016</v>
      </c>
      <c r="F12" s="329">
        <v>250</v>
      </c>
      <c r="G12" s="329">
        <f t="shared" si="1"/>
        <v>3250</v>
      </c>
      <c r="H12" s="330">
        <f t="shared" si="2"/>
        <v>126864.83</v>
      </c>
      <c r="I12" s="3"/>
      <c r="J12" s="328" t="s">
        <v>1366</v>
      </c>
      <c r="K12" s="329">
        <v>125500</v>
      </c>
      <c r="L12" s="329">
        <v>123614.83</v>
      </c>
      <c r="M12" s="332">
        <f t="shared" si="0"/>
        <v>0.9849787250996016</v>
      </c>
      <c r="N12" s="333">
        <f>121550+3250</f>
        <v>124800</v>
      </c>
    </row>
    <row r="13" spans="1:14" x14ac:dyDescent="0.25">
      <c r="A13" s="3"/>
      <c r="B13" s="328" t="s">
        <v>1367</v>
      </c>
      <c r="C13" s="329">
        <v>26200</v>
      </c>
      <c r="D13" s="330">
        <v>28380.010000000002</v>
      </c>
      <c r="E13" s="331">
        <v>1.0832064885496184</v>
      </c>
      <c r="F13" s="329">
        <v>0</v>
      </c>
      <c r="G13" s="329">
        <f t="shared" si="1"/>
        <v>0</v>
      </c>
      <c r="H13" s="330">
        <v>0</v>
      </c>
      <c r="I13" s="3"/>
      <c r="J13" s="328" t="s">
        <v>1367</v>
      </c>
      <c r="K13" s="329">
        <v>26200</v>
      </c>
      <c r="L13" s="329">
        <v>28380.01</v>
      </c>
      <c r="M13" s="332">
        <f t="shared" si="0"/>
        <v>1.0832064885496182</v>
      </c>
      <c r="N13" s="333">
        <v>0</v>
      </c>
    </row>
    <row r="14" spans="1:14" x14ac:dyDescent="0.25">
      <c r="A14" s="3"/>
      <c r="B14" s="328" t="s">
        <v>179</v>
      </c>
      <c r="C14" s="329">
        <v>175500</v>
      </c>
      <c r="D14" s="330">
        <v>174651.06</v>
      </c>
      <c r="E14" s="331">
        <v>0.995162735042735</v>
      </c>
      <c r="F14" s="329">
        <v>850</v>
      </c>
      <c r="G14" s="329">
        <f t="shared" si="1"/>
        <v>11050</v>
      </c>
      <c r="H14" s="330">
        <f t="shared" si="2"/>
        <v>185701.06</v>
      </c>
      <c r="I14" s="3"/>
      <c r="J14" s="328" t="s">
        <v>179</v>
      </c>
      <c r="K14" s="329">
        <v>175500</v>
      </c>
      <c r="L14" s="329">
        <v>174651.06</v>
      </c>
      <c r="M14" s="332">
        <f t="shared" si="0"/>
        <v>0.995162735042735</v>
      </c>
      <c r="N14" s="333">
        <f>177200+11050</f>
        <v>188250</v>
      </c>
    </row>
    <row r="15" spans="1:14" x14ac:dyDescent="0.25">
      <c r="A15" s="3"/>
      <c r="B15" s="328" t="s">
        <v>1368</v>
      </c>
      <c r="C15" s="329">
        <v>124225</v>
      </c>
      <c r="D15" s="330">
        <v>105307.06</v>
      </c>
      <c r="E15" s="331">
        <v>0.84771229623666733</v>
      </c>
      <c r="F15" s="329">
        <v>525</v>
      </c>
      <c r="G15" s="329">
        <f t="shared" si="1"/>
        <v>6825</v>
      </c>
      <c r="H15" s="330">
        <f t="shared" si="2"/>
        <v>112132.06</v>
      </c>
      <c r="I15" s="3"/>
      <c r="J15" s="328" t="s">
        <v>1368</v>
      </c>
      <c r="K15" s="329">
        <v>124225</v>
      </c>
      <c r="L15" s="329">
        <v>105307.06</v>
      </c>
      <c r="M15" s="332">
        <f t="shared" si="0"/>
        <v>0.84771229623666733</v>
      </c>
      <c r="N15" s="333">
        <f>112125+6825</f>
        <v>118950</v>
      </c>
    </row>
    <row r="16" spans="1:14" x14ac:dyDescent="0.25">
      <c r="A16" s="3"/>
      <c r="B16" s="328" t="s">
        <v>1369</v>
      </c>
      <c r="C16" s="329">
        <v>48700</v>
      </c>
      <c r="D16" s="330">
        <v>53063.17</v>
      </c>
      <c r="E16" s="331">
        <v>1.0895928131416837</v>
      </c>
      <c r="F16" s="329">
        <v>0</v>
      </c>
      <c r="G16" s="329">
        <f t="shared" si="1"/>
        <v>0</v>
      </c>
      <c r="H16" s="330">
        <f>+G16+D16</f>
        <v>53063.17</v>
      </c>
      <c r="I16" s="3"/>
      <c r="J16" s="328" t="s">
        <v>1369</v>
      </c>
      <c r="K16" s="329">
        <v>48700</v>
      </c>
      <c r="L16" s="329">
        <v>53063.17</v>
      </c>
      <c r="M16" s="332">
        <f t="shared" si="0"/>
        <v>1.0895928131416837</v>
      </c>
      <c r="N16" s="333">
        <v>53500</v>
      </c>
    </row>
    <row r="17" spans="1:14" x14ac:dyDescent="0.25">
      <c r="A17" s="3"/>
      <c r="B17" s="328" t="s">
        <v>1370</v>
      </c>
      <c r="C17" s="329">
        <f>6250*13</f>
        <v>81250</v>
      </c>
      <c r="D17" s="330">
        <v>82486.009999999995</v>
      </c>
      <c r="E17" s="331">
        <v>1.0152124307692307</v>
      </c>
      <c r="F17" s="329">
        <v>200</v>
      </c>
      <c r="G17" s="329">
        <f t="shared" si="1"/>
        <v>2600</v>
      </c>
      <c r="H17" s="330">
        <v>0</v>
      </c>
      <c r="I17" s="3"/>
      <c r="J17" s="328" t="s">
        <v>1371</v>
      </c>
      <c r="K17" s="329">
        <v>0</v>
      </c>
      <c r="L17" s="329">
        <v>0</v>
      </c>
      <c r="M17" s="332">
        <v>0</v>
      </c>
      <c r="N17" s="333">
        <f>182650+2600</f>
        <v>185250</v>
      </c>
    </row>
    <row r="18" spans="1:14" x14ac:dyDescent="0.25">
      <c r="A18" s="3"/>
      <c r="B18" s="328" t="s">
        <v>1371</v>
      </c>
      <c r="C18" s="329">
        <v>0</v>
      </c>
      <c r="D18" s="330">
        <v>0</v>
      </c>
      <c r="E18" s="331">
        <v>0</v>
      </c>
      <c r="F18" s="329">
        <v>600</v>
      </c>
      <c r="G18" s="329">
        <f t="shared" si="1"/>
        <v>7800</v>
      </c>
      <c r="H18" s="330">
        <v>195325</v>
      </c>
      <c r="I18" s="3"/>
      <c r="J18" s="328" t="s">
        <v>1370</v>
      </c>
      <c r="K18" s="329">
        <f>6250*13</f>
        <v>81250</v>
      </c>
      <c r="L18" s="329">
        <v>82486.009999999995</v>
      </c>
      <c r="M18" s="332">
        <f t="shared" si="0"/>
        <v>1.0152124307692307</v>
      </c>
      <c r="N18" s="333">
        <v>0</v>
      </c>
    </row>
    <row r="19" spans="1:14" x14ac:dyDescent="0.25">
      <c r="A19" s="3"/>
      <c r="B19" s="328" t="s">
        <v>178</v>
      </c>
      <c r="C19" s="329">
        <f>5450*13</f>
        <v>70850</v>
      </c>
      <c r="D19" s="330">
        <v>68329.919999999998</v>
      </c>
      <c r="E19" s="331">
        <v>0.9644307692307692</v>
      </c>
      <c r="F19" s="329">
        <v>600</v>
      </c>
      <c r="G19" s="329">
        <f t="shared" si="1"/>
        <v>7800</v>
      </c>
      <c r="H19" s="330">
        <f t="shared" si="2"/>
        <v>76129.919999999998</v>
      </c>
      <c r="I19" s="3"/>
      <c r="J19" s="328" t="s">
        <v>178</v>
      </c>
      <c r="K19" s="329">
        <f>5450*13</f>
        <v>70850</v>
      </c>
      <c r="L19" s="329">
        <v>68329.919999999998</v>
      </c>
      <c r="M19" s="332">
        <f t="shared" si="0"/>
        <v>0.9644307692307692</v>
      </c>
      <c r="N19" s="333">
        <f>65000+7800</f>
        <v>72800</v>
      </c>
    </row>
    <row r="20" spans="1:14" x14ac:dyDescent="0.25">
      <c r="A20" s="3"/>
      <c r="B20" s="328" t="s">
        <v>177</v>
      </c>
      <c r="C20" s="329">
        <v>0</v>
      </c>
      <c r="D20" s="330">
        <v>12357.08</v>
      </c>
      <c r="E20" s="331">
        <v>0</v>
      </c>
      <c r="F20" s="329">
        <v>100</v>
      </c>
      <c r="G20" s="329">
        <f t="shared" si="1"/>
        <v>1300</v>
      </c>
      <c r="H20" s="330">
        <f t="shared" si="2"/>
        <v>13657.08</v>
      </c>
      <c r="I20" s="3"/>
      <c r="J20" s="328" t="s">
        <v>177</v>
      </c>
      <c r="K20" s="329">
        <v>0</v>
      </c>
      <c r="L20" s="329">
        <v>12357.08</v>
      </c>
      <c r="M20" s="332">
        <v>0</v>
      </c>
      <c r="N20" s="333">
        <f>35100+1300</f>
        <v>36400</v>
      </c>
    </row>
    <row r="21" spans="1:14" x14ac:dyDescent="0.25">
      <c r="A21" s="3"/>
      <c r="B21" s="328" t="s">
        <v>1372</v>
      </c>
      <c r="C21" s="329">
        <v>96850</v>
      </c>
      <c r="D21" s="330">
        <v>96342.75</v>
      </c>
      <c r="E21" s="331">
        <v>0.99476251935983484</v>
      </c>
      <c r="F21" s="329">
        <v>450</v>
      </c>
      <c r="G21" s="329">
        <f t="shared" si="1"/>
        <v>5850</v>
      </c>
      <c r="H21" s="330">
        <f t="shared" si="2"/>
        <v>102192.75</v>
      </c>
      <c r="I21" s="3"/>
      <c r="J21" s="328" t="s">
        <v>1372</v>
      </c>
      <c r="K21" s="329">
        <v>96850</v>
      </c>
      <c r="L21" s="329">
        <v>96342.75</v>
      </c>
      <c r="M21" s="332">
        <f t="shared" si="0"/>
        <v>0.99476251935983484</v>
      </c>
      <c r="N21" s="333">
        <f>98150+5850</f>
        <v>104000</v>
      </c>
    </row>
    <row r="22" spans="1:14" x14ac:dyDescent="0.25">
      <c r="A22" s="3"/>
      <c r="B22" s="328" t="s">
        <v>1373</v>
      </c>
      <c r="C22" s="329">
        <v>0</v>
      </c>
      <c r="D22" s="330">
        <v>0</v>
      </c>
      <c r="E22" s="331">
        <v>0</v>
      </c>
      <c r="F22" s="329">
        <v>0</v>
      </c>
      <c r="G22" s="329">
        <f t="shared" si="1"/>
        <v>0</v>
      </c>
      <c r="H22" s="330">
        <f t="shared" si="2"/>
        <v>0</v>
      </c>
      <c r="I22" s="3"/>
      <c r="J22" s="328" t="s">
        <v>1374</v>
      </c>
      <c r="K22" s="329">
        <f>4525*13+12000</f>
        <v>70825</v>
      </c>
      <c r="L22" s="329">
        <v>70293.429999999993</v>
      </c>
      <c r="M22" s="332">
        <f t="shared" si="0"/>
        <v>0.99249459936463102</v>
      </c>
      <c r="N22" s="333">
        <f>91975+3575+3000</f>
        <v>98550</v>
      </c>
    </row>
    <row r="23" spans="1:14" x14ac:dyDescent="0.25">
      <c r="A23" s="3"/>
      <c r="B23" s="328" t="s">
        <v>1375</v>
      </c>
      <c r="C23" s="329">
        <f>4525*13+12000</f>
        <v>70825</v>
      </c>
      <c r="D23" s="330">
        <v>70293.429999999993</v>
      </c>
      <c r="E23" s="331">
        <v>0.99249459936463102</v>
      </c>
      <c r="F23" s="329">
        <v>275</v>
      </c>
      <c r="G23" s="329">
        <f t="shared" si="1"/>
        <v>3575</v>
      </c>
      <c r="H23" s="330">
        <f t="shared" si="2"/>
        <v>73868.429999999993</v>
      </c>
      <c r="J23" s="307"/>
      <c r="K23" s="307"/>
      <c r="L23" s="307"/>
      <c r="M23" s="307"/>
      <c r="N23" s="307"/>
    </row>
    <row r="24" spans="1:14" ht="18.75" x14ac:dyDescent="0.3">
      <c r="A24" s="4">
        <v>5</v>
      </c>
      <c r="B24" s="1" t="s">
        <v>32</v>
      </c>
      <c r="C24" s="2">
        <f>SUM(C25:C28)</f>
        <v>1500000</v>
      </c>
      <c r="D24" s="2">
        <v>1553268.1300000001</v>
      </c>
      <c r="E24" s="6">
        <v>1.0355120866666667</v>
      </c>
      <c r="F24" s="2">
        <f>SUM(F25:F28)</f>
        <v>0</v>
      </c>
      <c r="G24" s="334">
        <f>SUM(G25:G28)</f>
        <v>0</v>
      </c>
      <c r="H24" s="334">
        <f>SUM(H25:H28)</f>
        <v>1553268.1300000001</v>
      </c>
      <c r="I24" s="4">
        <v>5</v>
      </c>
      <c r="J24" s="1" t="s">
        <v>32</v>
      </c>
      <c r="K24" s="2">
        <f>SUM(K25:K28)</f>
        <v>1500000</v>
      </c>
      <c r="L24" s="2">
        <f>SUM(L25:L28)</f>
        <v>1553270.1300000001</v>
      </c>
      <c r="M24" s="6">
        <f t="shared" ref="M24:M39" si="3">+L24/K24</f>
        <v>1.03551342</v>
      </c>
      <c r="N24" s="5">
        <f>SUM(N25:N28)</f>
        <v>1685650</v>
      </c>
    </row>
    <row r="25" spans="1:14" x14ac:dyDescent="0.25">
      <c r="A25" s="3"/>
      <c r="B25" s="328" t="s">
        <v>167</v>
      </c>
      <c r="C25" s="329">
        <v>360600</v>
      </c>
      <c r="D25" s="330">
        <v>357775.56</v>
      </c>
      <c r="E25" s="331">
        <v>0.99216738768718804</v>
      </c>
      <c r="F25" s="329">
        <v>0</v>
      </c>
      <c r="G25" s="329">
        <f t="shared" si="1"/>
        <v>0</v>
      </c>
      <c r="H25" s="330">
        <f>+G25+D25</f>
        <v>357775.56</v>
      </c>
      <c r="I25" s="3"/>
      <c r="J25" s="328" t="s">
        <v>167</v>
      </c>
      <c r="K25" s="329">
        <v>360600</v>
      </c>
      <c r="L25" s="329">
        <v>357775.56</v>
      </c>
      <c r="M25" s="332">
        <f t="shared" si="3"/>
        <v>0.99216738768718804</v>
      </c>
      <c r="N25" s="333">
        <v>386175</v>
      </c>
    </row>
    <row r="26" spans="1:14" x14ac:dyDescent="0.25">
      <c r="A26" s="3"/>
      <c r="B26" s="328" t="s">
        <v>1362</v>
      </c>
      <c r="C26" s="329">
        <v>509200</v>
      </c>
      <c r="D26" s="330">
        <v>528022.15</v>
      </c>
      <c r="E26" s="331">
        <v>1.0369641594658288</v>
      </c>
      <c r="F26" s="329">
        <v>0</v>
      </c>
      <c r="G26" s="329">
        <f t="shared" si="1"/>
        <v>0</v>
      </c>
      <c r="H26" s="330">
        <f>+G26+D26</f>
        <v>528022.15</v>
      </c>
      <c r="I26" s="3"/>
      <c r="J26" s="328" t="s">
        <v>1362</v>
      </c>
      <c r="K26" s="329">
        <v>509200</v>
      </c>
      <c r="L26" s="329">
        <v>528022.15</v>
      </c>
      <c r="M26" s="332">
        <f t="shared" si="3"/>
        <v>1.0369641594658288</v>
      </c>
      <c r="N26" s="333">
        <v>584500</v>
      </c>
    </row>
    <row r="27" spans="1:14" x14ac:dyDescent="0.25">
      <c r="A27" s="3"/>
      <c r="B27" s="328" t="s">
        <v>169</v>
      </c>
      <c r="C27" s="329">
        <v>490200</v>
      </c>
      <c r="D27" s="330">
        <v>523823.08000000007</v>
      </c>
      <c r="E27" s="331">
        <v>1.0685905344757243</v>
      </c>
      <c r="F27" s="329">
        <v>0</v>
      </c>
      <c r="G27" s="329">
        <f t="shared" si="1"/>
        <v>0</v>
      </c>
      <c r="H27" s="330">
        <f>+G27+D27</f>
        <v>523823.08000000007</v>
      </c>
      <c r="I27" s="3"/>
      <c r="J27" s="328" t="s">
        <v>169</v>
      </c>
      <c r="K27" s="329">
        <v>490200</v>
      </c>
      <c r="L27" s="329">
        <v>523823.08</v>
      </c>
      <c r="M27" s="332">
        <f t="shared" si="3"/>
        <v>1.0685905344757243</v>
      </c>
      <c r="N27" s="333">
        <v>548675</v>
      </c>
    </row>
    <row r="28" spans="1:14" x14ac:dyDescent="0.25">
      <c r="A28" s="3"/>
      <c r="B28" s="328" t="s">
        <v>181</v>
      </c>
      <c r="C28" s="329">
        <v>140000</v>
      </c>
      <c r="D28" s="330">
        <v>143647.34</v>
      </c>
      <c r="E28" s="331">
        <v>1.0260524285714285</v>
      </c>
      <c r="F28" s="329">
        <v>0</v>
      </c>
      <c r="G28" s="329">
        <f t="shared" si="1"/>
        <v>0</v>
      </c>
      <c r="H28" s="330">
        <f>+G28+D28</f>
        <v>143647.34</v>
      </c>
      <c r="I28" s="3"/>
      <c r="J28" s="328" t="s">
        <v>181</v>
      </c>
      <c r="K28" s="329">
        <v>140000</v>
      </c>
      <c r="L28" s="329">
        <v>143649.34</v>
      </c>
      <c r="M28" s="332">
        <f t="shared" si="3"/>
        <v>1.0260667142857143</v>
      </c>
      <c r="N28" s="333">
        <v>166300</v>
      </c>
    </row>
    <row r="29" spans="1:14" ht="18.75" x14ac:dyDescent="0.3">
      <c r="A29" s="4">
        <v>6</v>
      </c>
      <c r="B29" s="1" t="s">
        <v>31</v>
      </c>
      <c r="C29" s="2">
        <f>SUM(C30:C33)</f>
        <v>1350000</v>
      </c>
      <c r="D29" s="2">
        <v>1312874.8600000001</v>
      </c>
      <c r="E29" s="6">
        <v>0.97249989629629641</v>
      </c>
      <c r="F29" s="2">
        <f>SUM(F30:F33)</f>
        <v>2360</v>
      </c>
      <c r="G29" s="2">
        <f>SUM(G30:G33)</f>
        <v>30680</v>
      </c>
      <c r="H29" s="334">
        <f>SUM(H30:H33)</f>
        <v>1343554.86</v>
      </c>
      <c r="I29" s="4">
        <v>6</v>
      </c>
      <c r="J29" s="1" t="s">
        <v>31</v>
      </c>
      <c r="K29" s="2">
        <f>SUM(K30:K33)</f>
        <v>1350000</v>
      </c>
      <c r="L29" s="2">
        <f>SUM(L30:L33)</f>
        <v>1312874.8600000001</v>
      </c>
      <c r="M29" s="335">
        <f t="shared" si="3"/>
        <v>0.97249989629629641</v>
      </c>
      <c r="N29" s="5">
        <f>SUM(N30:N33)</f>
        <v>1389055</v>
      </c>
    </row>
    <row r="30" spans="1:14" x14ac:dyDescent="0.25">
      <c r="A30" s="3"/>
      <c r="B30" s="328" t="s">
        <v>167</v>
      </c>
      <c r="C30" s="329">
        <v>240000</v>
      </c>
      <c r="D30" s="330">
        <v>228122.37</v>
      </c>
      <c r="E30" s="331">
        <v>0.95050987499999995</v>
      </c>
      <c r="F30" s="329">
        <v>200</v>
      </c>
      <c r="G30" s="329">
        <f t="shared" si="1"/>
        <v>2600</v>
      </c>
      <c r="H30" s="330">
        <f>+G30+D30</f>
        <v>230722.37</v>
      </c>
      <c r="I30" s="3"/>
      <c r="J30" s="328" t="s">
        <v>167</v>
      </c>
      <c r="K30" s="329">
        <v>240000</v>
      </c>
      <c r="L30" s="329">
        <v>228122.37</v>
      </c>
      <c r="M30" s="332">
        <f t="shared" si="3"/>
        <v>0.95050987499999995</v>
      </c>
      <c r="N30" s="333">
        <f>214275+2600</f>
        <v>216875</v>
      </c>
    </row>
    <row r="31" spans="1:14" x14ac:dyDescent="0.25">
      <c r="A31" s="3"/>
      <c r="B31" s="328" t="s">
        <v>1362</v>
      </c>
      <c r="C31" s="329">
        <v>490000</v>
      </c>
      <c r="D31" s="330">
        <v>489525.51000000007</v>
      </c>
      <c r="E31" s="331">
        <v>0.99903165306122466</v>
      </c>
      <c r="F31" s="329">
        <v>1260</v>
      </c>
      <c r="G31" s="329">
        <f t="shared" si="1"/>
        <v>16380</v>
      </c>
      <c r="H31" s="330">
        <f>+G31+D31</f>
        <v>505905.51000000007</v>
      </c>
      <c r="I31" s="3"/>
      <c r="J31" s="328" t="s">
        <v>1362</v>
      </c>
      <c r="K31" s="329">
        <v>490000</v>
      </c>
      <c r="L31" s="329">
        <v>489525.51</v>
      </c>
      <c r="M31" s="332">
        <f t="shared" si="3"/>
        <v>0.99903165306122454</v>
      </c>
      <c r="N31" s="333">
        <f>512675+16375</f>
        <v>529050</v>
      </c>
    </row>
    <row r="32" spans="1:14" x14ac:dyDescent="0.25">
      <c r="A32" s="3"/>
      <c r="B32" s="328" t="s">
        <v>169</v>
      </c>
      <c r="C32" s="329">
        <v>435000</v>
      </c>
      <c r="D32" s="330">
        <v>404824.66000000003</v>
      </c>
      <c r="E32" s="331">
        <v>0.93063140229885066</v>
      </c>
      <c r="F32" s="329">
        <v>700</v>
      </c>
      <c r="G32" s="329">
        <f t="shared" si="1"/>
        <v>9100</v>
      </c>
      <c r="H32" s="330">
        <f>+G32+D32</f>
        <v>413924.66000000003</v>
      </c>
      <c r="I32" s="3"/>
      <c r="J32" s="328" t="s">
        <v>169</v>
      </c>
      <c r="K32" s="329">
        <v>435000</v>
      </c>
      <c r="L32" s="329">
        <v>404824.66</v>
      </c>
      <c r="M32" s="332">
        <f t="shared" si="3"/>
        <v>0.93063140229885055</v>
      </c>
      <c r="N32" s="333">
        <f>434330+9100</f>
        <v>443430</v>
      </c>
    </row>
    <row r="33" spans="1:14" x14ac:dyDescent="0.25">
      <c r="A33" s="3"/>
      <c r="B33" s="328" t="s">
        <v>170</v>
      </c>
      <c r="C33" s="329">
        <v>185000</v>
      </c>
      <c r="D33" s="330">
        <v>190402.32</v>
      </c>
      <c r="E33" s="331">
        <v>1.0292017297297298</v>
      </c>
      <c r="F33" s="329">
        <v>200</v>
      </c>
      <c r="G33" s="329">
        <f t="shared" si="1"/>
        <v>2600</v>
      </c>
      <c r="H33" s="330">
        <f>+G33+D33</f>
        <v>193002.32</v>
      </c>
      <c r="I33" s="3"/>
      <c r="J33" s="328" t="s">
        <v>170</v>
      </c>
      <c r="K33" s="329">
        <v>185000</v>
      </c>
      <c r="L33" s="329">
        <v>190402.32</v>
      </c>
      <c r="M33" s="332">
        <f t="shared" si="3"/>
        <v>1.0292017297297298</v>
      </c>
      <c r="N33" s="333">
        <f>197100+2600</f>
        <v>199700</v>
      </c>
    </row>
    <row r="34" spans="1:14" ht="18.75" x14ac:dyDescent="0.3">
      <c r="A34" s="4">
        <v>3</v>
      </c>
      <c r="B34" s="1" t="s">
        <v>28</v>
      </c>
      <c r="C34" s="2">
        <f>SUM(C35:C46)</f>
        <v>1650000</v>
      </c>
      <c r="D34" s="2">
        <v>1653703.94</v>
      </c>
      <c r="E34" s="6">
        <v>1.0022448121212122</v>
      </c>
      <c r="F34" s="2">
        <f>SUM(F35:F46)</f>
        <v>3025</v>
      </c>
      <c r="G34" s="2">
        <f>SUM(G35:G46)</f>
        <v>39325</v>
      </c>
      <c r="H34" s="334">
        <f>SUM(H35:H46)</f>
        <v>1693028.94</v>
      </c>
      <c r="I34" s="4">
        <v>3</v>
      </c>
      <c r="J34" s="336" t="s">
        <v>28</v>
      </c>
      <c r="K34" s="334">
        <f>SUM(K35:K46)</f>
        <v>1650000</v>
      </c>
      <c r="L34" s="334">
        <f>SUM(L35:L46)</f>
        <v>1653703.94</v>
      </c>
      <c r="M34" s="335">
        <f t="shared" si="3"/>
        <v>1.0022448121212122</v>
      </c>
      <c r="N34" s="337">
        <f>SUM(N35:N46)</f>
        <v>1648025</v>
      </c>
    </row>
    <row r="35" spans="1:14" x14ac:dyDescent="0.25">
      <c r="A35" s="3"/>
      <c r="B35" s="328" t="s">
        <v>1376</v>
      </c>
      <c r="C35" s="329">
        <f>33100*13</f>
        <v>430300</v>
      </c>
      <c r="D35" s="330">
        <v>395431.58999999997</v>
      </c>
      <c r="E35" s="331">
        <v>0.91896720892400641</v>
      </c>
      <c r="F35" s="329">
        <v>0</v>
      </c>
      <c r="G35" s="329">
        <f t="shared" si="1"/>
        <v>0</v>
      </c>
      <c r="H35" s="330">
        <f t="shared" ref="H35:H57" si="4">+G35+D35</f>
        <v>395431.58999999997</v>
      </c>
      <c r="I35" s="3"/>
      <c r="J35" s="328" t="s">
        <v>1376</v>
      </c>
      <c r="K35" s="329">
        <f>33100*13</f>
        <v>430300</v>
      </c>
      <c r="L35" s="329">
        <v>395431.59</v>
      </c>
      <c r="M35" s="332">
        <f t="shared" si="3"/>
        <v>0.91896720892400652</v>
      </c>
      <c r="N35" s="333">
        <v>391400</v>
      </c>
    </row>
    <row r="36" spans="1:14" x14ac:dyDescent="0.25">
      <c r="A36" s="3"/>
      <c r="B36" s="328" t="s">
        <v>154</v>
      </c>
      <c r="C36" s="329">
        <v>181000</v>
      </c>
      <c r="D36" s="330">
        <v>217355.63000000003</v>
      </c>
      <c r="E36" s="331">
        <v>1.2008598342541439</v>
      </c>
      <c r="F36" s="329">
        <v>100</v>
      </c>
      <c r="G36" s="329">
        <f t="shared" si="1"/>
        <v>1300</v>
      </c>
      <c r="H36" s="330">
        <f t="shared" si="4"/>
        <v>218655.63000000003</v>
      </c>
      <c r="I36" s="3"/>
      <c r="J36" s="328" t="s">
        <v>154</v>
      </c>
      <c r="K36" s="329">
        <v>181000</v>
      </c>
      <c r="L36" s="329">
        <v>217355.63</v>
      </c>
      <c r="M36" s="332">
        <f t="shared" si="3"/>
        <v>1.2008598342541437</v>
      </c>
      <c r="N36" s="333">
        <f>215500+1300</f>
        <v>216800</v>
      </c>
    </row>
    <row r="37" spans="1:14" x14ac:dyDescent="0.25">
      <c r="A37" s="3"/>
      <c r="B37" s="328" t="s">
        <v>155</v>
      </c>
      <c r="C37" s="329">
        <f>8600*13</f>
        <v>111800</v>
      </c>
      <c r="D37" s="330">
        <v>109491.46</v>
      </c>
      <c r="E37" s="331">
        <v>0.97935116279069778</v>
      </c>
      <c r="F37" s="329">
        <v>100</v>
      </c>
      <c r="G37" s="329">
        <f t="shared" si="1"/>
        <v>1300</v>
      </c>
      <c r="H37" s="330">
        <f t="shared" si="4"/>
        <v>110791.46</v>
      </c>
      <c r="I37" s="3"/>
      <c r="J37" s="328" t="s">
        <v>155</v>
      </c>
      <c r="K37" s="329">
        <f>8600*13</f>
        <v>111800</v>
      </c>
      <c r="L37" s="329">
        <v>109491.46</v>
      </c>
      <c r="M37" s="332">
        <f t="shared" si="3"/>
        <v>0.97935116279069778</v>
      </c>
      <c r="N37" s="333">
        <f>121200+1300</f>
        <v>122500</v>
      </c>
    </row>
    <row r="38" spans="1:14" x14ac:dyDescent="0.25">
      <c r="A38" s="3"/>
      <c r="B38" s="328" t="s">
        <v>156</v>
      </c>
      <c r="C38" s="329">
        <f>4100*13</f>
        <v>53300</v>
      </c>
      <c r="D38" s="330">
        <v>52891</v>
      </c>
      <c r="E38" s="331">
        <v>0.99232645403377107</v>
      </c>
      <c r="F38" s="329">
        <v>300</v>
      </c>
      <c r="G38" s="329">
        <f t="shared" si="1"/>
        <v>3900</v>
      </c>
      <c r="H38" s="330">
        <f t="shared" si="4"/>
        <v>56791</v>
      </c>
      <c r="I38" s="3"/>
      <c r="J38" s="328" t="s">
        <v>156</v>
      </c>
      <c r="K38" s="329">
        <f>4100*13</f>
        <v>53300</v>
      </c>
      <c r="L38" s="329">
        <v>52891</v>
      </c>
      <c r="M38" s="332">
        <f t="shared" si="3"/>
        <v>0.99232645403377107</v>
      </c>
      <c r="N38" s="333">
        <f>72800+3900</f>
        <v>76700</v>
      </c>
    </row>
    <row r="39" spans="1:14" x14ac:dyDescent="0.25">
      <c r="A39" s="3"/>
      <c r="B39" s="328" t="s">
        <v>1377</v>
      </c>
      <c r="C39" s="329">
        <v>232700</v>
      </c>
      <c r="D39" s="330">
        <v>205628.71</v>
      </c>
      <c r="E39" s="331">
        <v>0.88366441770519977</v>
      </c>
      <c r="F39" s="329">
        <v>0</v>
      </c>
      <c r="G39" s="329">
        <f t="shared" si="1"/>
        <v>0</v>
      </c>
      <c r="H39" s="330">
        <f t="shared" si="4"/>
        <v>205628.71</v>
      </c>
      <c r="I39" s="3"/>
      <c r="J39" s="328" t="s">
        <v>1377</v>
      </c>
      <c r="K39" s="329">
        <v>232700</v>
      </c>
      <c r="L39" s="329">
        <v>205628.71</v>
      </c>
      <c r="M39" s="332">
        <f t="shared" si="3"/>
        <v>0.88366441770519977</v>
      </c>
      <c r="N39" s="333">
        <v>0</v>
      </c>
    </row>
    <row r="40" spans="1:14" x14ac:dyDescent="0.25">
      <c r="A40" s="3"/>
      <c r="B40" s="328" t="s">
        <v>1378</v>
      </c>
      <c r="C40" s="329">
        <v>0</v>
      </c>
      <c r="D40" s="330">
        <v>0</v>
      </c>
      <c r="E40" s="331">
        <v>0</v>
      </c>
      <c r="F40" s="329">
        <v>750</v>
      </c>
      <c r="G40" s="329">
        <f>+F40*13</f>
        <v>9750</v>
      </c>
      <c r="H40" s="330">
        <f t="shared" si="4"/>
        <v>9750</v>
      </c>
      <c r="I40" s="3"/>
      <c r="J40" s="328" t="s">
        <v>1378</v>
      </c>
      <c r="K40" s="329">
        <v>0</v>
      </c>
      <c r="L40" s="329">
        <v>0</v>
      </c>
      <c r="M40" s="332">
        <v>0</v>
      </c>
      <c r="N40" s="333">
        <f>144300+9750</f>
        <v>154050</v>
      </c>
    </row>
    <row r="41" spans="1:14" x14ac:dyDescent="0.25">
      <c r="A41" s="3"/>
      <c r="B41" s="328" t="s">
        <v>1379</v>
      </c>
      <c r="C41" s="329">
        <v>203700</v>
      </c>
      <c r="D41" s="330">
        <v>199710.46</v>
      </c>
      <c r="E41" s="331">
        <v>0.98041462935689738</v>
      </c>
      <c r="F41" s="329">
        <v>0</v>
      </c>
      <c r="G41" s="329">
        <f t="shared" si="1"/>
        <v>0</v>
      </c>
      <c r="H41" s="330">
        <f t="shared" si="4"/>
        <v>199710.46</v>
      </c>
      <c r="I41" s="3"/>
      <c r="J41" s="328" t="s">
        <v>1379</v>
      </c>
      <c r="K41" s="329">
        <v>203700</v>
      </c>
      <c r="L41" s="329">
        <v>199710.46</v>
      </c>
      <c r="M41" s="332">
        <f t="shared" ref="M41:M46" si="5">+L41/K41</f>
        <v>0.98041462935689738</v>
      </c>
      <c r="N41" s="333">
        <f>218500+2600</f>
        <v>221100</v>
      </c>
    </row>
    <row r="42" spans="1:14" x14ac:dyDescent="0.25">
      <c r="A42" s="3"/>
      <c r="B42" s="328" t="s">
        <v>1380</v>
      </c>
      <c r="C42" s="329">
        <v>103000</v>
      </c>
      <c r="D42" s="330">
        <v>101872</v>
      </c>
      <c r="E42" s="331">
        <v>0.98904854368932038</v>
      </c>
      <c r="F42" s="329">
        <v>650</v>
      </c>
      <c r="G42" s="329">
        <f t="shared" si="1"/>
        <v>8450</v>
      </c>
      <c r="H42" s="330">
        <f t="shared" si="4"/>
        <v>110322</v>
      </c>
      <c r="I42" s="3"/>
      <c r="J42" s="328" t="s">
        <v>1380</v>
      </c>
      <c r="K42" s="329">
        <v>103000</v>
      </c>
      <c r="L42" s="329">
        <v>101872</v>
      </c>
      <c r="M42" s="332">
        <f t="shared" si="5"/>
        <v>0.98904854368932038</v>
      </c>
      <c r="N42" s="333">
        <f>104000+8450</f>
        <v>112450</v>
      </c>
    </row>
    <row r="43" spans="1:14" x14ac:dyDescent="0.25">
      <c r="A43" s="3"/>
      <c r="B43" s="328" t="s">
        <v>162</v>
      </c>
      <c r="C43" s="329">
        <v>32200</v>
      </c>
      <c r="D43" s="330">
        <v>31628.810000000005</v>
      </c>
      <c r="E43" s="331">
        <v>0.98226118012422381</v>
      </c>
      <c r="F43" s="329">
        <v>0</v>
      </c>
      <c r="G43" s="329">
        <f t="shared" si="1"/>
        <v>0</v>
      </c>
      <c r="H43" s="330">
        <f t="shared" si="4"/>
        <v>31628.810000000005</v>
      </c>
      <c r="I43" s="3"/>
      <c r="J43" s="328" t="s">
        <v>162</v>
      </c>
      <c r="K43" s="329">
        <v>32200</v>
      </c>
      <c r="L43" s="329">
        <v>31628.81</v>
      </c>
      <c r="M43" s="332">
        <f t="shared" si="5"/>
        <v>0.9822611801242237</v>
      </c>
      <c r="N43" s="333">
        <v>32200</v>
      </c>
    </row>
    <row r="44" spans="1:14" x14ac:dyDescent="0.25">
      <c r="A44" s="3"/>
      <c r="B44" s="328" t="s">
        <v>163</v>
      </c>
      <c r="C44" s="329">
        <v>88000</v>
      </c>
      <c r="D44" s="330">
        <v>91325.030000000013</v>
      </c>
      <c r="E44" s="331">
        <v>1.0377844318181819</v>
      </c>
      <c r="F44" s="329">
        <v>400</v>
      </c>
      <c r="G44" s="329">
        <f>+F44*13</f>
        <v>5200</v>
      </c>
      <c r="H44" s="330">
        <f t="shared" si="4"/>
        <v>96525.030000000013</v>
      </c>
      <c r="I44" s="3"/>
      <c r="J44" s="328" t="s">
        <v>163</v>
      </c>
      <c r="K44" s="329">
        <v>88000</v>
      </c>
      <c r="L44" s="329">
        <v>91325.03</v>
      </c>
      <c r="M44" s="332">
        <f t="shared" si="5"/>
        <v>1.0377844318181817</v>
      </c>
      <c r="N44" s="333">
        <f>86600+5200</f>
        <v>91800</v>
      </c>
    </row>
    <row r="45" spans="1:14" x14ac:dyDescent="0.25">
      <c r="A45" s="3"/>
      <c r="B45" s="328" t="s">
        <v>164</v>
      </c>
      <c r="C45" s="329">
        <v>188000</v>
      </c>
      <c r="D45" s="330">
        <v>223034.83000000002</v>
      </c>
      <c r="E45" s="331">
        <v>1.1863554787234043</v>
      </c>
      <c r="F45" s="329">
        <v>525</v>
      </c>
      <c r="G45" s="329">
        <f t="shared" si="1"/>
        <v>6825</v>
      </c>
      <c r="H45" s="330">
        <f t="shared" si="4"/>
        <v>229859.83000000002</v>
      </c>
      <c r="I45" s="3"/>
      <c r="J45" s="328" t="s">
        <v>164</v>
      </c>
      <c r="K45" s="329">
        <v>188000</v>
      </c>
      <c r="L45" s="329">
        <v>223034.83</v>
      </c>
      <c r="M45" s="332">
        <f t="shared" si="5"/>
        <v>1.1863554787234041</v>
      </c>
      <c r="N45" s="333">
        <f>180750+6825+20000</f>
        <v>207575</v>
      </c>
    </row>
    <row r="46" spans="1:14" x14ac:dyDescent="0.25">
      <c r="A46" s="3"/>
      <c r="B46" s="328" t="s">
        <v>1381</v>
      </c>
      <c r="C46" s="329">
        <f>2000*13</f>
        <v>26000</v>
      </c>
      <c r="D46" s="330">
        <v>25334.42</v>
      </c>
      <c r="E46" s="331">
        <v>0.97440076923076913</v>
      </c>
      <c r="F46" s="329">
        <v>200</v>
      </c>
      <c r="G46" s="329">
        <f t="shared" si="1"/>
        <v>2600</v>
      </c>
      <c r="H46" s="330">
        <f t="shared" si="4"/>
        <v>27934.42</v>
      </c>
      <c r="I46" s="3"/>
      <c r="J46" s="328" t="s">
        <v>1381</v>
      </c>
      <c r="K46" s="329">
        <f>2000*13</f>
        <v>26000</v>
      </c>
      <c r="L46" s="329">
        <v>25334.42</v>
      </c>
      <c r="M46" s="332">
        <f t="shared" si="5"/>
        <v>0.97440076923076913</v>
      </c>
      <c r="N46" s="333">
        <f>18850+2600</f>
        <v>21450</v>
      </c>
    </row>
    <row r="47" spans="1:14" ht="27" x14ac:dyDescent="0.3">
      <c r="A47" s="4">
        <v>3</v>
      </c>
      <c r="B47" s="338" t="s">
        <v>1382</v>
      </c>
      <c r="C47" s="334">
        <f>SUM(C48:C62)</f>
        <v>662850</v>
      </c>
      <c r="D47" s="334">
        <f>SUM(D48:D62)</f>
        <v>647197.46</v>
      </c>
      <c r="E47" s="335">
        <v>1.0022448121212122</v>
      </c>
      <c r="F47" s="334">
        <f>SUM(F48:F57)</f>
        <v>1875</v>
      </c>
      <c r="G47" s="334">
        <f>SUM(G48:G57)</f>
        <v>23175</v>
      </c>
      <c r="H47" s="334">
        <f>SUM(H48:H57)</f>
        <v>670372.46</v>
      </c>
      <c r="I47" s="4">
        <v>3</v>
      </c>
      <c r="J47" s="338" t="s">
        <v>1382</v>
      </c>
      <c r="K47" s="334">
        <f>SUM(K48:K57)</f>
        <v>662850</v>
      </c>
      <c r="L47" s="334">
        <f>SUM(L48:L57)</f>
        <v>647197.46</v>
      </c>
      <c r="M47" s="335">
        <f>+L47/K47</f>
        <v>0.97638599984913621</v>
      </c>
      <c r="N47" s="334">
        <f>SUM(N48:N57)</f>
        <v>762860.5</v>
      </c>
    </row>
    <row r="48" spans="1:14" x14ac:dyDescent="0.25">
      <c r="B48" s="328" t="s">
        <v>1383</v>
      </c>
      <c r="C48" s="329">
        <v>165625</v>
      </c>
      <c r="D48" s="330">
        <v>156995.20000000001</v>
      </c>
      <c r="E48" s="331">
        <f>+D48/C48</f>
        <v>0.94789554716981139</v>
      </c>
      <c r="F48" s="329">
        <v>125</v>
      </c>
      <c r="G48" s="329">
        <f t="shared" ref="G48:G55" si="6">+F48*13</f>
        <v>1625</v>
      </c>
      <c r="H48" s="330">
        <f t="shared" si="4"/>
        <v>158620.20000000001</v>
      </c>
      <c r="J48" s="328" t="s">
        <v>1383</v>
      </c>
      <c r="K48" s="329">
        <v>165625</v>
      </c>
      <c r="L48" s="330">
        <v>156995.20000000001</v>
      </c>
      <c r="M48" s="331">
        <f>+L48/K48</f>
        <v>0.94789554716981139</v>
      </c>
      <c r="N48" s="333">
        <f>11453.5*13+1625</f>
        <v>150520.5</v>
      </c>
    </row>
    <row r="49" spans="2:14" x14ac:dyDescent="0.25">
      <c r="B49" s="328" t="s">
        <v>1384</v>
      </c>
      <c r="C49" s="329">
        <v>190425</v>
      </c>
      <c r="D49" s="330">
        <v>182657.15</v>
      </c>
      <c r="E49" s="331">
        <f>+D49/C49</f>
        <v>0.95920782460286202</v>
      </c>
      <c r="F49" s="329">
        <v>0</v>
      </c>
      <c r="G49" s="329">
        <v>0</v>
      </c>
      <c r="H49" s="330">
        <f t="shared" si="4"/>
        <v>182657.15</v>
      </c>
      <c r="J49" s="328" t="s">
        <v>1384</v>
      </c>
      <c r="K49" s="329">
        <v>190425</v>
      </c>
      <c r="L49" s="330">
        <v>182657.15</v>
      </c>
      <c r="M49" s="331">
        <f t="shared" ref="M49:M57" si="7">+L49/K49</f>
        <v>0.95920782460286202</v>
      </c>
      <c r="N49" s="333">
        <f>14725*13</f>
        <v>191425</v>
      </c>
    </row>
    <row r="50" spans="2:14" x14ac:dyDescent="0.25">
      <c r="B50" s="328" t="s">
        <v>1367</v>
      </c>
      <c r="C50" s="329">
        <v>26200</v>
      </c>
      <c r="D50" s="330">
        <v>28380.010000000002</v>
      </c>
      <c r="E50" s="331">
        <v>1.0832064885496184</v>
      </c>
      <c r="F50" s="329">
        <v>200</v>
      </c>
      <c r="G50" s="329">
        <f>+F50*7</f>
        <v>1400</v>
      </c>
      <c r="H50" s="330">
        <f t="shared" si="4"/>
        <v>29780.010000000002</v>
      </c>
      <c r="J50" s="328" t="s">
        <v>1367</v>
      </c>
      <c r="K50" s="329">
        <v>26200</v>
      </c>
      <c r="L50" s="329">
        <v>28380.01</v>
      </c>
      <c r="M50" s="332">
        <f t="shared" si="7"/>
        <v>1.0832064885496182</v>
      </c>
      <c r="N50" s="333">
        <f>3500*13+400</f>
        <v>45900</v>
      </c>
    </row>
    <row r="51" spans="2:14" x14ac:dyDescent="0.25">
      <c r="B51" s="328" t="s">
        <v>1385</v>
      </c>
      <c r="C51" s="329">
        <v>103450</v>
      </c>
      <c r="D51" s="330">
        <f>47200+11592.31+13485.5+19365+12442.25+1200</f>
        <v>105285.06</v>
      </c>
      <c r="E51" s="331">
        <f>+D51/C51</f>
        <v>1.0177386176897052</v>
      </c>
      <c r="F51" s="329">
        <v>525</v>
      </c>
      <c r="G51" s="329">
        <f t="shared" si="6"/>
        <v>6825</v>
      </c>
      <c r="H51" s="330">
        <f t="shared" si="4"/>
        <v>112110.06</v>
      </c>
      <c r="J51" s="328" t="s">
        <v>1385</v>
      </c>
      <c r="K51" s="329">
        <v>103450</v>
      </c>
      <c r="L51" s="330">
        <f>47200+11592.31+13485.5+19365+12442.25+1200</f>
        <v>105285.06</v>
      </c>
      <c r="M51" s="331">
        <f t="shared" si="7"/>
        <v>1.0177386176897052</v>
      </c>
      <c r="N51" s="333">
        <f>8550*13+6825</f>
        <v>117975</v>
      </c>
    </row>
    <row r="52" spans="2:14" x14ac:dyDescent="0.25">
      <c r="B52" s="328" t="s">
        <v>1386</v>
      </c>
      <c r="C52" s="329">
        <v>16900</v>
      </c>
      <c r="D52" s="330">
        <v>14159</v>
      </c>
      <c r="E52" s="331">
        <f>+D52/D52</f>
        <v>1</v>
      </c>
      <c r="F52" s="329">
        <v>150</v>
      </c>
      <c r="G52" s="329">
        <f t="shared" si="6"/>
        <v>1950</v>
      </c>
      <c r="H52" s="330">
        <f t="shared" si="4"/>
        <v>16109</v>
      </c>
      <c r="J52" s="328" t="s">
        <v>1386</v>
      </c>
      <c r="K52" s="329">
        <v>16900</v>
      </c>
      <c r="L52" s="330">
        <v>14159</v>
      </c>
      <c r="M52" s="331">
        <f t="shared" si="7"/>
        <v>0.837810650887574</v>
      </c>
      <c r="N52" s="333">
        <f>850*13+1950</f>
        <v>13000</v>
      </c>
    </row>
    <row r="53" spans="2:14" x14ac:dyDescent="0.25">
      <c r="B53" s="328" t="s">
        <v>1387</v>
      </c>
      <c r="C53" s="329">
        <v>8450</v>
      </c>
      <c r="D53" s="330">
        <v>8248.57</v>
      </c>
      <c r="E53" s="331">
        <f>+D53/D53</f>
        <v>1</v>
      </c>
      <c r="F53" s="329">
        <v>100</v>
      </c>
      <c r="G53" s="329">
        <f t="shared" si="6"/>
        <v>1300</v>
      </c>
      <c r="H53" s="330">
        <f t="shared" si="4"/>
        <v>9548.57</v>
      </c>
      <c r="J53" s="328" t="s">
        <v>1387</v>
      </c>
      <c r="K53" s="329">
        <v>8450</v>
      </c>
      <c r="L53" s="330">
        <v>8248.57</v>
      </c>
      <c r="M53" s="331">
        <f t="shared" si="7"/>
        <v>0.97616213017751474</v>
      </c>
      <c r="N53" s="333">
        <f>650*13+1300</f>
        <v>9750</v>
      </c>
    </row>
    <row r="54" spans="2:14" x14ac:dyDescent="0.25">
      <c r="B54" s="339" t="s">
        <v>1388</v>
      </c>
      <c r="C54" s="340">
        <v>21000</v>
      </c>
      <c r="D54" s="341">
        <v>22609</v>
      </c>
      <c r="E54" s="331">
        <f>+D54/D54</f>
        <v>1</v>
      </c>
      <c r="F54" s="329">
        <v>275</v>
      </c>
      <c r="G54" s="329">
        <f t="shared" si="6"/>
        <v>3575</v>
      </c>
      <c r="H54" s="330">
        <f t="shared" si="4"/>
        <v>26184</v>
      </c>
      <c r="J54" s="328" t="s">
        <v>1388</v>
      </c>
      <c r="K54" s="329">
        <v>21000</v>
      </c>
      <c r="L54" s="330">
        <v>22609</v>
      </c>
      <c r="M54" s="331">
        <f t="shared" si="7"/>
        <v>1.0766190476190476</v>
      </c>
      <c r="N54" s="333">
        <f>1975*13+3575</f>
        <v>29250</v>
      </c>
    </row>
    <row r="55" spans="2:14" x14ac:dyDescent="0.25">
      <c r="B55" s="328" t="s">
        <v>1389</v>
      </c>
      <c r="C55" s="329">
        <v>18000</v>
      </c>
      <c r="D55" s="330">
        <v>17897.34</v>
      </c>
      <c r="E55" s="331">
        <f>+D55/C55</f>
        <v>0.99429666666666672</v>
      </c>
      <c r="F55" s="329">
        <v>100</v>
      </c>
      <c r="G55" s="329">
        <f t="shared" si="6"/>
        <v>1300</v>
      </c>
      <c r="H55" s="330">
        <f t="shared" si="4"/>
        <v>19197.34</v>
      </c>
      <c r="J55" s="328" t="s">
        <v>1389</v>
      </c>
      <c r="K55" s="329">
        <v>18000</v>
      </c>
      <c r="L55" s="330">
        <v>17897.34</v>
      </c>
      <c r="M55" s="331">
        <f t="shared" si="7"/>
        <v>0.99429666666666672</v>
      </c>
      <c r="N55" s="333">
        <f>1400*13+1300</f>
        <v>19500</v>
      </c>
    </row>
    <row r="56" spans="2:14" x14ac:dyDescent="0.25">
      <c r="B56" s="328" t="s">
        <v>1390</v>
      </c>
      <c r="C56" s="329">
        <v>86800</v>
      </c>
      <c r="D56" s="330">
        <v>85236.13</v>
      </c>
      <c r="E56" s="331">
        <f>+D56/C56</f>
        <v>0.98198306451612904</v>
      </c>
      <c r="F56" s="329">
        <v>0</v>
      </c>
      <c r="G56" s="329">
        <v>0</v>
      </c>
      <c r="H56" s="330">
        <f t="shared" si="4"/>
        <v>85236.13</v>
      </c>
      <c r="J56" s="328" t="s">
        <v>1390</v>
      </c>
      <c r="K56" s="329">
        <v>86800</v>
      </c>
      <c r="L56" s="330">
        <v>85236.13</v>
      </c>
      <c r="M56" s="331">
        <f t="shared" si="7"/>
        <v>0.98198306451612904</v>
      </c>
      <c r="N56" s="333">
        <f>11180*13+9000</f>
        <v>154340</v>
      </c>
    </row>
    <row r="57" spans="2:14" x14ac:dyDescent="0.25">
      <c r="B57" s="328" t="s">
        <v>1373</v>
      </c>
      <c r="C57" s="329">
        <v>26000</v>
      </c>
      <c r="D57" s="330">
        <v>25730</v>
      </c>
      <c r="E57" s="331">
        <f>+D57/C57</f>
        <v>0.98961538461538456</v>
      </c>
      <c r="F57" s="329">
        <v>400</v>
      </c>
      <c r="G57" s="329">
        <f>+F57*13</f>
        <v>5200</v>
      </c>
      <c r="H57" s="330">
        <f t="shared" si="4"/>
        <v>30930</v>
      </c>
      <c r="J57" s="328" t="s">
        <v>1373</v>
      </c>
      <c r="K57" s="329">
        <v>26000</v>
      </c>
      <c r="L57" s="330">
        <v>25730</v>
      </c>
      <c r="M57" s="331">
        <f t="shared" si="7"/>
        <v>0.98961538461538456</v>
      </c>
      <c r="N57" s="333">
        <f>2000*13+5200</f>
        <v>31200</v>
      </c>
    </row>
    <row r="58" spans="2:14" ht="18.75" x14ac:dyDescent="0.3">
      <c r="B58" s="395" t="s">
        <v>1391</v>
      </c>
      <c r="C58" s="396"/>
      <c r="D58" s="396"/>
      <c r="E58" s="397"/>
      <c r="F58" s="342">
        <f>+F47+F34+F29+F3</f>
        <v>12640</v>
      </c>
      <c r="G58" s="343">
        <f>+G47+G34+G29+G3</f>
        <v>163120</v>
      </c>
      <c r="H58" s="334">
        <f>+H47+H34+H29+H3</f>
        <v>5299461.7300000004</v>
      </c>
      <c r="J58" s="307" t="s">
        <v>1</v>
      </c>
      <c r="K58" s="334">
        <f>+K47+K34+K29+K3</f>
        <v>5137850</v>
      </c>
      <c r="L58" s="334">
        <f>+L47+L34+L29+L3</f>
        <v>5062282.75</v>
      </c>
      <c r="M58" s="335">
        <f>+L58/K58</f>
        <v>0.98529204823029093</v>
      </c>
      <c r="N58" s="334">
        <f>+N47+N34+N29+N3</f>
        <v>5464330.5</v>
      </c>
    </row>
    <row r="60" spans="2:14" ht="15.75" thickBot="1" x14ac:dyDescent="0.3"/>
    <row r="61" spans="2:14" x14ac:dyDescent="0.25">
      <c r="B61" t="s">
        <v>1</v>
      </c>
      <c r="J61" s="10" t="s">
        <v>1392</v>
      </c>
      <c r="K61" s="11">
        <f>+G34</f>
        <v>39325</v>
      </c>
      <c r="L61" s="11">
        <v>57000</v>
      </c>
      <c r="M61" s="12"/>
      <c r="N61" s="13">
        <f>SUM(K61:L61)</f>
        <v>96325</v>
      </c>
    </row>
    <row r="62" spans="2:14" x14ac:dyDescent="0.25">
      <c r="B62" t="s">
        <v>1</v>
      </c>
      <c r="J62" s="14" t="s">
        <v>1393</v>
      </c>
      <c r="K62" s="9">
        <f>+G3</f>
        <v>69940</v>
      </c>
      <c r="L62" s="9">
        <v>39000</v>
      </c>
      <c r="M62" s="15"/>
      <c r="N62" s="16">
        <f>SUM(K62:L62)</f>
        <v>108940</v>
      </c>
    </row>
    <row r="63" spans="2:14" x14ac:dyDescent="0.25">
      <c r="J63" s="14" t="s">
        <v>1394</v>
      </c>
      <c r="K63" s="9">
        <f>+G47</f>
        <v>23175</v>
      </c>
      <c r="L63" s="9"/>
      <c r="M63" s="15"/>
      <c r="N63" s="16"/>
    </row>
    <row r="64" spans="2:14" ht="15.75" thickBot="1" x14ac:dyDescent="0.3">
      <c r="B64" t="s">
        <v>1</v>
      </c>
      <c r="J64" s="17" t="s">
        <v>1395</v>
      </c>
      <c r="K64" s="18">
        <f>+G29</f>
        <v>30680</v>
      </c>
      <c r="L64" s="18">
        <v>0</v>
      </c>
      <c r="M64" s="19"/>
      <c r="N64" s="20"/>
    </row>
    <row r="65" spans="2:14" x14ac:dyDescent="0.25">
      <c r="B65" t="s">
        <v>1</v>
      </c>
      <c r="K65" s="9">
        <f>SUM(K61:K64)</f>
        <v>163120</v>
      </c>
      <c r="L65" s="21">
        <f>SUM(L61:L64)</f>
        <v>96000</v>
      </c>
      <c r="N65" s="8">
        <f>+K65+L65</f>
        <v>259120</v>
      </c>
    </row>
    <row r="67" spans="2:14" x14ac:dyDescent="0.25">
      <c r="K67" t="s">
        <v>1</v>
      </c>
    </row>
    <row r="68" spans="2:14" x14ac:dyDescent="0.25">
      <c r="K68" s="8" t="s">
        <v>1</v>
      </c>
    </row>
    <row r="69" spans="2:14" x14ac:dyDescent="0.25">
      <c r="K69" t="s">
        <v>1</v>
      </c>
    </row>
  </sheetData>
  <mergeCells count="3">
    <mergeCell ref="B1:E1"/>
    <mergeCell ref="F1:H1"/>
    <mergeCell ref="B58:E58"/>
  </mergeCells>
  <pageMargins left="0.70866141732283472" right="0.70866141732283472" top="0.55118110236220474" bottom="1.1417322834645669" header="0.31496062992125984" footer="0.70866141732283472"/>
  <pageSetup scale="65" orientation="landscape" r:id="rId1"/>
  <headerFooter>
    <oddFooter>&amp;L&amp;D&amp;C&amp;P /&amp;N&amp;R&amp;F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8BEF6EDAE6A441BFDB68BD563B8F8F" ma:contentTypeVersion="14" ma:contentTypeDescription="Crear nuevo documento." ma:contentTypeScope="" ma:versionID="8a48ae9649872d65646d3bb03db22fed">
  <xsd:schema xmlns:xsd="http://www.w3.org/2001/XMLSchema" xmlns:xs="http://www.w3.org/2001/XMLSchema" xmlns:p="http://schemas.microsoft.com/office/2006/metadata/properties" xmlns:ns3="0dd087bf-301e-47d0-acbc-430548047aff" xmlns:ns4="1749c75b-eaf0-479b-90f9-a35c2d7a1f00" targetNamespace="http://schemas.microsoft.com/office/2006/metadata/properties" ma:root="true" ma:fieldsID="1510c469ee8cedf825bfc66e559a49b8" ns3:_="" ns4:_="">
    <xsd:import namespace="0dd087bf-301e-47d0-acbc-430548047aff"/>
    <xsd:import namespace="1749c75b-eaf0-479b-90f9-a35c2d7a1f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087bf-301e-47d0-acbc-430548047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9c75b-eaf0-479b-90f9-a35c2d7a1f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788FBC-5BCC-4995-90B6-DB50CABDF1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807E46-2392-4033-A27C-C47F8A2F50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087bf-301e-47d0-acbc-430548047aff"/>
    <ds:schemaRef ds:uri="1749c75b-eaf0-479b-90f9-a35c2d7a1f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2AC48-E8E6-4563-B4C8-CC290E5333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PRESUPUESTO 2022</vt:lpstr>
      <vt:lpstr>DIPLOMADOS Y SEMINARIOS 2022</vt:lpstr>
      <vt:lpstr>FORMULA </vt:lpstr>
      <vt:lpstr>REGLA DE 3</vt:lpstr>
      <vt:lpstr>SUELDOS 2017</vt:lpstr>
      <vt:lpstr>'DIPLOMADOS Y SEMINARIOS 2022'!Área_de_impresión</vt:lpstr>
      <vt:lpstr>'PRESUPUESTO 2022'!Área_de_impresión</vt:lpstr>
      <vt:lpstr>'SUELDOS 2017'!Área_de_impresión</vt:lpstr>
      <vt:lpstr>'DIPLOMADOS Y SEMINARIOS 2022'!Títulos_a_imprimir</vt:lpstr>
      <vt:lpstr>'PRESUPUESTO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Edna Geraldina Serrano Rodriguez</dc:creator>
  <cp:keywords/>
  <dc:description/>
  <cp:lastModifiedBy>Fabio Ernesto Ramos Reyes</cp:lastModifiedBy>
  <cp:revision/>
  <dcterms:created xsi:type="dcterms:W3CDTF">2015-10-28T17:22:08Z</dcterms:created>
  <dcterms:modified xsi:type="dcterms:W3CDTF">2023-01-10T22:36:19Z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0x010100F98BEF6EDAE6A441BFDB68BD563B8F8F</vt:lpwstr>
  </property>
</Properties>
</file>