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21720" windowHeight="12015" activeTab="1"/>
  </bookViews>
  <sheets>
    <sheet name="Dados" sheetId="12" r:id="rId1"/>
    <sheet name="Produtos" sheetId="4" r:id="rId2"/>
    <sheet name="Vendas " sheetId="5" r:id="rId3"/>
    <sheet name="Compras" sheetId="8" r:id="rId4"/>
    <sheet name="Fluxo Vendas " sheetId="9" r:id="rId5"/>
    <sheet name="Fluxo Compras" sheetId="13" r:id="rId6"/>
    <sheet name="Plan1" sheetId="1" r:id="rId7"/>
    <sheet name="Plan2" sheetId="2" r:id="rId8"/>
    <sheet name="Plan3" sheetId="3" r:id="rId9"/>
  </sheets>
  <externalReferences>
    <externalReference r:id="rId10"/>
    <externalReference r:id="rId11"/>
  </externalReferences>
  <definedNames>
    <definedName name="_xlnm._FilterDatabase" localSheetId="3" hidden="1">Compras!#REF!</definedName>
    <definedName name="_xlnm._FilterDatabase" localSheetId="1" hidden="1">Produtos!$A$5:$AP$5</definedName>
    <definedName name="_xlnm._FilterDatabase" localSheetId="2" hidden="1">'Vendas '!$D$7:$S$7</definedName>
    <definedName name="FCI_Ano_1" localSheetId="3">#REF!</definedName>
    <definedName name="FCI_Ano_1" localSheetId="0">#REF!</definedName>
    <definedName name="FCI_Ano_1" localSheetId="5">#REF!</definedName>
    <definedName name="FCI_Ano_1" localSheetId="4">#REF!</definedName>
    <definedName name="FCI_Ano_1" localSheetId="1">#REF!</definedName>
    <definedName name="FCI_Ano_1" localSheetId="2">#REF!</definedName>
    <definedName name="FCI_Ano_1">#REF!</definedName>
    <definedName name="FCI_Ano_2" localSheetId="3">#REF!</definedName>
    <definedName name="FCI_Ano_2" localSheetId="0">#REF!</definedName>
    <definedName name="FCI_Ano_2" localSheetId="5">#REF!</definedName>
    <definedName name="FCI_Ano_2" localSheetId="4">#REF!</definedName>
    <definedName name="FCI_Ano_2" localSheetId="1">#REF!</definedName>
    <definedName name="FCI_Ano_2" localSheetId="2">#REF!</definedName>
    <definedName name="FCI_Ano_2">#REF!</definedName>
    <definedName name="FCI_Ano_3" localSheetId="3">#REF!</definedName>
    <definedName name="FCI_Ano_3" localSheetId="0">#REF!</definedName>
    <definedName name="FCI_Ano_3" localSheetId="5">#REF!</definedName>
    <definedName name="FCI_Ano_3" localSheetId="4">#REF!</definedName>
    <definedName name="FCI_Ano_3" localSheetId="1">#REF!</definedName>
    <definedName name="FCI_Ano_3" localSheetId="2">#REF!</definedName>
    <definedName name="FCI_Ano_3">#REF!</definedName>
    <definedName name="FCI_Ano_4" localSheetId="3">#REF!</definedName>
    <definedName name="FCI_Ano_4" localSheetId="0">#REF!</definedName>
    <definedName name="FCI_Ano_4" localSheetId="5">#REF!</definedName>
    <definedName name="FCI_Ano_4" localSheetId="4">#REF!</definedName>
    <definedName name="FCI_Ano_4" localSheetId="1">#REF!</definedName>
    <definedName name="FCI_Ano_4" localSheetId="2">#REF!</definedName>
    <definedName name="FCI_Ano_4">#REF!</definedName>
    <definedName name="FCI_Ano_5" localSheetId="3">#REF!</definedName>
    <definedName name="FCI_Ano_5" localSheetId="0">#REF!</definedName>
    <definedName name="FCI_Ano_5" localSheetId="5">#REF!</definedName>
    <definedName name="FCI_Ano_5" localSheetId="4">#REF!</definedName>
    <definedName name="FCI_Ano_5" localSheetId="1">#REF!</definedName>
    <definedName name="FCI_Ano_5" localSheetId="2">#REF!</definedName>
    <definedName name="FCI_Ano_5">#REF!</definedName>
    <definedName name="precos" localSheetId="3">[1]Receita!#REF!</definedName>
    <definedName name="precos" localSheetId="0">[1]Receita!#REF!</definedName>
    <definedName name="precos" localSheetId="5">[1]Receita!#REF!</definedName>
    <definedName name="precos" localSheetId="1">[1]Receita!#REF!</definedName>
    <definedName name="precos" localSheetId="2">[1]Receita!#REF!</definedName>
    <definedName name="precos">[1]Receita!#REF!</definedName>
  </definedNames>
  <calcPr calcId="145621"/>
</workbook>
</file>

<file path=xl/calcChain.xml><?xml version="1.0" encoding="utf-8"?>
<calcChain xmlns="http://schemas.openxmlformats.org/spreadsheetml/2006/main">
  <c r="AP6" i="4" l="1"/>
  <c r="AO6" i="4"/>
  <c r="W52" i="5"/>
  <c r="V52" i="5"/>
  <c r="F26" i="5"/>
  <c r="B24" i="13" l="1"/>
  <c r="B33" i="9" l="1"/>
  <c r="B34" i="9"/>
  <c r="B32" i="9"/>
  <c r="B31" i="9"/>
  <c r="M37" i="9"/>
  <c r="L37" i="9"/>
  <c r="K37" i="9"/>
  <c r="J37" i="9"/>
  <c r="I37" i="9"/>
  <c r="H37" i="9"/>
  <c r="G37" i="9"/>
  <c r="F37" i="9"/>
  <c r="E37" i="9"/>
  <c r="D37" i="9"/>
  <c r="C37" i="9"/>
  <c r="B37" i="9"/>
  <c r="B2" i="9"/>
  <c r="B64" i="12"/>
  <c r="A62" i="12"/>
  <c r="A63" i="12"/>
  <c r="A61" i="12"/>
  <c r="B58" i="12"/>
  <c r="G5" i="8"/>
  <c r="H5" i="8"/>
  <c r="I5" i="8"/>
  <c r="J5" i="8"/>
  <c r="K5" i="8"/>
  <c r="L5" i="8"/>
  <c r="M5" i="8"/>
  <c r="N5" i="8"/>
  <c r="O5" i="8"/>
  <c r="P5" i="8"/>
  <c r="Q5" i="8"/>
  <c r="F5" i="8"/>
  <c r="F9" i="8" l="1"/>
  <c r="D68" i="8"/>
  <c r="D62" i="8"/>
  <c r="D56" i="8"/>
  <c r="D50" i="8"/>
  <c r="D44" i="8"/>
  <c r="D38" i="8"/>
  <c r="D32" i="8"/>
  <c r="D26" i="8"/>
  <c r="D20" i="8"/>
  <c r="D14" i="8"/>
  <c r="D8" i="8"/>
  <c r="A2" i="8"/>
  <c r="A1" i="8"/>
  <c r="S25" i="5"/>
  <c r="S26" i="5"/>
  <c r="S27" i="5"/>
  <c r="S28" i="5"/>
  <c r="S29" i="5"/>
  <c r="S30" i="5"/>
  <c r="S31" i="5"/>
  <c r="S32" i="5"/>
  <c r="S33" i="5"/>
  <c r="S34" i="5"/>
  <c r="S24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C37" i="5"/>
  <c r="C38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B61" i="5"/>
  <c r="C61" i="5"/>
  <c r="D61" i="5"/>
  <c r="E61" i="5"/>
  <c r="A61" i="5"/>
  <c r="G42" i="5"/>
  <c r="H42" i="5"/>
  <c r="I42" i="5"/>
  <c r="J42" i="5"/>
  <c r="K42" i="5"/>
  <c r="L42" i="5"/>
  <c r="M42" i="5"/>
  <c r="N42" i="5"/>
  <c r="O42" i="5"/>
  <c r="P42" i="5"/>
  <c r="Q42" i="5"/>
  <c r="F42" i="5"/>
  <c r="C2" i="5"/>
  <c r="C1" i="5"/>
  <c r="AP7" i="4"/>
  <c r="AP8" i="4"/>
  <c r="AP9" i="4"/>
  <c r="AP10" i="4"/>
  <c r="AP11" i="4"/>
  <c r="AP12" i="4"/>
  <c r="AP13" i="4"/>
  <c r="AP14" i="4"/>
  <c r="AP15" i="4"/>
  <c r="AP16" i="4"/>
  <c r="AI7" i="4"/>
  <c r="AI8" i="4"/>
  <c r="AI9" i="4"/>
  <c r="AI10" i="4"/>
  <c r="AI11" i="4"/>
  <c r="AI12" i="4"/>
  <c r="AI13" i="4"/>
  <c r="AI14" i="4"/>
  <c r="AI15" i="4"/>
  <c r="AI16" i="4"/>
  <c r="AI6" i="4"/>
  <c r="AF7" i="4"/>
  <c r="AJ7" i="4" s="1"/>
  <c r="AF8" i="4"/>
  <c r="AJ8" i="4" s="1"/>
  <c r="AF9" i="4"/>
  <c r="AJ9" i="4" s="1"/>
  <c r="AF10" i="4"/>
  <c r="AF11" i="4"/>
  <c r="AJ11" i="4" s="1"/>
  <c r="AF12" i="4"/>
  <c r="AJ12" i="4" s="1"/>
  <c r="AF13" i="4"/>
  <c r="AJ13" i="4" s="1"/>
  <c r="AF14" i="4"/>
  <c r="AJ14" i="4" s="1"/>
  <c r="AF15" i="4"/>
  <c r="AJ15" i="4" s="1"/>
  <c r="AF16" i="4"/>
  <c r="AJ16" i="4" s="1"/>
  <c r="AE7" i="4"/>
  <c r="AE8" i="4"/>
  <c r="AE9" i="4"/>
  <c r="AE10" i="4"/>
  <c r="AE11" i="4"/>
  <c r="AE12" i="4"/>
  <c r="AE13" i="4"/>
  <c r="AE14" i="4"/>
  <c r="AE15" i="4"/>
  <c r="AE16" i="4"/>
  <c r="AD7" i="4"/>
  <c r="AD8" i="4"/>
  <c r="AD9" i="4"/>
  <c r="AD10" i="4"/>
  <c r="AD11" i="4"/>
  <c r="AD12" i="4"/>
  <c r="AD13" i="4"/>
  <c r="AD14" i="4"/>
  <c r="AD15" i="4"/>
  <c r="AD16" i="4"/>
  <c r="AD6" i="4"/>
  <c r="AC7" i="4"/>
  <c r="AC8" i="4"/>
  <c r="AC9" i="4"/>
  <c r="AC10" i="4"/>
  <c r="AC11" i="4"/>
  <c r="AC12" i="4"/>
  <c r="AC13" i="4"/>
  <c r="AC14" i="4"/>
  <c r="AC15" i="4"/>
  <c r="AC16" i="4"/>
  <c r="AC6" i="4"/>
  <c r="AB7" i="4"/>
  <c r="AB8" i="4"/>
  <c r="AG8" i="4" s="1"/>
  <c r="AK8" i="4" s="1"/>
  <c r="AL8" i="4" s="1"/>
  <c r="F22" i="8" s="1"/>
  <c r="AB9" i="4"/>
  <c r="AB10" i="4"/>
  <c r="AG10" i="4" s="1"/>
  <c r="AK10" i="4" s="1"/>
  <c r="AB11" i="4"/>
  <c r="AB12" i="4"/>
  <c r="AG12" i="4" s="1"/>
  <c r="AK12" i="4" s="1"/>
  <c r="AL12" i="4" s="1"/>
  <c r="F46" i="8" s="1"/>
  <c r="AB13" i="4"/>
  <c r="AB14" i="4"/>
  <c r="AG14" i="4" s="1"/>
  <c r="AK14" i="4" s="1"/>
  <c r="AL14" i="4" s="1"/>
  <c r="F58" i="8" s="1"/>
  <c r="AB15" i="4"/>
  <c r="AB16" i="4"/>
  <c r="AG16" i="4" s="1"/>
  <c r="AK16" i="4" s="1"/>
  <c r="AL16" i="4" s="1"/>
  <c r="F70" i="8" s="1"/>
  <c r="AB6" i="4"/>
  <c r="V7" i="4"/>
  <c r="V8" i="4"/>
  <c r="V9" i="4"/>
  <c r="AM9" i="4" s="1"/>
  <c r="V10" i="4"/>
  <c r="V11" i="4"/>
  <c r="AM11" i="4" s="1"/>
  <c r="V12" i="4"/>
  <c r="V13" i="4"/>
  <c r="AM13" i="4" s="1"/>
  <c r="V14" i="4"/>
  <c r="V15" i="4"/>
  <c r="AM15" i="4" s="1"/>
  <c r="V16" i="4"/>
  <c r="V6" i="4"/>
  <c r="AF6" i="4"/>
  <c r="AH6" i="4" s="1"/>
  <c r="AE6" i="4"/>
  <c r="C48" i="12"/>
  <c r="C42" i="12"/>
  <c r="C36" i="12"/>
  <c r="B29" i="12"/>
  <c r="D27" i="12"/>
  <c r="D26" i="12"/>
  <c r="D25" i="12"/>
  <c r="D24" i="12"/>
  <c r="A15" i="12"/>
  <c r="A14" i="12"/>
  <c r="A13" i="12"/>
  <c r="A12" i="12"/>
  <c r="A11" i="12"/>
  <c r="A10" i="12"/>
  <c r="AJ10" i="4" l="1"/>
  <c r="AL10" i="4" s="1"/>
  <c r="F34" i="8" s="1"/>
  <c r="AG6" i="4"/>
  <c r="AK6" i="4" s="1"/>
  <c r="AG15" i="4"/>
  <c r="AK15" i="4" s="1"/>
  <c r="AL15" i="4" s="1"/>
  <c r="F64" i="8" s="1"/>
  <c r="AG13" i="4"/>
  <c r="AK13" i="4" s="1"/>
  <c r="AL13" i="4" s="1"/>
  <c r="F52" i="8" s="1"/>
  <c r="AG11" i="4"/>
  <c r="AK11" i="4" s="1"/>
  <c r="AL11" i="4" s="1"/>
  <c r="F40" i="8" s="1"/>
  <c r="AG9" i="4"/>
  <c r="AK9" i="4" s="1"/>
  <c r="AL9" i="4" s="1"/>
  <c r="F28" i="8" s="1"/>
  <c r="AG7" i="4"/>
  <c r="AK7" i="4" s="1"/>
  <c r="AL7" i="4" s="1"/>
  <c r="F16" i="8" s="1"/>
  <c r="H70" i="5"/>
  <c r="J70" i="5"/>
  <c r="L70" i="5"/>
  <c r="N70" i="5"/>
  <c r="P70" i="5"/>
  <c r="AO15" i="4"/>
  <c r="G70" i="5"/>
  <c r="I70" i="5"/>
  <c r="K70" i="5"/>
  <c r="M70" i="5"/>
  <c r="O70" i="5"/>
  <c r="Q70" i="5"/>
  <c r="F70" i="5"/>
  <c r="H68" i="5"/>
  <c r="J68" i="5"/>
  <c r="L68" i="5"/>
  <c r="N68" i="5"/>
  <c r="P68" i="5"/>
  <c r="AO13" i="4"/>
  <c r="G68" i="5"/>
  <c r="I68" i="5"/>
  <c r="K68" i="5"/>
  <c r="M68" i="5"/>
  <c r="O68" i="5"/>
  <c r="Q68" i="5"/>
  <c r="F68" i="5"/>
  <c r="H66" i="5"/>
  <c r="J66" i="5"/>
  <c r="L66" i="5"/>
  <c r="N66" i="5"/>
  <c r="P66" i="5"/>
  <c r="AO11" i="4"/>
  <c r="G66" i="5"/>
  <c r="I66" i="5"/>
  <c r="K66" i="5"/>
  <c r="M66" i="5"/>
  <c r="O66" i="5"/>
  <c r="Q66" i="5"/>
  <c r="F66" i="5"/>
  <c r="R66" i="5" s="1"/>
  <c r="H64" i="5"/>
  <c r="J64" i="5"/>
  <c r="L64" i="5"/>
  <c r="N64" i="5"/>
  <c r="P64" i="5"/>
  <c r="G64" i="5"/>
  <c r="I64" i="5"/>
  <c r="K64" i="5"/>
  <c r="M64" i="5"/>
  <c r="O64" i="5"/>
  <c r="Q64" i="5"/>
  <c r="AO9" i="4"/>
  <c r="F64" i="5"/>
  <c r="D42" i="12"/>
  <c r="B42" i="12"/>
  <c r="G34" i="5"/>
  <c r="I34" i="5"/>
  <c r="K34" i="5"/>
  <c r="M34" i="5"/>
  <c r="O34" i="5"/>
  <c r="Q34" i="5"/>
  <c r="F34" i="5"/>
  <c r="H34" i="5"/>
  <c r="J34" i="5"/>
  <c r="L34" i="5"/>
  <c r="N34" i="5"/>
  <c r="P34" i="5"/>
  <c r="G32" i="5"/>
  <c r="I32" i="5"/>
  <c r="K32" i="5"/>
  <c r="M32" i="5"/>
  <c r="O32" i="5"/>
  <c r="Q32" i="5"/>
  <c r="F32" i="5"/>
  <c r="H32" i="5"/>
  <c r="J32" i="5"/>
  <c r="L32" i="5"/>
  <c r="N32" i="5"/>
  <c r="P32" i="5"/>
  <c r="G30" i="5"/>
  <c r="I30" i="5"/>
  <c r="K30" i="5"/>
  <c r="M30" i="5"/>
  <c r="O30" i="5"/>
  <c r="Q30" i="5"/>
  <c r="F30" i="5"/>
  <c r="H30" i="5"/>
  <c r="J30" i="5"/>
  <c r="L30" i="5"/>
  <c r="N30" i="5"/>
  <c r="P30" i="5"/>
  <c r="G28" i="5"/>
  <c r="I28" i="5"/>
  <c r="K28" i="5"/>
  <c r="M28" i="5"/>
  <c r="O28" i="5"/>
  <c r="Q28" i="5"/>
  <c r="F28" i="5"/>
  <c r="H28" i="5"/>
  <c r="J28" i="5"/>
  <c r="L28" i="5"/>
  <c r="N28" i="5"/>
  <c r="P28" i="5"/>
  <c r="G26" i="5"/>
  <c r="I26" i="5"/>
  <c r="K26" i="5"/>
  <c r="M26" i="5"/>
  <c r="O26" i="5"/>
  <c r="Q26" i="5"/>
  <c r="H26" i="5"/>
  <c r="J26" i="5"/>
  <c r="L26" i="5"/>
  <c r="N26" i="5"/>
  <c r="P26" i="5"/>
  <c r="AH15" i="4"/>
  <c r="AN15" i="4" s="1"/>
  <c r="AH13" i="4"/>
  <c r="AN13" i="4" s="1"/>
  <c r="AH11" i="4"/>
  <c r="AN11" i="4" s="1"/>
  <c r="AH9" i="4"/>
  <c r="AN9" i="4" s="1"/>
  <c r="AH7" i="4"/>
  <c r="AN7" i="4" s="1"/>
  <c r="AJ6" i="4"/>
  <c r="D36" i="12"/>
  <c r="C56" i="9"/>
  <c r="E56" i="9"/>
  <c r="G56" i="9"/>
  <c r="I56" i="9"/>
  <c r="K56" i="9"/>
  <c r="M56" i="9"/>
  <c r="D56" i="9"/>
  <c r="F56" i="9"/>
  <c r="H56" i="9"/>
  <c r="J56" i="9"/>
  <c r="L56" i="9"/>
  <c r="B56" i="9"/>
  <c r="D48" i="12"/>
  <c r="B48" i="12"/>
  <c r="AM6" i="4"/>
  <c r="P61" i="5" s="1"/>
  <c r="G24" i="5"/>
  <c r="G35" i="5" s="1"/>
  <c r="I24" i="5"/>
  <c r="K24" i="5"/>
  <c r="M24" i="5"/>
  <c r="O24" i="5"/>
  <c r="Q24" i="5"/>
  <c r="H24" i="5"/>
  <c r="J24" i="5"/>
  <c r="L24" i="5"/>
  <c r="N24" i="5"/>
  <c r="P24" i="5"/>
  <c r="F24" i="5"/>
  <c r="H33" i="5"/>
  <c r="J33" i="5"/>
  <c r="L33" i="5"/>
  <c r="N33" i="5"/>
  <c r="P33" i="5"/>
  <c r="G33" i="5"/>
  <c r="I33" i="5"/>
  <c r="K33" i="5"/>
  <c r="M33" i="5"/>
  <c r="O33" i="5"/>
  <c r="Q33" i="5"/>
  <c r="F33" i="5"/>
  <c r="H31" i="5"/>
  <c r="J31" i="5"/>
  <c r="L31" i="5"/>
  <c r="N31" i="5"/>
  <c r="P31" i="5"/>
  <c r="G31" i="5"/>
  <c r="I31" i="5"/>
  <c r="K31" i="5"/>
  <c r="M31" i="5"/>
  <c r="O31" i="5"/>
  <c r="Q31" i="5"/>
  <c r="F31" i="5"/>
  <c r="H29" i="5"/>
  <c r="J29" i="5"/>
  <c r="L29" i="5"/>
  <c r="N29" i="5"/>
  <c r="P29" i="5"/>
  <c r="G29" i="5"/>
  <c r="I29" i="5"/>
  <c r="K29" i="5"/>
  <c r="M29" i="5"/>
  <c r="O29" i="5"/>
  <c r="Q29" i="5"/>
  <c r="F29" i="5"/>
  <c r="H27" i="5"/>
  <c r="H35" i="5" s="1"/>
  <c r="J27" i="5"/>
  <c r="L27" i="5"/>
  <c r="L35" i="5" s="1"/>
  <c r="N27" i="5"/>
  <c r="P27" i="5"/>
  <c r="P35" i="5" s="1"/>
  <c r="G27" i="5"/>
  <c r="I27" i="5"/>
  <c r="K27" i="5"/>
  <c r="M27" i="5"/>
  <c r="O27" i="5"/>
  <c r="Q27" i="5"/>
  <c r="F27" i="5"/>
  <c r="AM7" i="4"/>
  <c r="H25" i="5"/>
  <c r="J25" i="5"/>
  <c r="L25" i="5"/>
  <c r="N25" i="5"/>
  <c r="P25" i="5"/>
  <c r="G25" i="5"/>
  <c r="I25" i="5"/>
  <c r="K25" i="5"/>
  <c r="M25" i="5"/>
  <c r="O25" i="5"/>
  <c r="O35" i="5" s="1"/>
  <c r="Q25" i="5"/>
  <c r="F25" i="5"/>
  <c r="AH16" i="4"/>
  <c r="AN16" i="4" s="1"/>
  <c r="AH14" i="4"/>
  <c r="AN14" i="4" s="1"/>
  <c r="AH12" i="4"/>
  <c r="AN12" i="4" s="1"/>
  <c r="AH10" i="4"/>
  <c r="AH8" i="4"/>
  <c r="AN8" i="4" s="1"/>
  <c r="AM16" i="4"/>
  <c r="AM14" i="4"/>
  <c r="AM12" i="4"/>
  <c r="AM10" i="4"/>
  <c r="AM8" i="4"/>
  <c r="R34" i="5"/>
  <c r="R30" i="5"/>
  <c r="R26" i="5"/>
  <c r="K35" i="5"/>
  <c r="N35" i="5"/>
  <c r="J35" i="5"/>
  <c r="R70" i="5"/>
  <c r="R64" i="5"/>
  <c r="N61" i="5"/>
  <c r="J61" i="5"/>
  <c r="O61" i="5"/>
  <c r="K61" i="5"/>
  <c r="G61" i="5"/>
  <c r="D29" i="12"/>
  <c r="B36" i="12"/>
  <c r="R24" i="5" l="1"/>
  <c r="AL6" i="4"/>
  <c r="F10" i="8" s="1"/>
  <c r="Q35" i="5"/>
  <c r="M35" i="5"/>
  <c r="I35" i="5"/>
  <c r="R28" i="5"/>
  <c r="R32" i="5"/>
  <c r="R68" i="5"/>
  <c r="AN6" i="4"/>
  <c r="I61" i="5"/>
  <c r="M61" i="5"/>
  <c r="H61" i="5"/>
  <c r="L61" i="5"/>
  <c r="AN10" i="4"/>
  <c r="R27" i="5"/>
  <c r="R29" i="5"/>
  <c r="R31" i="5"/>
  <c r="R33" i="5"/>
  <c r="D40" i="9"/>
  <c r="D38" i="9"/>
  <c r="D39" i="9"/>
  <c r="H38" i="9"/>
  <c r="H39" i="9"/>
  <c r="H40" i="9"/>
  <c r="L38" i="9"/>
  <c r="L39" i="9"/>
  <c r="L40" i="9"/>
  <c r="E38" i="9"/>
  <c r="E39" i="9"/>
  <c r="E40" i="9"/>
  <c r="I38" i="9"/>
  <c r="I39" i="9"/>
  <c r="I40" i="9"/>
  <c r="M38" i="9"/>
  <c r="M39" i="9"/>
  <c r="M40" i="9"/>
  <c r="G63" i="5"/>
  <c r="I63" i="5"/>
  <c r="K63" i="5"/>
  <c r="M63" i="5"/>
  <c r="O63" i="5"/>
  <c r="Q63" i="5"/>
  <c r="H63" i="5"/>
  <c r="J63" i="5"/>
  <c r="L63" i="5"/>
  <c r="N63" i="5"/>
  <c r="P63" i="5"/>
  <c r="F63" i="5"/>
  <c r="AO8" i="4"/>
  <c r="G67" i="5"/>
  <c r="I67" i="5"/>
  <c r="K67" i="5"/>
  <c r="M67" i="5"/>
  <c r="O67" i="5"/>
  <c r="Q67" i="5"/>
  <c r="F67" i="5"/>
  <c r="H67" i="5"/>
  <c r="J67" i="5"/>
  <c r="L67" i="5"/>
  <c r="N67" i="5"/>
  <c r="P67" i="5"/>
  <c r="AO12" i="4"/>
  <c r="G71" i="5"/>
  <c r="I71" i="5"/>
  <c r="K71" i="5"/>
  <c r="M71" i="5"/>
  <c r="O71" i="5"/>
  <c r="Q71" i="5"/>
  <c r="F71" i="5"/>
  <c r="H71" i="5"/>
  <c r="J71" i="5"/>
  <c r="L71" i="5"/>
  <c r="N71" i="5"/>
  <c r="P71" i="5"/>
  <c r="AO16" i="4"/>
  <c r="F38" i="9"/>
  <c r="F39" i="9"/>
  <c r="F40" i="9"/>
  <c r="J38" i="9"/>
  <c r="J39" i="9"/>
  <c r="J40" i="9"/>
  <c r="C38" i="9"/>
  <c r="C39" i="9"/>
  <c r="C40" i="9"/>
  <c r="G38" i="9"/>
  <c r="G39" i="9"/>
  <c r="G40" i="9"/>
  <c r="K38" i="9"/>
  <c r="K39" i="9"/>
  <c r="K40" i="9"/>
  <c r="G65" i="5"/>
  <c r="H65" i="5"/>
  <c r="I65" i="5"/>
  <c r="K65" i="5"/>
  <c r="M65" i="5"/>
  <c r="O65" i="5"/>
  <c r="Q65" i="5"/>
  <c r="F65" i="5"/>
  <c r="J65" i="5"/>
  <c r="L65" i="5"/>
  <c r="N65" i="5"/>
  <c r="P65" i="5"/>
  <c r="AO10" i="4"/>
  <c r="G69" i="5"/>
  <c r="I69" i="5"/>
  <c r="K69" i="5"/>
  <c r="M69" i="5"/>
  <c r="O69" i="5"/>
  <c r="Q69" i="5"/>
  <c r="F69" i="5"/>
  <c r="H69" i="5"/>
  <c r="J69" i="5"/>
  <c r="L69" i="5"/>
  <c r="N69" i="5"/>
  <c r="P69" i="5"/>
  <c r="AO14" i="4"/>
  <c r="R25" i="5"/>
  <c r="R35" i="5" s="1"/>
  <c r="S35" i="5" s="1"/>
  <c r="B2" i="13" s="1"/>
  <c r="AO7" i="4"/>
  <c r="H62" i="5"/>
  <c r="H72" i="5" s="1"/>
  <c r="J62" i="5"/>
  <c r="L62" i="5"/>
  <c r="L72" i="5" s="1"/>
  <c r="N62" i="5"/>
  <c r="P62" i="5"/>
  <c r="P72" i="5" s="1"/>
  <c r="G62" i="5"/>
  <c r="I62" i="5"/>
  <c r="I72" i="5" s="1"/>
  <c r="K62" i="5"/>
  <c r="M62" i="5"/>
  <c r="M72" i="5" s="1"/>
  <c r="O62" i="5"/>
  <c r="Q62" i="5"/>
  <c r="F62" i="5"/>
  <c r="F35" i="5"/>
  <c r="F61" i="5"/>
  <c r="F72" i="5" s="1"/>
  <c r="Q61" i="5"/>
  <c r="C29" i="12"/>
  <c r="C31" i="13"/>
  <c r="E31" i="13"/>
  <c r="G31" i="13"/>
  <c r="I31" i="13"/>
  <c r="K31" i="13"/>
  <c r="M31" i="13"/>
  <c r="D31" i="13"/>
  <c r="F31" i="13"/>
  <c r="H31" i="13"/>
  <c r="J31" i="13"/>
  <c r="L31" i="13"/>
  <c r="B31" i="13"/>
  <c r="B25" i="9"/>
  <c r="R61" i="5" l="1"/>
  <c r="Q72" i="5"/>
  <c r="O72" i="5"/>
  <c r="K72" i="5"/>
  <c r="G72" i="5"/>
  <c r="N72" i="5"/>
  <c r="J72" i="5"/>
  <c r="B4" i="13"/>
  <c r="F4" i="13"/>
  <c r="J4" i="13"/>
  <c r="G10" i="13"/>
  <c r="K10" i="13"/>
  <c r="F11" i="13"/>
  <c r="J11" i="13"/>
  <c r="D12" i="13"/>
  <c r="H12" i="13"/>
  <c r="L12" i="13"/>
  <c r="G13" i="13"/>
  <c r="K13" i="13"/>
  <c r="I14" i="13"/>
  <c r="M14" i="13"/>
  <c r="L15" i="13"/>
  <c r="J16" i="13"/>
  <c r="I17" i="13"/>
  <c r="M17" i="13"/>
  <c r="L20" i="13"/>
  <c r="C4" i="13"/>
  <c r="G4" i="13"/>
  <c r="K4" i="13"/>
  <c r="B10" i="13"/>
  <c r="B9" i="13" s="1"/>
  <c r="F10" i="13"/>
  <c r="J10" i="13"/>
  <c r="C11" i="13"/>
  <c r="G11" i="13"/>
  <c r="K11" i="13"/>
  <c r="I12" i="13"/>
  <c r="M12" i="13"/>
  <c r="H13" i="13"/>
  <c r="L13" i="13"/>
  <c r="H14" i="13"/>
  <c r="L14" i="13"/>
  <c r="I15" i="13"/>
  <c r="M15" i="13"/>
  <c r="K16" i="13"/>
  <c r="J18" i="13"/>
  <c r="K19" i="13"/>
  <c r="D4" i="13"/>
  <c r="H4" i="13"/>
  <c r="L4" i="13"/>
  <c r="E10" i="13"/>
  <c r="I10" i="13"/>
  <c r="M10" i="13"/>
  <c r="H11" i="13"/>
  <c r="L11" i="13"/>
  <c r="F12" i="13"/>
  <c r="J12" i="13"/>
  <c r="E13" i="13"/>
  <c r="I13" i="13"/>
  <c r="M13" i="13"/>
  <c r="K14" i="13"/>
  <c r="J15" i="13"/>
  <c r="H16" i="13"/>
  <c r="L16" i="13"/>
  <c r="K17" i="13"/>
  <c r="M18" i="13"/>
  <c r="M21" i="13"/>
  <c r="E4" i="13"/>
  <c r="I4" i="13"/>
  <c r="M4" i="13"/>
  <c r="D10" i="13"/>
  <c r="H10" i="13"/>
  <c r="L10" i="13"/>
  <c r="E11" i="13"/>
  <c r="I11" i="13"/>
  <c r="M11" i="13"/>
  <c r="G12" i="13"/>
  <c r="K12" i="13"/>
  <c r="J13" i="13"/>
  <c r="F14" i="13"/>
  <c r="J14" i="13"/>
  <c r="G15" i="13"/>
  <c r="K15" i="13"/>
  <c r="M16" i="13"/>
  <c r="L17" i="13"/>
  <c r="L18" i="13"/>
  <c r="M19" i="13"/>
  <c r="L32" i="13"/>
  <c r="H32" i="13"/>
  <c r="D32" i="13"/>
  <c r="K32" i="13"/>
  <c r="G32" i="13"/>
  <c r="C32" i="13"/>
  <c r="R62" i="5"/>
  <c r="R69" i="5"/>
  <c r="R65" i="5"/>
  <c r="K48" i="9"/>
  <c r="K41" i="9"/>
  <c r="K58" i="9" s="1"/>
  <c r="C48" i="9"/>
  <c r="C41" i="9"/>
  <c r="C58" i="9" s="1"/>
  <c r="F48" i="9"/>
  <c r="F41" i="9"/>
  <c r="F58" i="9" s="1"/>
  <c r="R67" i="5"/>
  <c r="R63" i="5"/>
  <c r="M48" i="9"/>
  <c r="M41" i="9"/>
  <c r="M58" i="9" s="1"/>
  <c r="E48" i="9"/>
  <c r="E41" i="9"/>
  <c r="E58" i="9" s="1"/>
  <c r="H48" i="9"/>
  <c r="H41" i="9"/>
  <c r="H58" i="9" s="1"/>
  <c r="D48" i="9"/>
  <c r="D41" i="9"/>
  <c r="D58" i="9" s="1"/>
  <c r="B32" i="13"/>
  <c r="J32" i="13"/>
  <c r="F32" i="13"/>
  <c r="M32" i="13"/>
  <c r="I32" i="13"/>
  <c r="E32" i="13"/>
  <c r="B38" i="9"/>
  <c r="B39" i="9"/>
  <c r="N39" i="9" s="1"/>
  <c r="B40" i="9"/>
  <c r="N40" i="9" s="1"/>
  <c r="G48" i="9"/>
  <c r="G41" i="9"/>
  <c r="G58" i="9" s="1"/>
  <c r="J48" i="9"/>
  <c r="J41" i="9"/>
  <c r="J58" i="9" s="1"/>
  <c r="R71" i="5"/>
  <c r="I48" i="9"/>
  <c r="I41" i="9"/>
  <c r="I58" i="9" s="1"/>
  <c r="L48" i="9"/>
  <c r="L41" i="9"/>
  <c r="L58" i="9" s="1"/>
  <c r="B3" i="9"/>
  <c r="B35" i="9"/>
  <c r="G9" i="8"/>
  <c r="H9" i="8"/>
  <c r="I9" i="8"/>
  <c r="J9" i="8"/>
  <c r="K9" i="8"/>
  <c r="L9" i="8"/>
  <c r="M9" i="8"/>
  <c r="N9" i="8"/>
  <c r="O9" i="8"/>
  <c r="P9" i="8"/>
  <c r="Q9" i="8"/>
  <c r="G15" i="8"/>
  <c r="H15" i="8"/>
  <c r="I15" i="8"/>
  <c r="J15" i="8"/>
  <c r="K15" i="8"/>
  <c r="L15" i="8"/>
  <c r="M15" i="8"/>
  <c r="N15" i="8"/>
  <c r="O15" i="8"/>
  <c r="P15" i="8"/>
  <c r="Q15" i="8"/>
  <c r="G21" i="8"/>
  <c r="H21" i="8"/>
  <c r="I21" i="8"/>
  <c r="J21" i="8"/>
  <c r="K21" i="8"/>
  <c r="L21" i="8"/>
  <c r="M21" i="8"/>
  <c r="N21" i="8"/>
  <c r="O21" i="8"/>
  <c r="P21" i="8"/>
  <c r="Q21" i="8"/>
  <c r="G27" i="8"/>
  <c r="H27" i="8"/>
  <c r="I27" i="8"/>
  <c r="J27" i="8"/>
  <c r="K27" i="8"/>
  <c r="L27" i="8"/>
  <c r="M27" i="8"/>
  <c r="N27" i="8"/>
  <c r="O27" i="8"/>
  <c r="P27" i="8"/>
  <c r="Q27" i="8"/>
  <c r="G33" i="8"/>
  <c r="H33" i="8"/>
  <c r="I33" i="8"/>
  <c r="J33" i="8"/>
  <c r="K33" i="8"/>
  <c r="L33" i="8"/>
  <c r="M33" i="8"/>
  <c r="N33" i="8"/>
  <c r="O33" i="8"/>
  <c r="P33" i="8"/>
  <c r="Q33" i="8"/>
  <c r="G39" i="8"/>
  <c r="H39" i="8"/>
  <c r="I39" i="8"/>
  <c r="J39" i="8"/>
  <c r="K39" i="8"/>
  <c r="L39" i="8"/>
  <c r="M39" i="8"/>
  <c r="N39" i="8"/>
  <c r="O39" i="8"/>
  <c r="P39" i="8"/>
  <c r="Q39" i="8"/>
  <c r="G45" i="8"/>
  <c r="H45" i="8"/>
  <c r="I45" i="8"/>
  <c r="J45" i="8"/>
  <c r="K45" i="8"/>
  <c r="L45" i="8"/>
  <c r="M45" i="8"/>
  <c r="N45" i="8"/>
  <c r="O45" i="8"/>
  <c r="P45" i="8"/>
  <c r="Q45" i="8"/>
  <c r="G51" i="8"/>
  <c r="H51" i="8"/>
  <c r="I51" i="8"/>
  <c r="J51" i="8"/>
  <c r="K51" i="8"/>
  <c r="L51" i="8"/>
  <c r="M51" i="8"/>
  <c r="N51" i="8"/>
  <c r="O51" i="8"/>
  <c r="P51" i="8"/>
  <c r="Q51" i="8"/>
  <c r="G57" i="8"/>
  <c r="H57" i="8"/>
  <c r="I57" i="8"/>
  <c r="J57" i="8"/>
  <c r="K57" i="8"/>
  <c r="L57" i="8"/>
  <c r="M57" i="8"/>
  <c r="N57" i="8"/>
  <c r="O57" i="8"/>
  <c r="P57" i="8"/>
  <c r="Q57" i="8"/>
  <c r="G63" i="8"/>
  <c r="H63" i="8"/>
  <c r="I63" i="8"/>
  <c r="J63" i="8"/>
  <c r="K63" i="8"/>
  <c r="L63" i="8"/>
  <c r="M63" i="8"/>
  <c r="N63" i="8"/>
  <c r="O63" i="8"/>
  <c r="P63" i="8"/>
  <c r="Q63" i="8"/>
  <c r="G69" i="8"/>
  <c r="H69" i="8"/>
  <c r="I69" i="8"/>
  <c r="J69" i="8"/>
  <c r="K69" i="8"/>
  <c r="L69" i="8"/>
  <c r="M69" i="8"/>
  <c r="N69" i="8"/>
  <c r="O69" i="8"/>
  <c r="P69" i="8"/>
  <c r="Q69" i="8"/>
  <c r="F15" i="8"/>
  <c r="F21" i="8"/>
  <c r="F27" i="8"/>
  <c r="F33" i="8"/>
  <c r="F39" i="8"/>
  <c r="F45" i="8"/>
  <c r="F51" i="8"/>
  <c r="F57" i="8"/>
  <c r="F63" i="8"/>
  <c r="F69" i="8"/>
  <c r="D80" i="8"/>
  <c r="D81" i="8"/>
  <c r="D82" i="8"/>
  <c r="D83" i="8"/>
  <c r="D84" i="8"/>
  <c r="D85" i="8"/>
  <c r="D86" i="8"/>
  <c r="D87" i="8"/>
  <c r="D88" i="8"/>
  <c r="D89" i="8"/>
  <c r="D79" i="8"/>
  <c r="S45" i="5"/>
  <c r="S46" i="5"/>
  <c r="S47" i="5"/>
  <c r="S48" i="5"/>
  <c r="S49" i="5"/>
  <c r="S50" i="5"/>
  <c r="S51" i="5"/>
  <c r="S52" i="5"/>
  <c r="S53" i="5"/>
  <c r="S54" i="5"/>
  <c r="S44" i="5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B68" i="8"/>
  <c r="C68" i="8"/>
  <c r="B62" i="8"/>
  <c r="C62" i="8"/>
  <c r="B56" i="8"/>
  <c r="C56" i="8"/>
  <c r="B50" i="8"/>
  <c r="C50" i="8"/>
  <c r="B44" i="8"/>
  <c r="C44" i="8"/>
  <c r="B38" i="8"/>
  <c r="C38" i="8"/>
  <c r="B32" i="8"/>
  <c r="C32" i="8"/>
  <c r="B26" i="8"/>
  <c r="C26" i="8"/>
  <c r="B20" i="8"/>
  <c r="C20" i="8"/>
  <c r="B14" i="8"/>
  <c r="C14" i="8"/>
  <c r="B8" i="8"/>
  <c r="C8" i="8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R72" i="5" l="1"/>
  <c r="B5" i="13"/>
  <c r="C3" i="13" s="1"/>
  <c r="C5" i="13" s="1"/>
  <c r="D3" i="13" s="1"/>
  <c r="D5" i="13" s="1"/>
  <c r="E3" i="13" s="1"/>
  <c r="E5" i="13" s="1"/>
  <c r="F3" i="13" s="1"/>
  <c r="F5" i="13" s="1"/>
  <c r="G3" i="13" s="1"/>
  <c r="G5" i="13" s="1"/>
  <c r="H3" i="13" s="1"/>
  <c r="H5" i="13" s="1"/>
  <c r="I3" i="13" s="1"/>
  <c r="I5" i="13" s="1"/>
  <c r="J3" i="13" s="1"/>
  <c r="J5" i="13" s="1"/>
  <c r="K3" i="13" s="1"/>
  <c r="K5" i="13" s="1"/>
  <c r="L3" i="13" s="1"/>
  <c r="L5" i="13" s="1"/>
  <c r="M3" i="13" s="1"/>
  <c r="M5" i="13" s="1"/>
  <c r="B26" i="13"/>
  <c r="B48" i="9"/>
  <c r="N48" i="9" s="1"/>
  <c r="N38" i="9"/>
  <c r="B41" i="9"/>
  <c r="D57" i="9"/>
  <c r="F57" i="9"/>
  <c r="H57" i="9"/>
  <c r="J57" i="9"/>
  <c r="L57" i="9"/>
  <c r="B57" i="9"/>
  <c r="C57" i="9"/>
  <c r="E57" i="9"/>
  <c r="G57" i="9"/>
  <c r="I57" i="9"/>
  <c r="K57" i="9"/>
  <c r="M57" i="9"/>
  <c r="C59" i="9"/>
  <c r="E59" i="9"/>
  <c r="G59" i="9"/>
  <c r="I59" i="9"/>
  <c r="K59" i="9"/>
  <c r="M59" i="9"/>
  <c r="D59" i="9"/>
  <c r="F59" i="9"/>
  <c r="H59" i="9"/>
  <c r="J59" i="9"/>
  <c r="L59" i="9"/>
  <c r="J46" i="9"/>
  <c r="E46" i="9"/>
  <c r="M46" i="9"/>
  <c r="H46" i="9"/>
  <c r="C46" i="9"/>
  <c r="K46" i="9"/>
  <c r="F46" i="9"/>
  <c r="B46" i="9"/>
  <c r="I46" i="9"/>
  <c r="D46" i="9"/>
  <c r="L46" i="9"/>
  <c r="G46" i="9"/>
  <c r="R16" i="5"/>
  <c r="R9" i="5"/>
  <c r="H19" i="5"/>
  <c r="P19" i="5"/>
  <c r="R12" i="5"/>
  <c r="L19" i="5"/>
  <c r="R18" i="5"/>
  <c r="R14" i="5"/>
  <c r="F19" i="5"/>
  <c r="N19" i="5"/>
  <c r="J19" i="5"/>
  <c r="R8" i="5"/>
  <c r="R10" i="5"/>
  <c r="R17" i="5"/>
  <c r="R15" i="5"/>
  <c r="R13" i="5"/>
  <c r="R11" i="5"/>
  <c r="Q19" i="5"/>
  <c r="O19" i="5"/>
  <c r="M19" i="5"/>
  <c r="K19" i="5"/>
  <c r="I19" i="5"/>
  <c r="G19" i="5"/>
  <c r="R63" i="8"/>
  <c r="I65" i="8" s="1"/>
  <c r="R57" i="8"/>
  <c r="G59" i="8" s="1"/>
  <c r="R69" i="8"/>
  <c r="I71" i="8" s="1"/>
  <c r="R27" i="8"/>
  <c r="H29" i="8" s="1"/>
  <c r="R39" i="8"/>
  <c r="H41" i="8" s="1"/>
  <c r="R21" i="8"/>
  <c r="F23" i="8" s="1"/>
  <c r="R33" i="8"/>
  <c r="H35" i="8" s="1"/>
  <c r="R45" i="8"/>
  <c r="H47" i="8" s="1"/>
  <c r="R51" i="8"/>
  <c r="I53" i="8" s="1"/>
  <c r="R9" i="8"/>
  <c r="O11" i="8" s="1"/>
  <c r="R15" i="8"/>
  <c r="N41" i="9" l="1"/>
  <c r="B58" i="9"/>
  <c r="B59" i="9" s="1"/>
  <c r="L47" i="9"/>
  <c r="L49" i="9" s="1"/>
  <c r="I47" i="9"/>
  <c r="I49" i="9" s="1"/>
  <c r="F47" i="9"/>
  <c r="F49" i="9" s="1"/>
  <c r="C47" i="9"/>
  <c r="C49" i="9" s="1"/>
  <c r="M47" i="9"/>
  <c r="M49" i="9" s="1"/>
  <c r="J47" i="9"/>
  <c r="J49" i="9" s="1"/>
  <c r="G47" i="9"/>
  <c r="G49" i="9" s="1"/>
  <c r="D47" i="9"/>
  <c r="D49" i="9" s="1"/>
  <c r="B47" i="9"/>
  <c r="N46" i="9"/>
  <c r="B49" i="9"/>
  <c r="K47" i="9"/>
  <c r="K49" i="9" s="1"/>
  <c r="H47" i="9"/>
  <c r="H49" i="9" s="1"/>
  <c r="E47" i="9"/>
  <c r="E49" i="9" s="1"/>
  <c r="I55" i="5"/>
  <c r="Q55" i="5"/>
  <c r="M9" i="9" s="1"/>
  <c r="M42" i="9" s="1"/>
  <c r="M43" i="9" s="1"/>
  <c r="R51" i="5"/>
  <c r="R45" i="5"/>
  <c r="N41" i="8"/>
  <c r="M55" i="5"/>
  <c r="L55" i="5"/>
  <c r="R47" i="5"/>
  <c r="R49" i="5"/>
  <c r="G55" i="5"/>
  <c r="K55" i="5"/>
  <c r="O55" i="5"/>
  <c r="R50" i="5"/>
  <c r="J59" i="8"/>
  <c r="R19" i="5"/>
  <c r="P23" i="8"/>
  <c r="L29" i="8"/>
  <c r="F59" i="8"/>
  <c r="M59" i="8"/>
  <c r="J55" i="5"/>
  <c r="N55" i="5"/>
  <c r="R48" i="5"/>
  <c r="R52" i="5"/>
  <c r="H55" i="5"/>
  <c r="R53" i="5"/>
  <c r="Q41" i="8"/>
  <c r="R54" i="5"/>
  <c r="P55" i="5"/>
  <c r="I41" i="8"/>
  <c r="N71" i="8"/>
  <c r="K71" i="8"/>
  <c r="H65" i="8"/>
  <c r="F71" i="8"/>
  <c r="P65" i="8"/>
  <c r="K65" i="8"/>
  <c r="R46" i="5"/>
  <c r="R44" i="5"/>
  <c r="F55" i="5"/>
  <c r="Q29" i="8"/>
  <c r="J71" i="8"/>
  <c r="O71" i="8"/>
  <c r="G71" i="8"/>
  <c r="L65" i="8"/>
  <c r="O65" i="8"/>
  <c r="G65" i="8"/>
  <c r="I47" i="8"/>
  <c r="M41" i="8"/>
  <c r="F41" i="8"/>
  <c r="J41" i="8"/>
  <c r="N59" i="8"/>
  <c r="Q59" i="8"/>
  <c r="I59" i="8"/>
  <c r="P29" i="8"/>
  <c r="G53" i="8"/>
  <c r="O29" i="8"/>
  <c r="I29" i="8"/>
  <c r="P71" i="8"/>
  <c r="L71" i="8"/>
  <c r="H71" i="8"/>
  <c r="Q71" i="8"/>
  <c r="M71" i="8"/>
  <c r="F65" i="8"/>
  <c r="N65" i="8"/>
  <c r="J65" i="8"/>
  <c r="Q65" i="8"/>
  <c r="M65" i="8"/>
  <c r="Q47" i="8"/>
  <c r="N47" i="8"/>
  <c r="O41" i="8"/>
  <c r="K41" i="8"/>
  <c r="G41" i="8"/>
  <c r="P41" i="8"/>
  <c r="L41" i="8"/>
  <c r="P59" i="8"/>
  <c r="L59" i="8"/>
  <c r="H59" i="8"/>
  <c r="O59" i="8"/>
  <c r="K59" i="8"/>
  <c r="Q35" i="8"/>
  <c r="I35" i="8"/>
  <c r="N35" i="8"/>
  <c r="M47" i="8"/>
  <c r="F47" i="8"/>
  <c r="J47" i="8"/>
  <c r="M35" i="8"/>
  <c r="F35" i="8"/>
  <c r="J35" i="8"/>
  <c r="P11" i="8"/>
  <c r="J29" i="8"/>
  <c r="N29" i="8"/>
  <c r="G29" i="8"/>
  <c r="L53" i="8"/>
  <c r="F29" i="8"/>
  <c r="K29" i="8"/>
  <c r="M29" i="8"/>
  <c r="H23" i="8"/>
  <c r="O23" i="8"/>
  <c r="O53" i="8"/>
  <c r="L23" i="8"/>
  <c r="K23" i="8"/>
  <c r="H11" i="8"/>
  <c r="M11" i="8"/>
  <c r="P53" i="8"/>
  <c r="H53" i="8"/>
  <c r="K53" i="8"/>
  <c r="J23" i="8"/>
  <c r="N23" i="8"/>
  <c r="I23" i="8"/>
  <c r="M23" i="8"/>
  <c r="Q23" i="8"/>
  <c r="O47" i="8"/>
  <c r="K47" i="8"/>
  <c r="G47" i="8"/>
  <c r="P47" i="8"/>
  <c r="L47" i="8"/>
  <c r="O35" i="8"/>
  <c r="K35" i="8"/>
  <c r="G35" i="8"/>
  <c r="P35" i="8"/>
  <c r="L35" i="8"/>
  <c r="G23" i="8"/>
  <c r="L11" i="8"/>
  <c r="I11" i="8"/>
  <c r="Q11" i="8"/>
  <c r="F53" i="8"/>
  <c r="N53" i="8"/>
  <c r="J53" i="8"/>
  <c r="Q53" i="8"/>
  <c r="M53" i="8"/>
  <c r="F11" i="8"/>
  <c r="J11" i="8"/>
  <c r="N11" i="8"/>
  <c r="G11" i="8"/>
  <c r="K11" i="8"/>
  <c r="P17" i="8"/>
  <c r="N17" i="8"/>
  <c r="L17" i="8"/>
  <c r="J17" i="8"/>
  <c r="H17" i="8"/>
  <c r="F17" i="8"/>
  <c r="Q17" i="8"/>
  <c r="O17" i="8"/>
  <c r="M17" i="8"/>
  <c r="K17" i="8"/>
  <c r="I17" i="8"/>
  <c r="G17" i="8"/>
  <c r="K50" i="9" l="1"/>
  <c r="K52" i="9"/>
  <c r="K53" i="9" s="1"/>
  <c r="D52" i="9"/>
  <c r="D53" i="9" s="1"/>
  <c r="D50" i="9"/>
  <c r="M50" i="9"/>
  <c r="M52" i="9"/>
  <c r="M53" i="9" s="1"/>
  <c r="L52" i="9"/>
  <c r="L53" i="9" s="1"/>
  <c r="L50" i="9"/>
  <c r="E50" i="9"/>
  <c r="E52" i="9"/>
  <c r="E53" i="9" s="1"/>
  <c r="J52" i="9"/>
  <c r="J53" i="9" s="1"/>
  <c r="J50" i="9"/>
  <c r="F52" i="9"/>
  <c r="F53" i="9" s="1"/>
  <c r="F50" i="9"/>
  <c r="H52" i="9"/>
  <c r="H53" i="9" s="1"/>
  <c r="H50" i="9"/>
  <c r="B52" i="9"/>
  <c r="B53" i="9" s="1"/>
  <c r="N49" i="9"/>
  <c r="B50" i="9"/>
  <c r="G50" i="9"/>
  <c r="G52" i="9"/>
  <c r="G53" i="9" s="1"/>
  <c r="C50" i="9"/>
  <c r="C52" i="9"/>
  <c r="C53" i="9" s="1"/>
  <c r="I50" i="9"/>
  <c r="I52" i="9"/>
  <c r="I53" i="9" s="1"/>
  <c r="N47" i="9"/>
  <c r="E9" i="9"/>
  <c r="E42" i="9" s="1"/>
  <c r="E43" i="9" s="1"/>
  <c r="F42" i="8"/>
  <c r="F43" i="8" s="1"/>
  <c r="F38" i="8" s="1"/>
  <c r="F18" i="8"/>
  <c r="G16" i="8" s="1"/>
  <c r="G18" i="8" s="1"/>
  <c r="F36" i="8"/>
  <c r="F37" i="8" s="1"/>
  <c r="F32" i="8" s="1"/>
  <c r="F48" i="8"/>
  <c r="G46" i="8" s="1"/>
  <c r="G48" i="8" s="1"/>
  <c r="B9" i="9"/>
  <c r="B42" i="9" s="1"/>
  <c r="B43" i="9" s="1"/>
  <c r="L9" i="9"/>
  <c r="L42" i="9" s="1"/>
  <c r="L43" i="9" s="1"/>
  <c r="D9" i="9"/>
  <c r="D42" i="9" s="1"/>
  <c r="D43" i="9" s="1"/>
  <c r="F9" i="9"/>
  <c r="F42" i="9" s="1"/>
  <c r="F43" i="9" s="1"/>
  <c r="G9" i="9"/>
  <c r="G42" i="9" s="1"/>
  <c r="G43" i="9" s="1"/>
  <c r="H9" i="9"/>
  <c r="H42" i="9" s="1"/>
  <c r="H43" i="9" s="1"/>
  <c r="J9" i="9"/>
  <c r="J42" i="9" s="1"/>
  <c r="J43" i="9" s="1"/>
  <c r="K9" i="9"/>
  <c r="K42" i="9" s="1"/>
  <c r="K43" i="9" s="1"/>
  <c r="C9" i="9"/>
  <c r="C42" i="9" s="1"/>
  <c r="I9" i="9"/>
  <c r="I42" i="9" s="1"/>
  <c r="I43" i="9" s="1"/>
  <c r="M26" i="9"/>
  <c r="E26" i="9"/>
  <c r="F54" i="8"/>
  <c r="G52" i="8" s="1"/>
  <c r="G54" i="8" s="1"/>
  <c r="R55" i="5"/>
  <c r="S55" i="5" s="1"/>
  <c r="F60" i="8"/>
  <c r="F61" i="8" s="1"/>
  <c r="F56" i="8" s="1"/>
  <c r="F72" i="8"/>
  <c r="G70" i="8" s="1"/>
  <c r="G72" i="8" s="1"/>
  <c r="G73" i="8" s="1"/>
  <c r="G68" i="8" s="1"/>
  <c r="F66" i="8"/>
  <c r="G64" i="8" s="1"/>
  <c r="G66" i="8" s="1"/>
  <c r="F12" i="8"/>
  <c r="F30" i="8"/>
  <c r="N52" i="9" l="1"/>
  <c r="N53" i="9" s="1"/>
  <c r="N50" i="9"/>
  <c r="N42" i="9"/>
  <c r="C43" i="9"/>
  <c r="N43" i="9" s="1"/>
  <c r="G40" i="8"/>
  <c r="G42" i="8" s="1"/>
  <c r="H40" i="8" s="1"/>
  <c r="H42" i="8" s="1"/>
  <c r="I26" i="9"/>
  <c r="C26" i="9"/>
  <c r="K26" i="9"/>
  <c r="J26" i="9"/>
  <c r="H26" i="9"/>
  <c r="G26" i="9"/>
  <c r="F26" i="9"/>
  <c r="D26" i="9"/>
  <c r="L26" i="9"/>
  <c r="B26" i="9"/>
  <c r="G34" i="8"/>
  <c r="G36" i="8" s="1"/>
  <c r="G37" i="8" s="1"/>
  <c r="G32" i="8" s="1"/>
  <c r="F67" i="8"/>
  <c r="F62" i="8" s="1"/>
  <c r="G58" i="8"/>
  <c r="G60" i="8" s="1"/>
  <c r="G61" i="8" s="1"/>
  <c r="G56" i="8" s="1"/>
  <c r="F24" i="8"/>
  <c r="G22" i="8" s="1"/>
  <c r="G24" i="8" s="1"/>
  <c r="H70" i="8"/>
  <c r="H72" i="8" s="1"/>
  <c r="H73" i="8" s="1"/>
  <c r="H68" i="8" s="1"/>
  <c r="F55" i="8"/>
  <c r="F50" i="8" s="1"/>
  <c r="F73" i="8"/>
  <c r="F68" i="8" s="1"/>
  <c r="F49" i="8"/>
  <c r="F44" i="8" s="1"/>
  <c r="H64" i="8"/>
  <c r="H66" i="8" s="1"/>
  <c r="G67" i="8"/>
  <c r="G62" i="8" s="1"/>
  <c r="F19" i="8"/>
  <c r="F14" i="8" s="1"/>
  <c r="G10" i="8"/>
  <c r="G12" i="8" s="1"/>
  <c r="F13" i="8"/>
  <c r="F8" i="8" s="1"/>
  <c r="G28" i="8"/>
  <c r="G30" i="8" s="1"/>
  <c r="F31" i="8"/>
  <c r="F26" i="8" s="1"/>
  <c r="G49" i="8"/>
  <c r="G44" i="8" s="1"/>
  <c r="H46" i="8"/>
  <c r="H48" i="8" s="1"/>
  <c r="G43" i="8"/>
  <c r="G38" i="8" s="1"/>
  <c r="G55" i="8"/>
  <c r="G50" i="8" s="1"/>
  <c r="H52" i="8"/>
  <c r="H54" i="8" s="1"/>
  <c r="H16" i="8"/>
  <c r="H18" i="8" s="1"/>
  <c r="G19" i="8"/>
  <c r="G14" i="8" s="1"/>
  <c r="H58" i="8" l="1"/>
  <c r="H60" i="8" s="1"/>
  <c r="M21" i="9"/>
  <c r="F5" i="9"/>
  <c r="C11" i="9"/>
  <c r="K11" i="9"/>
  <c r="H12" i="9"/>
  <c r="F13" i="9"/>
  <c r="E14" i="9"/>
  <c r="M14" i="9"/>
  <c r="M15" i="9"/>
  <c r="H17" i="9"/>
  <c r="K18" i="9"/>
  <c r="L20" i="9"/>
  <c r="E5" i="9"/>
  <c r="M5" i="9"/>
  <c r="H11" i="9"/>
  <c r="E12" i="9"/>
  <c r="M12" i="9"/>
  <c r="K13" i="9"/>
  <c r="J14" i="9"/>
  <c r="J15" i="9"/>
  <c r="K16" i="9"/>
  <c r="M17" i="9"/>
  <c r="L19" i="9"/>
  <c r="D5" i="9"/>
  <c r="L5" i="9"/>
  <c r="I11" i="9"/>
  <c r="F12" i="9"/>
  <c r="D13" i="9"/>
  <c r="L13" i="9"/>
  <c r="K14" i="9"/>
  <c r="K15" i="9"/>
  <c r="L16" i="9"/>
  <c r="I18" i="9"/>
  <c r="M19" i="9"/>
  <c r="C5" i="9"/>
  <c r="K5" i="9"/>
  <c r="F11" i="9"/>
  <c r="C12" i="9"/>
  <c r="K12" i="9"/>
  <c r="I13" i="9"/>
  <c r="H14" i="9"/>
  <c r="H15" i="9"/>
  <c r="I16" i="9"/>
  <c r="K17" i="9"/>
  <c r="J19" i="9"/>
  <c r="B5" i="9"/>
  <c r="B6" i="9" s="1"/>
  <c r="C4" i="9" s="1"/>
  <c r="J5" i="9"/>
  <c r="G11" i="9"/>
  <c r="D12" i="9"/>
  <c r="L12" i="9"/>
  <c r="J13" i="9"/>
  <c r="I14" i="9"/>
  <c r="I15" i="9"/>
  <c r="J16" i="9"/>
  <c r="L17" i="9"/>
  <c r="K19" i="9"/>
  <c r="M22" i="9"/>
  <c r="I5" i="9"/>
  <c r="D11" i="9"/>
  <c r="L11" i="9"/>
  <c r="I12" i="9"/>
  <c r="G13" i="9"/>
  <c r="F14" i="9"/>
  <c r="F15" i="9"/>
  <c r="G16" i="9"/>
  <c r="I17" i="9"/>
  <c r="L18" i="9"/>
  <c r="M20" i="9"/>
  <c r="H5" i="9"/>
  <c r="E11" i="9"/>
  <c r="M11" i="9"/>
  <c r="J12" i="9"/>
  <c r="H13" i="9"/>
  <c r="G14" i="9"/>
  <c r="G15" i="9"/>
  <c r="H16" i="9"/>
  <c r="J17" i="9"/>
  <c r="M18" i="9"/>
  <c r="L21" i="9"/>
  <c r="G5" i="9"/>
  <c r="B11" i="9"/>
  <c r="B10" i="9" s="1"/>
  <c r="B23" i="9" s="1"/>
  <c r="C8" i="9" s="1"/>
  <c r="J11" i="9"/>
  <c r="G12" i="9"/>
  <c r="E13" i="9"/>
  <c r="M13" i="9"/>
  <c r="L14" i="9"/>
  <c r="L15" i="9"/>
  <c r="M16" i="9"/>
  <c r="J18" i="9"/>
  <c r="K20" i="9"/>
  <c r="H34" i="8"/>
  <c r="H36" i="8" s="1"/>
  <c r="I34" i="8" s="1"/>
  <c r="I36" i="8" s="1"/>
  <c r="I70" i="8"/>
  <c r="I72" i="8" s="1"/>
  <c r="J70" i="8" s="1"/>
  <c r="J72" i="8" s="1"/>
  <c r="F25" i="8"/>
  <c r="F20" i="8" s="1"/>
  <c r="F6" i="8" s="1"/>
  <c r="H61" i="8"/>
  <c r="H56" i="8" s="1"/>
  <c r="I58" i="8"/>
  <c r="I60" i="8" s="1"/>
  <c r="I64" i="8"/>
  <c r="I66" i="8" s="1"/>
  <c r="H67" i="8"/>
  <c r="H62" i="8" s="1"/>
  <c r="H22" i="8"/>
  <c r="H24" i="8" s="1"/>
  <c r="G25" i="8"/>
  <c r="G20" i="8" s="1"/>
  <c r="G31" i="8"/>
  <c r="G26" i="8" s="1"/>
  <c r="H28" i="8"/>
  <c r="H30" i="8" s="1"/>
  <c r="H10" i="8"/>
  <c r="H12" i="8" s="1"/>
  <c r="G13" i="8"/>
  <c r="G8" i="8" s="1"/>
  <c r="G6" i="8" s="1"/>
  <c r="C8" i="13" s="1"/>
  <c r="I52" i="8"/>
  <c r="I54" i="8" s="1"/>
  <c r="H55" i="8"/>
  <c r="H50" i="8" s="1"/>
  <c r="H43" i="8"/>
  <c r="H38" i="8" s="1"/>
  <c r="I40" i="8"/>
  <c r="I42" i="8" s="1"/>
  <c r="I46" i="8"/>
  <c r="I48" i="8" s="1"/>
  <c r="H49" i="8"/>
  <c r="H44" i="8" s="1"/>
  <c r="H19" i="8"/>
  <c r="H14" i="8" s="1"/>
  <c r="I16" i="8"/>
  <c r="I18" i="8" s="1"/>
  <c r="B8" i="13" l="1"/>
  <c r="C25" i="13"/>
  <c r="D11" i="13"/>
  <c r="D9" i="13" s="1"/>
  <c r="D26" i="13" s="1"/>
  <c r="I73" i="8"/>
  <c r="I68" i="8" s="1"/>
  <c r="C6" i="9"/>
  <c r="D4" i="9" s="1"/>
  <c r="D6" i="9" s="1"/>
  <c r="E4" i="9" s="1"/>
  <c r="E6" i="9" s="1"/>
  <c r="F4" i="9" s="1"/>
  <c r="F6" i="9" s="1"/>
  <c r="G4" i="9" s="1"/>
  <c r="G6" i="9" s="1"/>
  <c r="H4" i="9" s="1"/>
  <c r="H6" i="9" s="1"/>
  <c r="I4" i="9" s="1"/>
  <c r="I6" i="9" s="1"/>
  <c r="J4" i="9" s="1"/>
  <c r="J6" i="9" s="1"/>
  <c r="K4" i="9" s="1"/>
  <c r="K6" i="9" s="1"/>
  <c r="L4" i="9" s="1"/>
  <c r="L6" i="9" s="1"/>
  <c r="M4" i="9" s="1"/>
  <c r="M6" i="9" s="1"/>
  <c r="D10" i="9"/>
  <c r="D27" i="9" s="1"/>
  <c r="J10" i="9"/>
  <c r="J27" i="9" s="1"/>
  <c r="G10" i="9"/>
  <c r="G27" i="9" s="1"/>
  <c r="F10" i="9"/>
  <c r="F27" i="9" s="1"/>
  <c r="I10" i="9"/>
  <c r="I27" i="9" s="1"/>
  <c r="K10" i="9"/>
  <c r="K27" i="9" s="1"/>
  <c r="E10" i="9"/>
  <c r="E27" i="9" s="1"/>
  <c r="M10" i="9"/>
  <c r="M27" i="9" s="1"/>
  <c r="L10" i="9"/>
  <c r="L27" i="9" s="1"/>
  <c r="H10" i="9"/>
  <c r="H27" i="9" s="1"/>
  <c r="C10" i="9"/>
  <c r="C27" i="9" s="1"/>
  <c r="H37" i="8"/>
  <c r="H32" i="8" s="1"/>
  <c r="B27" i="9"/>
  <c r="B28" i="9" s="1"/>
  <c r="C25" i="9" s="1"/>
  <c r="C28" i="9" s="1"/>
  <c r="D25" i="9" s="1"/>
  <c r="I61" i="8"/>
  <c r="I56" i="8" s="1"/>
  <c r="J58" i="8"/>
  <c r="J60" i="8" s="1"/>
  <c r="I67" i="8"/>
  <c r="I62" i="8" s="1"/>
  <c r="J64" i="8"/>
  <c r="J66" i="8" s="1"/>
  <c r="K70" i="8"/>
  <c r="K72" i="8" s="1"/>
  <c r="J73" i="8"/>
  <c r="J68" i="8" s="1"/>
  <c r="J34" i="8"/>
  <c r="J36" i="8" s="1"/>
  <c r="I37" i="8"/>
  <c r="I32" i="8" s="1"/>
  <c r="J46" i="8"/>
  <c r="J48" i="8" s="1"/>
  <c r="I49" i="8"/>
  <c r="I44" i="8" s="1"/>
  <c r="J52" i="8"/>
  <c r="J54" i="8" s="1"/>
  <c r="I55" i="8"/>
  <c r="I50" i="8" s="1"/>
  <c r="H13" i="8"/>
  <c r="H8" i="8" s="1"/>
  <c r="I10" i="8"/>
  <c r="I12" i="8" s="1"/>
  <c r="H25" i="8"/>
  <c r="H20" i="8" s="1"/>
  <c r="I22" i="8"/>
  <c r="I24" i="8" s="1"/>
  <c r="J40" i="8"/>
  <c r="J42" i="8" s="1"/>
  <c r="I43" i="8"/>
  <c r="I38" i="8" s="1"/>
  <c r="H31" i="8"/>
  <c r="H26" i="8" s="1"/>
  <c r="I28" i="8"/>
  <c r="I30" i="8" s="1"/>
  <c r="J16" i="8"/>
  <c r="J18" i="8" s="1"/>
  <c r="I19" i="8"/>
  <c r="I14" i="8" s="1"/>
  <c r="B25" i="13" l="1"/>
  <c r="B27" i="13" s="1"/>
  <c r="B22" i="13"/>
  <c r="C7" i="13" s="1"/>
  <c r="C10" i="13"/>
  <c r="C9" i="13" s="1"/>
  <c r="C26" i="13" s="1"/>
  <c r="H6" i="8"/>
  <c r="D28" i="9"/>
  <c r="E25" i="9" s="1"/>
  <c r="E28" i="9" s="1"/>
  <c r="F25" i="9" s="1"/>
  <c r="F28" i="9" s="1"/>
  <c r="G25" i="9" s="1"/>
  <c r="G28" i="9" s="1"/>
  <c r="H25" i="9" s="1"/>
  <c r="H28" i="9" s="1"/>
  <c r="I25" i="9" s="1"/>
  <c r="I28" i="9" s="1"/>
  <c r="J25" i="9" s="1"/>
  <c r="J28" i="9" s="1"/>
  <c r="K25" i="9" s="1"/>
  <c r="K28" i="9" s="1"/>
  <c r="L25" i="9" s="1"/>
  <c r="L28" i="9" s="1"/>
  <c r="M25" i="9" s="1"/>
  <c r="M28" i="9" s="1"/>
  <c r="C23" i="9"/>
  <c r="D8" i="9" s="1"/>
  <c r="D23" i="9" s="1"/>
  <c r="E8" i="9" s="1"/>
  <c r="E23" i="9" s="1"/>
  <c r="F8" i="9" s="1"/>
  <c r="F23" i="9" s="1"/>
  <c r="G8" i="9" s="1"/>
  <c r="G23" i="9" s="1"/>
  <c r="H8" i="9" s="1"/>
  <c r="H23" i="9" s="1"/>
  <c r="I8" i="9" s="1"/>
  <c r="I23" i="9" s="1"/>
  <c r="J8" i="9" s="1"/>
  <c r="J23" i="9" s="1"/>
  <c r="K8" i="9" s="1"/>
  <c r="K23" i="9" s="1"/>
  <c r="L8" i="9" s="1"/>
  <c r="L23" i="9" s="1"/>
  <c r="M8" i="9" s="1"/>
  <c r="M23" i="9" s="1"/>
  <c r="J61" i="8"/>
  <c r="J56" i="8" s="1"/>
  <c r="K58" i="8"/>
  <c r="K60" i="8" s="1"/>
  <c r="J67" i="8"/>
  <c r="J62" i="8" s="1"/>
  <c r="K64" i="8"/>
  <c r="K66" i="8" s="1"/>
  <c r="K73" i="8"/>
  <c r="K68" i="8" s="1"/>
  <c r="L70" i="8"/>
  <c r="L72" i="8" s="1"/>
  <c r="J37" i="8"/>
  <c r="J32" i="8" s="1"/>
  <c r="K34" i="8"/>
  <c r="K36" i="8" s="1"/>
  <c r="K40" i="8"/>
  <c r="K42" i="8" s="1"/>
  <c r="J43" i="8"/>
  <c r="J38" i="8" s="1"/>
  <c r="K52" i="8"/>
  <c r="K54" i="8" s="1"/>
  <c r="J55" i="8"/>
  <c r="J50" i="8" s="1"/>
  <c r="K46" i="8"/>
  <c r="K48" i="8" s="1"/>
  <c r="J49" i="8"/>
  <c r="J44" i="8" s="1"/>
  <c r="I31" i="8"/>
  <c r="I26" i="8" s="1"/>
  <c r="J28" i="8"/>
  <c r="J30" i="8" s="1"/>
  <c r="J22" i="8"/>
  <c r="J24" i="8" s="1"/>
  <c r="I25" i="8"/>
  <c r="I20" i="8" s="1"/>
  <c r="J10" i="8"/>
  <c r="J12" i="8" s="1"/>
  <c r="I13" i="8"/>
  <c r="I8" i="8" s="1"/>
  <c r="J19" i="8"/>
  <c r="J14" i="8" s="1"/>
  <c r="K16" i="8"/>
  <c r="K18" i="8" s="1"/>
  <c r="I6" i="8" l="1"/>
  <c r="E8" i="13" s="1"/>
  <c r="D8" i="13"/>
  <c r="C22" i="13"/>
  <c r="D7" i="13" s="1"/>
  <c r="C24" i="13"/>
  <c r="C27" i="13" s="1"/>
  <c r="B33" i="13"/>
  <c r="B34" i="13" s="1"/>
  <c r="L64" i="8"/>
  <c r="L66" i="8" s="1"/>
  <c r="K67" i="8"/>
  <c r="K62" i="8" s="1"/>
  <c r="L58" i="8"/>
  <c r="L60" i="8" s="1"/>
  <c r="K61" i="8"/>
  <c r="K56" i="8" s="1"/>
  <c r="L73" i="8"/>
  <c r="L68" i="8" s="1"/>
  <c r="M70" i="8"/>
  <c r="M72" i="8" s="1"/>
  <c r="K37" i="8"/>
  <c r="K32" i="8" s="1"/>
  <c r="L34" i="8"/>
  <c r="L36" i="8" s="1"/>
  <c r="J13" i="8"/>
  <c r="J8" i="8" s="1"/>
  <c r="K10" i="8"/>
  <c r="K12" i="8" s="1"/>
  <c r="J25" i="8"/>
  <c r="J20" i="8" s="1"/>
  <c r="K22" i="8"/>
  <c r="K24" i="8" s="1"/>
  <c r="L46" i="8"/>
  <c r="L48" i="8" s="1"/>
  <c r="K49" i="8"/>
  <c r="K44" i="8" s="1"/>
  <c r="L52" i="8"/>
  <c r="L54" i="8" s="1"/>
  <c r="K55" i="8"/>
  <c r="K50" i="8" s="1"/>
  <c r="K43" i="8"/>
  <c r="K38" i="8" s="1"/>
  <c r="L40" i="8"/>
  <c r="L42" i="8" s="1"/>
  <c r="K28" i="8"/>
  <c r="K30" i="8" s="1"/>
  <c r="J31" i="8"/>
  <c r="J26" i="8" s="1"/>
  <c r="L16" i="8"/>
  <c r="L18" i="8" s="1"/>
  <c r="K19" i="8"/>
  <c r="K14" i="8" s="1"/>
  <c r="D22" i="13" l="1"/>
  <c r="E7" i="13" s="1"/>
  <c r="D25" i="13"/>
  <c r="E12" i="13"/>
  <c r="E9" i="13" s="1"/>
  <c r="E26" i="13" s="1"/>
  <c r="J6" i="8"/>
  <c r="D24" i="13"/>
  <c r="D27" i="13" s="1"/>
  <c r="C33" i="13"/>
  <c r="C34" i="13" s="1"/>
  <c r="E25" i="13"/>
  <c r="F13" i="13"/>
  <c r="F9" i="13" s="1"/>
  <c r="F26" i="13" s="1"/>
  <c r="M58" i="8"/>
  <c r="M60" i="8" s="1"/>
  <c r="L61" i="8"/>
  <c r="L56" i="8" s="1"/>
  <c r="M64" i="8"/>
  <c r="M66" i="8" s="1"/>
  <c r="L67" i="8"/>
  <c r="L62" i="8" s="1"/>
  <c r="N70" i="8"/>
  <c r="N72" i="8" s="1"/>
  <c r="M73" i="8"/>
  <c r="M68" i="8" s="1"/>
  <c r="L37" i="8"/>
  <c r="L32" i="8" s="1"/>
  <c r="M34" i="8"/>
  <c r="M36" i="8" s="1"/>
  <c r="K31" i="8"/>
  <c r="K26" i="8" s="1"/>
  <c r="L28" i="8"/>
  <c r="L30" i="8" s="1"/>
  <c r="M52" i="8"/>
  <c r="M54" i="8" s="1"/>
  <c r="L55" i="8"/>
  <c r="L50" i="8" s="1"/>
  <c r="M46" i="8"/>
  <c r="M48" i="8" s="1"/>
  <c r="L49" i="8"/>
  <c r="L44" i="8" s="1"/>
  <c r="M40" i="8"/>
  <c r="M42" i="8" s="1"/>
  <c r="L43" i="8"/>
  <c r="L38" i="8" s="1"/>
  <c r="L22" i="8"/>
  <c r="L24" i="8" s="1"/>
  <c r="K25" i="8"/>
  <c r="K20" i="8" s="1"/>
  <c r="L10" i="8"/>
  <c r="L12" i="8" s="1"/>
  <c r="K13" i="8"/>
  <c r="K8" i="8" s="1"/>
  <c r="K6" i="8" s="1"/>
  <c r="G8" i="13" s="1"/>
  <c r="L19" i="8"/>
  <c r="L14" i="8" s="1"/>
  <c r="M16" i="8"/>
  <c r="M18" i="8" s="1"/>
  <c r="F8" i="13" l="1"/>
  <c r="G25" i="13"/>
  <c r="H15" i="13"/>
  <c r="H9" i="13" s="1"/>
  <c r="H26" i="13" s="1"/>
  <c r="E24" i="13"/>
  <c r="E27" i="13" s="1"/>
  <c r="D33" i="13"/>
  <c r="D34" i="13" s="1"/>
  <c r="E22" i="13"/>
  <c r="F7" i="13" s="1"/>
  <c r="F22" i="13" s="1"/>
  <c r="G7" i="13" s="1"/>
  <c r="M67" i="8"/>
  <c r="M62" i="8" s="1"/>
  <c r="N64" i="8"/>
  <c r="N66" i="8" s="1"/>
  <c r="M61" i="8"/>
  <c r="M56" i="8" s="1"/>
  <c r="N58" i="8"/>
  <c r="N60" i="8" s="1"/>
  <c r="N73" i="8"/>
  <c r="N68" i="8" s="1"/>
  <c r="O70" i="8"/>
  <c r="O72" i="8" s="1"/>
  <c r="M37" i="8"/>
  <c r="M32" i="8" s="1"/>
  <c r="N34" i="8"/>
  <c r="N36" i="8" s="1"/>
  <c r="L13" i="8"/>
  <c r="L8" i="8" s="1"/>
  <c r="M10" i="8"/>
  <c r="M12" i="8" s="1"/>
  <c r="L25" i="8"/>
  <c r="L20" i="8" s="1"/>
  <c r="M22" i="8"/>
  <c r="M24" i="8" s="1"/>
  <c r="M43" i="8"/>
  <c r="M38" i="8" s="1"/>
  <c r="N40" i="8"/>
  <c r="N42" i="8" s="1"/>
  <c r="N46" i="8"/>
  <c r="N48" i="8" s="1"/>
  <c r="M49" i="8"/>
  <c r="M44" i="8" s="1"/>
  <c r="N52" i="8"/>
  <c r="N54" i="8" s="1"/>
  <c r="M55" i="8"/>
  <c r="M50" i="8" s="1"/>
  <c r="M28" i="8"/>
  <c r="M30" i="8" s="1"/>
  <c r="L31" i="8"/>
  <c r="L26" i="8" s="1"/>
  <c r="N16" i="8"/>
  <c r="N18" i="8" s="1"/>
  <c r="M19" i="8"/>
  <c r="M14" i="8" s="1"/>
  <c r="L6" i="8" l="1"/>
  <c r="F24" i="13"/>
  <c r="E33" i="13"/>
  <c r="E34" i="13" s="1"/>
  <c r="F25" i="13"/>
  <c r="G14" i="13"/>
  <c r="G9" i="13" s="1"/>
  <c r="G26" i="13" s="1"/>
  <c r="O58" i="8"/>
  <c r="O60" i="8" s="1"/>
  <c r="N61" i="8"/>
  <c r="N56" i="8" s="1"/>
  <c r="O64" i="8"/>
  <c r="O66" i="8" s="1"/>
  <c r="N67" i="8"/>
  <c r="N62" i="8" s="1"/>
  <c r="P70" i="8"/>
  <c r="P72" i="8" s="1"/>
  <c r="O73" i="8"/>
  <c r="O68" i="8" s="1"/>
  <c r="N37" i="8"/>
  <c r="N32" i="8" s="1"/>
  <c r="O34" i="8"/>
  <c r="O36" i="8" s="1"/>
  <c r="M31" i="8"/>
  <c r="M26" i="8" s="1"/>
  <c r="N28" i="8"/>
  <c r="N30" i="8" s="1"/>
  <c r="O52" i="8"/>
  <c r="O54" i="8" s="1"/>
  <c r="N55" i="8"/>
  <c r="N50" i="8" s="1"/>
  <c r="O46" i="8"/>
  <c r="O48" i="8" s="1"/>
  <c r="N49" i="8"/>
  <c r="N44" i="8" s="1"/>
  <c r="O40" i="8"/>
  <c r="O42" i="8" s="1"/>
  <c r="N43" i="8"/>
  <c r="N38" i="8" s="1"/>
  <c r="N22" i="8"/>
  <c r="N24" i="8" s="1"/>
  <c r="M25" i="8"/>
  <c r="M20" i="8" s="1"/>
  <c r="N10" i="8"/>
  <c r="N12" i="8" s="1"/>
  <c r="M13" i="8"/>
  <c r="M8" i="8" s="1"/>
  <c r="M6" i="8" s="1"/>
  <c r="I8" i="13" s="1"/>
  <c r="N19" i="8"/>
  <c r="N14" i="8" s="1"/>
  <c r="O16" i="8"/>
  <c r="O18" i="8" s="1"/>
  <c r="I25" i="13" l="1"/>
  <c r="J17" i="13"/>
  <c r="J9" i="13" s="1"/>
  <c r="J26" i="13" s="1"/>
  <c r="G22" i="13"/>
  <c r="H7" i="13" s="1"/>
  <c r="F27" i="13"/>
  <c r="H8" i="13"/>
  <c r="P64" i="8"/>
  <c r="P66" i="8" s="1"/>
  <c r="O67" i="8"/>
  <c r="O62" i="8" s="1"/>
  <c r="P58" i="8"/>
  <c r="P60" i="8" s="1"/>
  <c r="O61" i="8"/>
  <c r="O56" i="8" s="1"/>
  <c r="P73" i="8"/>
  <c r="P68" i="8" s="1"/>
  <c r="Q70" i="8"/>
  <c r="Q72" i="8" s="1"/>
  <c r="Q73" i="8" s="1"/>
  <c r="Q68" i="8" s="1"/>
  <c r="P34" i="8"/>
  <c r="P36" i="8" s="1"/>
  <c r="O37" i="8"/>
  <c r="O32" i="8" s="1"/>
  <c r="N13" i="8"/>
  <c r="N8" i="8" s="1"/>
  <c r="O10" i="8"/>
  <c r="O12" i="8" s="1"/>
  <c r="N25" i="8"/>
  <c r="N20" i="8" s="1"/>
  <c r="O22" i="8"/>
  <c r="O24" i="8" s="1"/>
  <c r="O43" i="8"/>
  <c r="O38" i="8" s="1"/>
  <c r="P40" i="8"/>
  <c r="P42" i="8" s="1"/>
  <c r="P46" i="8"/>
  <c r="P48" i="8" s="1"/>
  <c r="O49" i="8"/>
  <c r="O44" i="8" s="1"/>
  <c r="P52" i="8"/>
  <c r="P54" i="8" s="1"/>
  <c r="O55" i="8"/>
  <c r="O50" i="8" s="1"/>
  <c r="O28" i="8"/>
  <c r="O30" i="8" s="1"/>
  <c r="N31" i="8"/>
  <c r="N26" i="8" s="1"/>
  <c r="P16" i="8"/>
  <c r="P18" i="8" s="1"/>
  <c r="O19" i="8"/>
  <c r="O14" i="8" s="1"/>
  <c r="G24" i="13" l="1"/>
  <c r="G27" i="13" s="1"/>
  <c r="F33" i="13"/>
  <c r="F34" i="13" s="1"/>
  <c r="N6" i="8"/>
  <c r="H25" i="13"/>
  <c r="I16" i="13"/>
  <c r="I9" i="13" s="1"/>
  <c r="I26" i="13" s="1"/>
  <c r="H22" i="13"/>
  <c r="I7" i="13" s="1"/>
  <c r="R68" i="8"/>
  <c r="C89" i="8" s="1"/>
  <c r="Q58" i="8"/>
  <c r="Q60" i="8" s="1"/>
  <c r="Q61" i="8" s="1"/>
  <c r="Q56" i="8" s="1"/>
  <c r="P61" i="8"/>
  <c r="P56" i="8" s="1"/>
  <c r="Q64" i="8"/>
  <c r="Q66" i="8" s="1"/>
  <c r="Q67" i="8" s="1"/>
  <c r="Q62" i="8" s="1"/>
  <c r="P67" i="8"/>
  <c r="P62" i="8" s="1"/>
  <c r="Q34" i="8"/>
  <c r="Q36" i="8" s="1"/>
  <c r="Q37" i="8" s="1"/>
  <c r="Q32" i="8" s="1"/>
  <c r="P37" i="8"/>
  <c r="P32" i="8" s="1"/>
  <c r="O31" i="8"/>
  <c r="O26" i="8" s="1"/>
  <c r="P28" i="8"/>
  <c r="P30" i="8" s="1"/>
  <c r="Q52" i="8"/>
  <c r="Q54" i="8" s="1"/>
  <c r="Q55" i="8" s="1"/>
  <c r="Q50" i="8" s="1"/>
  <c r="P55" i="8"/>
  <c r="P50" i="8" s="1"/>
  <c r="Q46" i="8"/>
  <c r="Q48" i="8" s="1"/>
  <c r="Q49" i="8" s="1"/>
  <c r="Q44" i="8" s="1"/>
  <c r="P49" i="8"/>
  <c r="P44" i="8" s="1"/>
  <c r="Q40" i="8"/>
  <c r="Q42" i="8" s="1"/>
  <c r="Q43" i="8" s="1"/>
  <c r="Q38" i="8" s="1"/>
  <c r="P43" i="8"/>
  <c r="P38" i="8" s="1"/>
  <c r="P22" i="8"/>
  <c r="P24" i="8" s="1"/>
  <c r="O25" i="8"/>
  <c r="O20" i="8" s="1"/>
  <c r="P10" i="8"/>
  <c r="P12" i="8" s="1"/>
  <c r="O13" i="8"/>
  <c r="O8" i="8" s="1"/>
  <c r="O6" i="8" s="1"/>
  <c r="K8" i="13" s="1"/>
  <c r="P19" i="8"/>
  <c r="P14" i="8" s="1"/>
  <c r="Q16" i="8"/>
  <c r="Q18" i="8" s="1"/>
  <c r="Q19" i="8" s="1"/>
  <c r="Q14" i="8" s="1"/>
  <c r="K25" i="13" l="1"/>
  <c r="L19" i="13"/>
  <c r="L9" i="13" s="1"/>
  <c r="L26" i="13" s="1"/>
  <c r="I22" i="13"/>
  <c r="J7" i="13" s="1"/>
  <c r="J8" i="13"/>
  <c r="H24" i="13"/>
  <c r="H27" i="13" s="1"/>
  <c r="G33" i="13"/>
  <c r="G34" i="13" s="1"/>
  <c r="R38" i="8"/>
  <c r="C84" i="8" s="1"/>
  <c r="R44" i="8"/>
  <c r="C85" i="8" s="1"/>
  <c r="R50" i="8"/>
  <c r="C86" i="8" s="1"/>
  <c r="R32" i="8"/>
  <c r="C83" i="8" s="1"/>
  <c r="R56" i="8"/>
  <c r="C87" i="8" s="1"/>
  <c r="R62" i="8"/>
  <c r="C88" i="8" s="1"/>
  <c r="P13" i="8"/>
  <c r="P8" i="8" s="1"/>
  <c r="Q10" i="8"/>
  <c r="Q12" i="8" s="1"/>
  <c r="Q13" i="8" s="1"/>
  <c r="Q8" i="8" s="1"/>
  <c r="P25" i="8"/>
  <c r="P20" i="8" s="1"/>
  <c r="Q22" i="8"/>
  <c r="Q24" i="8" s="1"/>
  <c r="Q25" i="8" s="1"/>
  <c r="Q20" i="8" s="1"/>
  <c r="Q28" i="8"/>
  <c r="Q30" i="8" s="1"/>
  <c r="Q31" i="8" s="1"/>
  <c r="Q26" i="8" s="1"/>
  <c r="P31" i="8"/>
  <c r="P26" i="8" s="1"/>
  <c r="R14" i="8"/>
  <c r="C80" i="8" s="1"/>
  <c r="Q6" i="8" l="1"/>
  <c r="M8" i="13" s="1"/>
  <c r="M25" i="13" s="1"/>
  <c r="P6" i="8"/>
  <c r="L8" i="13" s="1"/>
  <c r="I24" i="13"/>
  <c r="I27" i="13" s="1"/>
  <c r="H33" i="13"/>
  <c r="H34" i="13" s="1"/>
  <c r="J25" i="13"/>
  <c r="K18" i="13"/>
  <c r="K9" i="13" s="1"/>
  <c r="K26" i="13" s="1"/>
  <c r="R6" i="8"/>
  <c r="J22" i="13"/>
  <c r="K7" i="13" s="1"/>
  <c r="R26" i="8"/>
  <c r="C82" i="8" s="1"/>
  <c r="R20" i="8"/>
  <c r="C81" i="8" s="1"/>
  <c r="R8" i="8"/>
  <c r="K22" i="13" l="1"/>
  <c r="L7" i="13" s="1"/>
  <c r="L22" i="13" s="1"/>
  <c r="M7" i="13" s="1"/>
  <c r="J24" i="13"/>
  <c r="J27" i="13" s="1"/>
  <c r="I33" i="13"/>
  <c r="I34" i="13" s="1"/>
  <c r="L25" i="13"/>
  <c r="M20" i="13"/>
  <c r="M9" i="13" s="1"/>
  <c r="M26" i="13" s="1"/>
  <c r="C79" i="8"/>
  <c r="R74" i="8"/>
  <c r="C90" i="8"/>
  <c r="D90" i="8" s="1"/>
  <c r="K24" i="13" l="1"/>
  <c r="K27" i="13" s="1"/>
  <c r="J33" i="13"/>
  <c r="J34" i="13" s="1"/>
  <c r="M22" i="13"/>
  <c r="L24" i="13" l="1"/>
  <c r="L27" i="13" s="1"/>
  <c r="K33" i="13"/>
  <c r="K34" i="13" s="1"/>
  <c r="M24" i="13" l="1"/>
  <c r="M27" i="13" s="1"/>
  <c r="M33" i="13" s="1"/>
  <c r="M34" i="13" s="1"/>
  <c r="L33" i="13"/>
  <c r="L34" i="13" s="1"/>
</calcChain>
</file>

<file path=xl/sharedStrings.xml><?xml version="1.0" encoding="utf-8"?>
<sst xmlns="http://schemas.openxmlformats.org/spreadsheetml/2006/main" count="411" uniqueCount="229">
  <si>
    <t>1. Dados Gerais</t>
  </si>
  <si>
    <t>Nome da Empresa</t>
  </si>
  <si>
    <t>Demo Com.e Ind. Ltda.</t>
  </si>
  <si>
    <t>Nome da Familia</t>
  </si>
  <si>
    <t>Nome do Produto</t>
  </si>
  <si>
    <t>Nome Fantasia</t>
  </si>
  <si>
    <t>Câmaras e Filmadoras</t>
  </si>
  <si>
    <t>Câmara Digital 3D 18.2 MP</t>
  </si>
  <si>
    <t>peça</t>
  </si>
  <si>
    <t>Identificação Relatórios</t>
  </si>
  <si>
    <t>Business Insight</t>
  </si>
  <si>
    <t>TV's e Audio</t>
  </si>
  <si>
    <t>TV 3 D 32"</t>
  </si>
  <si>
    <t>CNPJ</t>
  </si>
  <si>
    <t>00.000.000/0001-00</t>
  </si>
  <si>
    <t>Computadores</t>
  </si>
  <si>
    <t>Desktop Dual Core 2GB</t>
  </si>
  <si>
    <t xml:space="preserve">2. Regime Tributario </t>
  </si>
  <si>
    <t>Opção IR/CSSL</t>
  </si>
  <si>
    <t>Lucro Presumido</t>
  </si>
  <si>
    <t>data do</t>
  </si>
  <si>
    <t>Dados do Produto na Entrada</t>
  </si>
  <si>
    <t>Cálculo do Imposto na Entrada</t>
  </si>
  <si>
    <t>Dados do Produto na Saída</t>
  </si>
  <si>
    <t>ICMS</t>
  </si>
  <si>
    <t>Input</t>
  </si>
  <si>
    <t>NCM</t>
  </si>
  <si>
    <t>Qtde.</t>
  </si>
  <si>
    <t>Valor Unit.</t>
  </si>
  <si>
    <t>Valor Total</t>
  </si>
  <si>
    <t>IPI</t>
  </si>
  <si>
    <t>ICMS ST</t>
  </si>
  <si>
    <t>Frete</t>
  </si>
  <si>
    <t>Seguro</t>
  </si>
  <si>
    <t>%</t>
  </si>
  <si>
    <t>Valor</t>
  </si>
  <si>
    <t>Cálculo dos Valores Unitários- Compra</t>
  </si>
  <si>
    <t>Tributação na Venda</t>
  </si>
  <si>
    <t>Impostos a Recuperar</t>
  </si>
  <si>
    <t>CUSTO NOS</t>
  </si>
  <si>
    <t>Valor Unitário de</t>
  </si>
  <si>
    <t>NCG</t>
  </si>
  <si>
    <t>Produtos</t>
  </si>
  <si>
    <t>F/S/O</t>
  </si>
  <si>
    <t xml:space="preserve">ICMS </t>
  </si>
  <si>
    <t>Total</t>
  </si>
  <si>
    <t>PIS/COFINS</t>
  </si>
  <si>
    <t>ESTOQUES</t>
  </si>
  <si>
    <t>Venda</t>
  </si>
  <si>
    <t>(dias)</t>
  </si>
  <si>
    <t>Opção PIS e COFINS</t>
  </si>
  <si>
    <t>Não Cumulativo</t>
  </si>
  <si>
    <t>% Médio a Considerar NC na Compra</t>
  </si>
  <si>
    <t>% Médio a Considerar NC na Venda</t>
  </si>
  <si>
    <t>% Médio a Considerar Cumulativo na Venda</t>
  </si>
  <si>
    <t>% de Receita Incentivada</t>
  </si>
  <si>
    <t>Lucro Real</t>
  </si>
  <si>
    <t>% de Deduções da BC</t>
  </si>
  <si>
    <t>Aliquota % Normal de IR</t>
  </si>
  <si>
    <t>BC anual IR- Adicional</t>
  </si>
  <si>
    <t>Cumulativo</t>
  </si>
  <si>
    <t>% Adicional de IR</t>
  </si>
  <si>
    <t>Aliquota % de CSSL</t>
  </si>
  <si>
    <t>% Base Presunção de Receita Vendas</t>
  </si>
  <si>
    <t>% Base Presunção de Receita Serviços</t>
  </si>
  <si>
    <t>Aliquota Normal de IR</t>
  </si>
  <si>
    <t>% adicional de IR</t>
  </si>
  <si>
    <t>Aliquota de CSSL</t>
  </si>
  <si>
    <t>Logomarca</t>
  </si>
  <si>
    <t xml:space="preserve">Cia. Demo </t>
  </si>
  <si>
    <t>Familia</t>
  </si>
  <si>
    <t>Produto</t>
  </si>
  <si>
    <t>Codigo</t>
  </si>
  <si>
    <t>Nome</t>
  </si>
  <si>
    <t>PME</t>
  </si>
  <si>
    <t>Código</t>
  </si>
  <si>
    <t>Estoque Inicial R$</t>
  </si>
  <si>
    <t>Custo em quantidade</t>
  </si>
  <si>
    <t>Estoque Inicial em Qtde.</t>
  </si>
  <si>
    <t>Estoque Final pelo PM</t>
  </si>
  <si>
    <t>SUB TOTAL</t>
  </si>
  <si>
    <t>Compras</t>
  </si>
  <si>
    <t>Total Compras</t>
  </si>
  <si>
    <t>PMP</t>
  </si>
  <si>
    <t>PMR</t>
  </si>
  <si>
    <t>Ordem</t>
  </si>
  <si>
    <t>Vendas</t>
  </si>
  <si>
    <t xml:space="preserve">Total Quantidades </t>
  </si>
  <si>
    <t>Orçamento de Vendas em Quantidades</t>
  </si>
  <si>
    <t>Orçamento de Vendas em R$</t>
  </si>
  <si>
    <t>Total Vendas R$</t>
  </si>
  <si>
    <t>Orçamento de Compras em R$</t>
  </si>
  <si>
    <t>Cod. F</t>
  </si>
  <si>
    <t>Cod.Prod.</t>
  </si>
  <si>
    <t>Um</t>
  </si>
  <si>
    <t>Percentual Vendas em Carteira</t>
  </si>
  <si>
    <t>Prazo Médio de Recebimento</t>
  </si>
  <si>
    <t>Saldo Inicial de Contas a Receber</t>
  </si>
  <si>
    <t>Recebimento Saldo Inicial</t>
  </si>
  <si>
    <t>Sub Total Contas a Receber</t>
  </si>
  <si>
    <t>Saldo Inicial Vendas</t>
  </si>
  <si>
    <t>Vendas do Período- Carteira</t>
  </si>
  <si>
    <t>Recebimento das Vendas</t>
  </si>
  <si>
    <t>1º Período</t>
  </si>
  <si>
    <t>2º Período</t>
  </si>
  <si>
    <t>3º Período</t>
  </si>
  <si>
    <t>4º Período</t>
  </si>
  <si>
    <t>5º Período</t>
  </si>
  <si>
    <t>6º Período</t>
  </si>
  <si>
    <t>7º Período</t>
  </si>
  <si>
    <t>8º Período</t>
  </si>
  <si>
    <t>9º Período</t>
  </si>
  <si>
    <t>10º Período</t>
  </si>
  <si>
    <t>11º Período</t>
  </si>
  <si>
    <t>12º Período</t>
  </si>
  <si>
    <t>Saldo Final das Vendas</t>
  </si>
  <si>
    <t>Saldo Inicial Contas a Receber</t>
  </si>
  <si>
    <t>Vendas do Mês</t>
  </si>
  <si>
    <t>Recebimentos</t>
  </si>
  <si>
    <t>Saldo Final</t>
  </si>
  <si>
    <t>Vendas/Contas a Receber Carteira</t>
  </si>
  <si>
    <t xml:space="preserve">Calculo do Prazo Médio Ponderado de Compras </t>
  </si>
  <si>
    <t>Prazo Médio</t>
  </si>
  <si>
    <t>% Desconto de Duplicatas</t>
  </si>
  <si>
    <t>% Garantida Duplicatas</t>
  </si>
  <si>
    <t>% Capital de Giro Clean</t>
  </si>
  <si>
    <t xml:space="preserve">% Vendas c/ Antecipação </t>
  </si>
  <si>
    <t>Antecipações de Recebiveis</t>
  </si>
  <si>
    <t>Desconto de Duplicatas</t>
  </si>
  <si>
    <t>Conta Garantida Recebiveis</t>
  </si>
  <si>
    <t>Capital de Giro Clean</t>
  </si>
  <si>
    <t>Total das Vendas com Antecipação</t>
  </si>
  <si>
    <t>Total das Vendas com Cobrança em carteira</t>
  </si>
  <si>
    <t>Total das vendas no Período</t>
  </si>
  <si>
    <t>Custos Financeiros e Despesas de Captação</t>
  </si>
  <si>
    <t>Despesas Financeiras- Juros</t>
  </si>
  <si>
    <t>IOF Estimado</t>
  </si>
  <si>
    <t>TAC</t>
  </si>
  <si>
    <t>Total do Custo Efetivo</t>
  </si>
  <si>
    <t>% Custo Efetivo sobre Antecipações</t>
  </si>
  <si>
    <t>Valor Líquido da Antecipação</t>
  </si>
  <si>
    <t>% valor Líquido</t>
  </si>
  <si>
    <t>Limites de Crédito</t>
  </si>
  <si>
    <t>Total Valor Nominal das Linhas de Crédito</t>
  </si>
  <si>
    <t>Linhas de Crédito Efetiva pelo PMR</t>
  </si>
  <si>
    <t>Valor Utilizado</t>
  </si>
  <si>
    <t>% Utilizado</t>
  </si>
  <si>
    <t>Tabela 1- Fornecedores</t>
  </si>
  <si>
    <t>Nome ou Tipo de Fornecedor</t>
  </si>
  <si>
    <t>Limite Nominal R$</t>
  </si>
  <si>
    <t>PMP ( dias)</t>
  </si>
  <si>
    <t>Limite Mensal Compras</t>
  </si>
  <si>
    <t>Tabela 2- Bancos Desconto de Duplicatas</t>
  </si>
  <si>
    <t>Nome do Banco</t>
  </si>
  <si>
    <t>% Juros a.m.</t>
  </si>
  <si>
    <t>Limite</t>
  </si>
  <si>
    <t>% TAC</t>
  </si>
  <si>
    <t>Banco do Brasil</t>
  </si>
  <si>
    <t>Banco Itaú</t>
  </si>
  <si>
    <t>Santander</t>
  </si>
  <si>
    <t>Taxa Média</t>
  </si>
  <si>
    <t>Tabela 3- Bancos Capital de Giro- Conta Garantida Duplicatas</t>
  </si>
  <si>
    <t>Bradesco</t>
  </si>
  <si>
    <t>Caixa Economica Federal</t>
  </si>
  <si>
    <t>Tabela 4- Bancos Capital de Giro- Clean</t>
  </si>
  <si>
    <t>Itau</t>
  </si>
  <si>
    <t>HSBC</t>
  </si>
  <si>
    <t>Tabela 5- IOF e taxas</t>
  </si>
  <si>
    <t>IOF diário</t>
  </si>
  <si>
    <t>IOF adicional</t>
  </si>
  <si>
    <t>1. Tabela de Produtos</t>
  </si>
  <si>
    <t>CADASTRO DE FAMILIAS E PRODUTOS</t>
  </si>
  <si>
    <t>DADOS IMPORTADOS OU INPUT DOS PRODUTOS</t>
  </si>
  <si>
    <t>CADASTRO</t>
  </si>
  <si>
    <t>CÁLCULOS DO SISTEMA</t>
  </si>
  <si>
    <t xml:space="preserve">Outras </t>
  </si>
  <si>
    <t>Outros Custos na Entrada</t>
  </si>
  <si>
    <t>Entrada</t>
  </si>
  <si>
    <t>Qt.x Vu</t>
  </si>
  <si>
    <t>ICMS na Saída</t>
  </si>
  <si>
    <t xml:space="preserve">Ciclo Financeiro </t>
  </si>
  <si>
    <t>Preço Unit.Tabela</t>
  </si>
  <si>
    <t>Opção</t>
  </si>
  <si>
    <t>Preço Unit.FPV</t>
  </si>
  <si>
    <t>Preço p/ Simular</t>
  </si>
  <si>
    <t>Preço cf. FPV</t>
  </si>
  <si>
    <t>Preço cf. Tabela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</si>
  <si>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</si>
  <si>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</si>
  <si>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</si>
  <si>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</si>
  <si>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</si>
  <si>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</si>
  <si>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</si>
  <si>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</si>
  <si>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</si>
  <si>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</si>
  <si>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</si>
  <si>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</si>
  <si>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Projeções através de Quantidades</t>
  </si>
  <si>
    <t>Projeções através de Valores</t>
  </si>
  <si>
    <t>Orçamento de Vendas em R$- Preço Base</t>
  </si>
  <si>
    <t>Orçamento de Vendas em Quantidades ( base ticket médio-preço base)</t>
  </si>
  <si>
    <t>Total Vendas em R$</t>
  </si>
  <si>
    <t>Vendas Com Recebimento em Carteira</t>
  </si>
  <si>
    <t>Vendas com Antecipação de Recebiveis</t>
  </si>
  <si>
    <t>Tabela 6- Distribuição das Vendas</t>
  </si>
  <si>
    <t>Tabela 7- Distribuição das Vendas com Antecipação de Recebiveis</t>
  </si>
  <si>
    <t>Vendas c/ Antecipação de Recebiveis</t>
  </si>
  <si>
    <t>Prazo Médio de Pagamento</t>
  </si>
  <si>
    <t>Saldo Inicial de Fornecedores</t>
  </si>
  <si>
    <t>Pagamento do Saldo Inicial</t>
  </si>
  <si>
    <t>Sub Total Fornecedores</t>
  </si>
  <si>
    <t>Saldo Inicial Compras</t>
  </si>
  <si>
    <t>Compras do Período</t>
  </si>
  <si>
    <t>Pagamento das Compras</t>
  </si>
  <si>
    <t>Saldo Final das Compras</t>
  </si>
  <si>
    <t>Saldo Inicial Fornecedores</t>
  </si>
  <si>
    <t>Compras do Mês</t>
  </si>
  <si>
    <t>Pagamentos</t>
  </si>
  <si>
    <t>Compras/Fornecedores</t>
  </si>
  <si>
    <t>Desktop 1</t>
  </si>
  <si>
    <t>Desktop 2</t>
  </si>
  <si>
    <t>Desktop 3</t>
  </si>
  <si>
    <t>Desktop 4</t>
  </si>
  <si>
    <t>Desktop 5</t>
  </si>
  <si>
    <t>Desktop 6</t>
  </si>
  <si>
    <t>Desktop 7</t>
  </si>
  <si>
    <t>Desktop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</si>
</sst>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0.00_);[Red]\(0.00\)"/>
    <numFmt numFmtId="167" formatCode="_(* #,##0_);_(* \(#,##0\);_(* &quot;-&quot;??_);_(@_)"/>
    <numFmt numFmtId="168" formatCode="_-* #,##0.0_-;\-* #,##0.0_-;_-* &quot;-&quot;??_-;_-@_-"/>
    <numFmt numFmtId="169" formatCode="_-* #,##0_-;\-* #,##0_-;_-* &quot;-&quot;??_-;_-@_-"/>
    <numFmt numFmtId="170" formatCode="0.0%"/>
    <numFmt numFmtId="171" formatCode="0.0"/>
    <numFmt numFmtId="172" formatCode="0.000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sz val="11"/>
      <color theme="0"/>
      <name val="Arial"/>
      <family val="2"/>
    </font>
    <font>
      <sz val="10"/>
      <name val="Arial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sz val="8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b/>
      <sz val="9"/>
      <color theme="3"/>
      <name val="Cambria"/>
      <family val="2"/>
      <scheme val="major"/>
    </font>
    <font>
      <b/>
      <sz val="14"/>
      <color theme="3"/>
      <name val="Cambria"/>
      <family val="2"/>
      <scheme val="major"/>
    </font>
    <font>
      <b/>
      <sz val="16"/>
      <color theme="3"/>
      <name val="Cambria"/>
      <family val="2"/>
      <scheme val="major"/>
    </font>
    <font>
      <b/>
      <sz val="10"/>
      <color rgb="FF3F3F3F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indexed="9"/>
      <name val="Calibri"/>
      <family val="2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30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5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4" borderId="2" applyNumberFormat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7" borderId="0" applyNumberFormat="0" applyBorder="0" applyAlignment="0" applyProtection="0"/>
    <xf numFmtId="0" fontId="10" fillId="0" borderId="0"/>
    <xf numFmtId="0" fontId="11" fillId="9" borderId="4" applyNumberForma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43" fontId="12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4" borderId="1" applyNumberFormat="0" applyAlignment="0" applyProtection="0"/>
    <xf numFmtId="0" fontId="4" fillId="5" borderId="3" applyNumberFormat="0" applyAlignment="0" applyProtection="0"/>
    <xf numFmtId="43" fontId="12" fillId="0" borderId="0" applyFont="0" applyFill="0" applyBorder="0" applyAlignment="0" applyProtection="0"/>
    <xf numFmtId="0" fontId="7" fillId="6" borderId="0" applyNumberFormat="0" applyBorder="0" applyAlignment="0" applyProtection="0"/>
    <xf numFmtId="0" fontId="16" fillId="3" borderId="1" applyNumberFormat="0" applyAlignment="0" applyProtection="0"/>
    <xf numFmtId="0" fontId="1" fillId="0" borderId="0"/>
    <xf numFmtId="0" fontId="12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4" borderId="2" applyNumberFormat="0" applyAlignment="0" applyProtection="0"/>
    <xf numFmtId="0" fontId="3" fillId="4" borderId="2" applyNumberFormat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8" fillId="0" borderId="14" applyFont="0" applyFill="0" applyBorder="0" applyAlignment="0"/>
    <xf numFmtId="0" fontId="5" fillId="0" borderId="0" applyNumberFormat="0" applyFill="0" applyBorder="0" applyAlignment="0" applyProtection="0"/>
    <xf numFmtId="0" fontId="12" fillId="12" borderId="15" applyNumberFormat="0" applyFont="0" applyAlignment="0" applyProtection="0"/>
    <xf numFmtId="0" fontId="19" fillId="13" borderId="18" applyNumberFormat="0" applyAlignment="0" applyProtection="0"/>
    <xf numFmtId="0" fontId="20" fillId="14" borderId="19" applyNumberFormat="0" applyAlignment="0" applyProtection="0"/>
    <xf numFmtId="0" fontId="8" fillId="15" borderId="0" applyNumberFormat="0" applyBorder="0" applyAlignment="0" applyProtection="0"/>
    <xf numFmtId="0" fontId="21" fillId="16" borderId="0" applyNumberFormat="0" applyBorder="0" applyAlignment="0" applyProtection="0"/>
    <xf numFmtId="0" fontId="22" fillId="0" borderId="23" applyNumberFormat="0" applyFill="0" applyAlignment="0" applyProtection="0"/>
    <xf numFmtId="0" fontId="23" fillId="0" borderId="24" applyNumberFormat="0" applyFill="0" applyAlignment="0" applyProtection="0"/>
    <xf numFmtId="0" fontId="24" fillId="0" borderId="0" applyNumberFormat="0" applyFill="0" applyBorder="0" applyAlignment="0" applyProtection="0"/>
    <xf numFmtId="0" fontId="8" fillId="15" borderId="0" applyNumberFormat="0" applyBorder="0" applyAlignment="0" applyProtection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10" fillId="0" borderId="0" xfId="8"/>
    <xf numFmtId="0" fontId="10" fillId="0" borderId="0" xfId="8" applyAlignment="1">
      <alignment horizontal="center"/>
    </xf>
    <xf numFmtId="0" fontId="8" fillId="10" borderId="0" xfId="10" applyAlignment="1">
      <alignment horizontal="center"/>
    </xf>
    <xf numFmtId="0" fontId="10" fillId="0" borderId="0" xfId="8" applyAlignment="1">
      <alignment horizontal="left"/>
    </xf>
    <xf numFmtId="0" fontId="10" fillId="0" borderId="0" xfId="8" applyFill="1"/>
    <xf numFmtId="0" fontId="12" fillId="0" borderId="0" xfId="8" applyFont="1" applyAlignment="1">
      <alignment horizontal="left"/>
    </xf>
    <xf numFmtId="0" fontId="8" fillId="10" borderId="0" xfId="10"/>
    <xf numFmtId="0" fontId="8" fillId="11" borderId="4" xfId="11" applyBorder="1" applyAlignment="1">
      <alignment horizontal="center"/>
    </xf>
    <xf numFmtId="0" fontId="12" fillId="0" borderId="0" xfId="8" applyFont="1"/>
    <xf numFmtId="0" fontId="8" fillId="11" borderId="0" xfId="11" applyAlignment="1">
      <alignment horizontal="center"/>
    </xf>
    <xf numFmtId="0" fontId="12" fillId="0" borderId="0" xfId="8" applyFont="1" applyFill="1" applyBorder="1"/>
    <xf numFmtId="0" fontId="10" fillId="0" borderId="0" xfId="8" applyBorder="1"/>
    <xf numFmtId="0" fontId="12" fillId="0" borderId="0" xfId="20" applyFont="1"/>
    <xf numFmtId="167" fontId="10" fillId="0" borderId="0" xfId="8" applyNumberFormat="1"/>
    <xf numFmtId="167" fontId="20" fillId="14" borderId="19" xfId="35" applyNumberFormat="1" applyAlignment="1">
      <alignment horizontal="center"/>
    </xf>
    <xf numFmtId="0" fontId="1" fillId="0" borderId="0" xfId="21" applyFont="1"/>
    <xf numFmtId="0" fontId="8" fillId="10" borderId="0" xfId="10" applyAlignment="1">
      <alignment horizontal="center"/>
    </xf>
    <xf numFmtId="0" fontId="12" fillId="0" borderId="0" xfId="20"/>
    <xf numFmtId="0" fontId="8" fillId="10" borderId="8" xfId="10" applyBorder="1" applyAlignment="1">
      <alignment horizontal="center"/>
    </xf>
    <xf numFmtId="0" fontId="8" fillId="10" borderId="6" xfId="10" applyBorder="1" applyAlignment="1">
      <alignment horizontal="center"/>
    </xf>
    <xf numFmtId="0" fontId="3" fillId="4" borderId="2" xfId="27"/>
    <xf numFmtId="0" fontId="3" fillId="4" borderId="2" xfId="27" applyAlignment="1">
      <alignment horizontal="center"/>
    </xf>
    <xf numFmtId="1" fontId="3" fillId="4" borderId="2" xfId="27" applyNumberFormat="1" applyAlignment="1">
      <alignment horizontal="center"/>
    </xf>
    <xf numFmtId="0" fontId="3" fillId="4" borderId="2" xfId="3"/>
    <xf numFmtId="0" fontId="3" fillId="4" borderId="2" xfId="3" applyAlignment="1">
      <alignment horizontal="center"/>
    </xf>
    <xf numFmtId="0" fontId="3" fillId="4" borderId="2" xfId="3" applyAlignment="1">
      <alignment horizontal="left"/>
    </xf>
    <xf numFmtId="43" fontId="3" fillId="4" borderId="2" xfId="3" applyNumberFormat="1"/>
    <xf numFmtId="9" fontId="3" fillId="4" borderId="2" xfId="3" applyNumberFormat="1"/>
    <xf numFmtId="1" fontId="3" fillId="4" borderId="2" xfId="3" applyNumberFormat="1"/>
    <xf numFmtId="0" fontId="7" fillId="7" borderId="0" xfId="4"/>
    <xf numFmtId="0" fontId="1" fillId="0" borderId="0" xfId="22"/>
    <xf numFmtId="0" fontId="2" fillId="0" borderId="0" xfId="2"/>
    <xf numFmtId="0" fontId="25" fillId="0" borderId="0" xfId="2" applyFont="1"/>
    <xf numFmtId="0" fontId="12" fillId="0" borderId="0" xfId="8" applyFont="1" applyAlignment="1">
      <alignment horizontal="center"/>
    </xf>
    <xf numFmtId="0" fontId="8" fillId="10" borderId="17" xfId="10" applyBorder="1" applyAlignment="1">
      <alignment horizontal="center"/>
    </xf>
    <xf numFmtId="0" fontId="8" fillId="10" borderId="15" xfId="10" applyBorder="1" applyAlignment="1">
      <alignment horizontal="center"/>
    </xf>
    <xf numFmtId="169" fontId="7" fillId="7" borderId="0" xfId="4" applyNumberFormat="1"/>
    <xf numFmtId="168" fontId="7" fillId="7" borderId="0" xfId="1" applyNumberFormat="1" applyFont="1" applyFill="1"/>
    <xf numFmtId="167" fontId="3" fillId="4" borderId="2" xfId="27" applyNumberFormat="1"/>
    <xf numFmtId="0" fontId="8" fillId="10" borderId="8" xfId="10" applyBorder="1" applyAlignment="1"/>
    <xf numFmtId="0" fontId="8" fillId="10" borderId="8" xfId="10" applyBorder="1"/>
    <xf numFmtId="167" fontId="7" fillId="7" borderId="2" xfId="4" applyNumberFormat="1" applyBorder="1"/>
    <xf numFmtId="167" fontId="7" fillId="7" borderId="2" xfId="5" applyNumberFormat="1" applyBorder="1"/>
    <xf numFmtId="167" fontId="7" fillId="7" borderId="0" xfId="5" applyNumberFormat="1"/>
    <xf numFmtId="0" fontId="3" fillId="4" borderId="26" xfId="27" applyBorder="1"/>
    <xf numFmtId="167" fontId="3" fillId="4" borderId="26" xfId="27" applyNumberFormat="1" applyBorder="1"/>
    <xf numFmtId="1" fontId="3" fillId="4" borderId="26" xfId="27" applyNumberFormat="1" applyBorder="1"/>
    <xf numFmtId="0" fontId="13" fillId="0" borderId="8" xfId="8" applyFont="1" applyBorder="1"/>
    <xf numFmtId="0" fontId="13" fillId="0" borderId="8" xfId="8" applyFont="1" applyBorder="1" applyAlignment="1">
      <alignment horizontal="center"/>
    </xf>
    <xf numFmtId="0" fontId="6" fillId="0" borderId="8" xfId="21" applyFont="1" applyBorder="1" applyAlignment="1">
      <alignment horizontal="center"/>
    </xf>
    <xf numFmtId="14" fontId="3" fillId="4" borderId="2" xfId="3" applyNumberFormat="1"/>
    <xf numFmtId="0" fontId="28" fillId="4" borderId="2" xfId="3" applyFont="1"/>
    <xf numFmtId="0" fontId="28" fillId="4" borderId="2" xfId="3" applyFont="1" applyAlignment="1">
      <alignment horizontal="center"/>
    </xf>
    <xf numFmtId="0" fontId="8" fillId="10" borderId="0" xfId="10" applyAlignment="1"/>
    <xf numFmtId="0" fontId="3" fillId="4" borderId="2" xfId="3" applyAlignment="1">
      <alignment horizontal="right"/>
    </xf>
    <xf numFmtId="164" fontId="3" fillId="4" borderId="2" xfId="3" applyNumberFormat="1"/>
    <xf numFmtId="10" fontId="3" fillId="4" borderId="2" xfId="3" applyNumberFormat="1"/>
    <xf numFmtId="0" fontId="28" fillId="4" borderId="2" xfId="27" applyFont="1"/>
    <xf numFmtId="169" fontId="28" fillId="4" borderId="2" xfId="1" applyNumberFormat="1" applyFont="1" applyFill="1" applyBorder="1"/>
    <xf numFmtId="169" fontId="28" fillId="4" borderId="2" xfId="27" applyNumberFormat="1" applyFont="1"/>
    <xf numFmtId="1" fontId="12" fillId="0" borderId="0" xfId="8" applyNumberFormat="1" applyFont="1"/>
    <xf numFmtId="167" fontId="28" fillId="4" borderId="2" xfId="3" applyNumberFormat="1" applyFont="1"/>
    <xf numFmtId="167" fontId="29" fillId="7" borderId="0" xfId="4" applyNumberFormat="1" applyFont="1"/>
    <xf numFmtId="0" fontId="8" fillId="8" borderId="0" xfId="6" applyAlignment="1">
      <alignment horizontal="center"/>
    </xf>
    <xf numFmtId="9" fontId="19" fillId="13" borderId="18" xfId="34" applyNumberFormat="1"/>
    <xf numFmtId="0" fontId="1" fillId="0" borderId="0" xfId="22" applyFont="1"/>
    <xf numFmtId="0" fontId="19" fillId="13" borderId="18" xfId="34"/>
    <xf numFmtId="169" fontId="1" fillId="0" borderId="0" xfId="22" applyNumberFormat="1"/>
    <xf numFmtId="169" fontId="0" fillId="0" borderId="0" xfId="30" applyNumberFormat="1" applyFont="1"/>
    <xf numFmtId="169" fontId="1" fillId="0" borderId="0" xfId="22" applyNumberFormat="1" applyFill="1"/>
    <xf numFmtId="169" fontId="6" fillId="0" borderId="0" xfId="22" applyNumberFormat="1" applyFont="1"/>
    <xf numFmtId="165" fontId="0" fillId="0" borderId="0" xfId="30" applyFont="1"/>
    <xf numFmtId="0" fontId="1" fillId="17" borderId="0" xfId="22" applyFill="1"/>
    <xf numFmtId="167" fontId="19" fillId="13" borderId="18" xfId="34" applyNumberFormat="1"/>
    <xf numFmtId="1" fontId="10" fillId="0" borderId="0" xfId="8" applyNumberFormat="1"/>
    <xf numFmtId="169" fontId="19" fillId="13" borderId="18" xfId="34" applyNumberFormat="1"/>
    <xf numFmtId="0" fontId="30" fillId="8" borderId="0" xfId="6" applyFont="1" applyAlignment="1">
      <alignment horizontal="center"/>
    </xf>
    <xf numFmtId="0" fontId="31" fillId="0" borderId="0" xfId="22" applyFont="1"/>
    <xf numFmtId="0" fontId="32" fillId="0" borderId="0" xfId="22" applyFont="1"/>
    <xf numFmtId="167" fontId="8" fillId="15" borderId="0" xfId="36" applyNumberFormat="1"/>
    <xf numFmtId="0" fontId="31" fillId="18" borderId="0" xfId="22" applyFont="1" applyFill="1"/>
    <xf numFmtId="0" fontId="1" fillId="18" borderId="0" xfId="22" applyFill="1"/>
    <xf numFmtId="0" fontId="33" fillId="0" borderId="21" xfId="22" applyFont="1" applyBorder="1"/>
    <xf numFmtId="10" fontId="8" fillId="15" borderId="0" xfId="36" applyNumberFormat="1"/>
    <xf numFmtId="10" fontId="8" fillId="15" borderId="0" xfId="24" applyNumberFormat="1" applyFont="1" applyFill="1"/>
    <xf numFmtId="170" fontId="8" fillId="15" borderId="0" xfId="36" applyNumberFormat="1"/>
    <xf numFmtId="167" fontId="1" fillId="0" borderId="0" xfId="22" applyNumberFormat="1"/>
    <xf numFmtId="170" fontId="1" fillId="0" borderId="0" xfId="24" applyNumberFormat="1" applyFont="1"/>
    <xf numFmtId="0" fontId="0" fillId="0" borderId="0" xfId="22" applyFont="1"/>
    <xf numFmtId="0" fontId="27" fillId="0" borderId="0" xfId="2" applyFont="1" applyAlignment="1">
      <alignment horizontal="center" vertical="center"/>
    </xf>
    <xf numFmtId="0" fontId="25" fillId="0" borderId="0" xfId="2" applyFont="1" applyAlignment="1">
      <alignment horizontal="left"/>
    </xf>
    <xf numFmtId="0" fontId="8" fillId="10" borderId="15" xfId="10" applyBorder="1" applyAlignment="1">
      <alignment horizontal="center"/>
    </xf>
    <xf numFmtId="0" fontId="8" fillId="10" borderId="0" xfId="10" applyAlignment="1">
      <alignment horizontal="center"/>
    </xf>
    <xf numFmtId="0" fontId="20" fillId="14" borderId="19" xfId="35"/>
    <xf numFmtId="167" fontId="20" fillId="14" borderId="19" xfId="35" applyNumberFormat="1"/>
    <xf numFmtId="171" fontId="8" fillId="15" borderId="0" xfId="41" applyNumberFormat="1"/>
    <xf numFmtId="10" fontId="20" fillId="14" borderId="19" xfId="35" applyNumberFormat="1"/>
    <xf numFmtId="43" fontId="20" fillId="14" borderId="19" xfId="12" applyFont="1" applyFill="1" applyBorder="1"/>
    <xf numFmtId="10" fontId="11" fillId="9" borderId="4" xfId="9" applyNumberFormat="1"/>
    <xf numFmtId="10" fontId="8" fillId="15" borderId="0" xfId="41" applyNumberFormat="1"/>
    <xf numFmtId="43" fontId="8" fillId="15" borderId="0" xfId="36" applyNumberFormat="1"/>
    <xf numFmtId="10" fontId="8" fillId="15" borderId="19" xfId="36" applyNumberFormat="1" applyBorder="1"/>
    <xf numFmtId="43" fontId="8" fillId="15" borderId="0" xfId="36" applyNumberFormat="1" applyBorder="1"/>
    <xf numFmtId="165" fontId="8" fillId="15" borderId="0" xfId="36" applyNumberFormat="1"/>
    <xf numFmtId="0" fontId="20" fillId="14" borderId="0" xfId="35" applyBorder="1"/>
    <xf numFmtId="172" fontId="20" fillId="14" borderId="19" xfId="35" applyNumberFormat="1"/>
    <xf numFmtId="0" fontId="7" fillId="7" borderId="6" xfId="5" applyBorder="1" applyAlignment="1">
      <alignment horizontal="center"/>
    </xf>
    <xf numFmtId="0" fontId="7" fillId="7" borderId="8" xfId="5" applyBorder="1" applyAlignment="1">
      <alignment horizontal="center"/>
    </xf>
    <xf numFmtId="0" fontId="34" fillId="19" borderId="0" xfId="42" applyFont="1" applyAlignment="1"/>
    <xf numFmtId="0" fontId="7" fillId="7" borderId="7" xfId="5" applyBorder="1" applyAlignment="1">
      <alignment horizontal="center"/>
    </xf>
    <xf numFmtId="0" fontId="8" fillId="15" borderId="12" xfId="41" applyBorder="1" applyAlignment="1">
      <alignment horizontal="center"/>
    </xf>
    <xf numFmtId="0" fontId="8" fillId="15" borderId="8" xfId="41" applyBorder="1" applyAlignment="1">
      <alignment horizontal="center"/>
    </xf>
    <xf numFmtId="0" fontId="8" fillId="15" borderId="6" xfId="41" applyBorder="1" applyAlignment="1">
      <alignment horizontal="center"/>
    </xf>
    <xf numFmtId="0" fontId="8" fillId="15" borderId="13" xfId="41" applyBorder="1" applyAlignment="1">
      <alignment horizontal="center"/>
    </xf>
    <xf numFmtId="165" fontId="8" fillId="15" borderId="8" xfId="36" applyNumberFormat="1" applyBorder="1"/>
    <xf numFmtId="43" fontId="8" fillId="15" borderId="8" xfId="36" applyNumberFormat="1" applyBorder="1"/>
    <xf numFmtId="43" fontId="8" fillId="15" borderId="8" xfId="12" applyFont="1" applyFill="1" applyBorder="1" applyAlignment="1">
      <alignment horizontal="center"/>
    </xf>
    <xf numFmtId="4" fontId="8" fillId="15" borderId="8" xfId="24" applyNumberFormat="1" applyFont="1" applyFill="1" applyBorder="1" applyAlignment="1">
      <alignment horizontal="right"/>
    </xf>
    <xf numFmtId="43" fontId="8" fillId="15" borderId="8" xfId="41" applyNumberFormat="1" applyBorder="1"/>
    <xf numFmtId="2" fontId="8" fillId="15" borderId="8" xfId="36" applyNumberFormat="1" applyBorder="1"/>
    <xf numFmtId="0" fontId="8" fillId="15" borderId="30" xfId="41" applyBorder="1" applyAlignment="1">
      <alignment horizontal="center"/>
    </xf>
    <xf numFmtId="0" fontId="3" fillId="4" borderId="26" xfId="3" applyBorder="1" applyAlignment="1">
      <alignment horizontal="center"/>
    </xf>
    <xf numFmtId="0" fontId="7" fillId="7" borderId="32" xfId="5" applyBorder="1" applyAlignment="1">
      <alignment horizontal="center"/>
    </xf>
    <xf numFmtId="0" fontId="7" fillId="7" borderId="12" xfId="5" applyBorder="1" applyAlignment="1">
      <alignment horizontal="center"/>
    </xf>
    <xf numFmtId="0" fontId="7" fillId="7" borderId="13" xfId="5" applyBorder="1" applyAlignment="1">
      <alignment horizontal="center"/>
    </xf>
    <xf numFmtId="1" fontId="8" fillId="15" borderId="8" xfId="36" applyNumberFormat="1" applyBorder="1" applyAlignment="1">
      <alignment horizontal="center"/>
    </xf>
    <xf numFmtId="0" fontId="28" fillId="4" borderId="2" xfId="27" applyFont="1" applyAlignment="1">
      <alignment horizontal="center"/>
    </xf>
    <xf numFmtId="0" fontId="26" fillId="0" borderId="0" xfId="2" applyFont="1"/>
    <xf numFmtId="9" fontId="10" fillId="0" borderId="0" xfId="8" applyNumberFormat="1"/>
    <xf numFmtId="165" fontId="10" fillId="0" borderId="0" xfId="1" applyFont="1"/>
    <xf numFmtId="165" fontId="10" fillId="0" borderId="0" xfId="1" applyNumberFormat="1" applyFont="1"/>
    <xf numFmtId="165" fontId="10" fillId="0" borderId="0" xfId="8" applyNumberFormat="1"/>
    <xf numFmtId="9" fontId="10" fillId="0" borderId="0" xfId="43" applyFont="1"/>
    <xf numFmtId="0" fontId="8" fillId="10" borderId="0" xfId="10" applyAlignment="1">
      <alignment horizontal="center"/>
    </xf>
    <xf numFmtId="0" fontId="8" fillId="10" borderId="15" xfId="10" applyBorder="1" applyAlignment="1">
      <alignment horizontal="center"/>
    </xf>
    <xf numFmtId="0" fontId="8" fillId="10" borderId="8" xfId="10" applyBorder="1" applyAlignment="1">
      <alignment horizontal="center"/>
    </xf>
    <xf numFmtId="0" fontId="1" fillId="0" borderId="0" xfId="21"/>
    <xf numFmtId="0" fontId="7" fillId="7" borderId="0" xfId="5"/>
    <xf numFmtId="0" fontId="8" fillId="10" borderId="0" xfId="10" applyBorder="1"/>
    <xf numFmtId="9" fontId="8" fillId="15" borderId="0" xfId="41" applyNumberFormat="1"/>
    <xf numFmtId="167" fontId="35" fillId="7" borderId="0" xfId="5" applyNumberFormat="1" applyFont="1"/>
    <xf numFmtId="0" fontId="7" fillId="7" borderId="0" xfId="5" applyAlignment="1">
      <alignment horizontal="center"/>
    </xf>
    <xf numFmtId="0" fontId="8" fillId="10" borderId="0" xfId="10" applyAlignment="1">
      <alignment horizontal="center"/>
    </xf>
    <xf numFmtId="0" fontId="8" fillId="10" borderId="0" xfId="10" applyBorder="1" applyAlignment="1">
      <alignment horizontal="center"/>
    </xf>
    <xf numFmtId="0" fontId="9" fillId="7" borderId="0" xfId="7" applyAlignment="1">
      <alignment horizontal="center"/>
    </xf>
    <xf numFmtId="0" fontId="8" fillId="10" borderId="9" xfId="10" applyBorder="1" applyAlignment="1">
      <alignment horizontal="center"/>
    </xf>
    <xf numFmtId="0" fontId="8" fillId="10" borderId="10" xfId="10" applyBorder="1" applyAlignment="1">
      <alignment horizontal="center"/>
    </xf>
    <xf numFmtId="0" fontId="8" fillId="10" borderId="11" xfId="10" applyBorder="1" applyAlignment="1">
      <alignment horizontal="center"/>
    </xf>
    <xf numFmtId="0" fontId="4" fillId="7" borderId="30" xfId="5" applyFont="1" applyBorder="1" applyAlignment="1">
      <alignment horizontal="center"/>
    </xf>
    <xf numFmtId="0" fontId="4" fillId="7" borderId="25" xfId="5" applyFont="1" applyBorder="1" applyAlignment="1">
      <alignment horizontal="center"/>
    </xf>
    <xf numFmtId="0" fontId="8" fillId="15" borderId="25" xfId="36" applyBorder="1" applyAlignment="1">
      <alignment horizontal="center"/>
    </xf>
    <xf numFmtId="0" fontId="7" fillId="7" borderId="31" xfId="5" applyBorder="1" applyAlignment="1">
      <alignment horizontal="center"/>
    </xf>
    <xf numFmtId="0" fontId="7" fillId="7" borderId="0" xfId="5" applyBorder="1" applyAlignment="1">
      <alignment horizontal="center"/>
    </xf>
    <xf numFmtId="0" fontId="7" fillId="7" borderId="33" xfId="5" applyBorder="1" applyAlignment="1">
      <alignment horizontal="center"/>
    </xf>
    <xf numFmtId="0" fontId="7" fillId="7" borderId="9" xfId="5" applyBorder="1" applyAlignment="1">
      <alignment horizontal="center"/>
    </xf>
    <xf numFmtId="0" fontId="7" fillId="7" borderId="10" xfId="5" applyBorder="1" applyAlignment="1">
      <alignment horizontal="center"/>
    </xf>
    <xf numFmtId="0" fontId="7" fillId="7" borderId="22" xfId="5" applyBorder="1" applyAlignment="1">
      <alignment horizontal="center"/>
    </xf>
    <xf numFmtId="0" fontId="7" fillId="7" borderId="34" xfId="5" applyBorder="1" applyAlignment="1">
      <alignment horizontal="center"/>
    </xf>
    <xf numFmtId="0" fontId="8" fillId="15" borderId="27" xfId="36" applyBorder="1" applyAlignment="1">
      <alignment horizontal="center"/>
    </xf>
    <xf numFmtId="0" fontId="8" fillId="15" borderId="28" xfId="36" applyBorder="1" applyAlignment="1">
      <alignment horizontal="center"/>
    </xf>
    <xf numFmtId="0" fontId="8" fillId="15" borderId="29" xfId="36" applyBorder="1" applyAlignment="1">
      <alignment horizontal="center"/>
    </xf>
    <xf numFmtId="0" fontId="8" fillId="15" borderId="27" xfId="41" applyBorder="1" applyAlignment="1">
      <alignment horizontal="center"/>
    </xf>
    <xf numFmtId="0" fontId="8" fillId="15" borderId="29" xfId="41" applyBorder="1" applyAlignment="1">
      <alignment horizontal="center"/>
    </xf>
    <xf numFmtId="0" fontId="8" fillId="15" borderId="28" xfId="41" applyBorder="1" applyAlignment="1">
      <alignment horizontal="center"/>
    </xf>
    <xf numFmtId="0" fontId="8" fillId="10" borderId="20" xfId="10" applyBorder="1" applyAlignment="1">
      <alignment horizontal="center"/>
    </xf>
    <xf numFmtId="0" fontId="8" fillId="10" borderId="21" xfId="10" applyBorder="1" applyAlignment="1">
      <alignment horizontal="center"/>
    </xf>
    <xf numFmtId="0" fontId="8" fillId="10" borderId="15" xfId="10" applyBorder="1" applyAlignment="1">
      <alignment horizontal="center"/>
    </xf>
    <xf numFmtId="0" fontId="8" fillId="10" borderId="16" xfId="10" applyBorder="1" applyAlignment="1">
      <alignment horizontal="center"/>
    </xf>
    <xf numFmtId="0" fontId="27" fillId="0" borderId="0" xfId="2" applyFont="1" applyAlignment="1">
      <alignment horizontal="center" vertical="center"/>
    </xf>
    <xf numFmtId="0" fontId="26" fillId="0" borderId="0" xfId="2" applyFont="1" applyAlignment="1">
      <alignment horizontal="left"/>
    </xf>
    <xf numFmtId="0" fontId="25" fillId="0" borderId="0" xfId="2" applyFont="1" applyAlignment="1">
      <alignment horizontal="left"/>
    </xf>
    <xf numFmtId="0" fontId="8" fillId="10" borderId="5" xfId="10" applyBorder="1" applyAlignment="1">
      <alignment horizontal="center" vertical="center"/>
    </xf>
    <xf numFmtId="0" fontId="8" fillId="10" borderId="7" xfId="10" applyBorder="1" applyAlignment="1">
      <alignment horizontal="center" vertical="center"/>
    </xf>
    <xf numFmtId="0" fontId="2" fillId="0" borderId="0" xfId="2" applyAlignment="1">
      <alignment horizontal="center" vertical="center"/>
    </xf>
    <xf numFmtId="0" fontId="8" fillId="10" borderId="8" xfId="10" applyBorder="1" applyAlignment="1">
      <alignment horizontal="center"/>
    </xf>
    <xf numFmtId="43" fontId="3" fillId="4" borderId="2" xfId="27" applyNumberFormat="1"/>
    <xf numFmtId="43" fontId="8" fillId="15" borderId="2" xfId="36" applyNumberFormat="1" applyBorder="1"/>
    <xf numFmtId="169" fontId="1" fillId="17" borderId="0" xfId="22" applyNumberFormat="1" applyFill="1"/>
  </cellXfs>
  <cellStyles count="44">
    <cellStyle name="40% - Ênfase1 2" xfId="37"/>
    <cellStyle name="40% - Ênfase3" xfId="42" builtinId="39"/>
    <cellStyle name="60% - Ênfase1 2" xfId="6"/>
    <cellStyle name="60% - Ênfase4 2" xfId="36"/>
    <cellStyle name="Bom 2" xfId="13"/>
    <cellStyle name="Cálculo 2" xfId="14"/>
    <cellStyle name="Célula de Verificação 2" xfId="9"/>
    <cellStyle name="Célula de Verificação 3" xfId="15"/>
    <cellStyle name="Comma 2" xfId="16"/>
    <cellStyle name="Ênfase1 2" xfId="10"/>
    <cellStyle name="Ênfase1 3" xfId="17"/>
    <cellStyle name="Ênfase2" xfId="4" builtinId="33"/>
    <cellStyle name="Ênfase2 2" xfId="7"/>
    <cellStyle name="Ênfase2 3" xfId="5"/>
    <cellStyle name="Ênfase2 4" xfId="11"/>
    <cellStyle name="Ênfase4 2" xfId="41"/>
    <cellStyle name="Entrada 2" xfId="18"/>
    <cellStyle name="Entrada 3" xfId="34"/>
    <cellStyle name="Normal" xfId="0" builtinId="0"/>
    <cellStyle name="Normal 2" xfId="8"/>
    <cellStyle name="Normal 3" xfId="19"/>
    <cellStyle name="Normal 3 2" xfId="20"/>
    <cellStyle name="Normal 3 3" xfId="21"/>
    <cellStyle name="Normal 4" xfId="22"/>
    <cellStyle name="Nota 2" xfId="33"/>
    <cellStyle name="Percent 2" xfId="23"/>
    <cellStyle name="Porcentagem" xfId="43" builtinId="5"/>
    <cellStyle name="Porcentagem 2" xfId="24"/>
    <cellStyle name="Porcentagem 3" xfId="25"/>
    <cellStyle name="Saída" xfId="3" builtinId="21"/>
    <cellStyle name="Saída 2" xfId="26"/>
    <cellStyle name="Saída 3" xfId="27"/>
    <cellStyle name="Saída 4" xfId="35"/>
    <cellStyle name="Separador de milhares 2" xfId="12"/>
    <cellStyle name="Separador de milhares 3" xfId="28"/>
    <cellStyle name="Separador de milhares 4" xfId="29"/>
    <cellStyle name="Separador de milhares 5" xfId="30"/>
    <cellStyle name="Style 1" xfId="31"/>
    <cellStyle name="Texto Explicativo 2" xfId="32"/>
    <cellStyle name="Título" xfId="2" builtinId="15"/>
    <cellStyle name="Título 1 2" xfId="38"/>
    <cellStyle name="Título 4 2" xfId="40"/>
    <cellStyle name="Total 2" xfId="39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INGA/Local%20Settings/Temporary%20Internet%20Files/Content.IE5/IRK9A1WZ/PHI-DREorc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BI%20Demo%20G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"/>
      <sheetName val="Receita"/>
      <sheetName val="Resumo"/>
      <sheetName val="Res-Ano"/>
      <sheetName val="Presid"/>
      <sheetName val="ADM"/>
      <sheetName val="FIN"/>
      <sheetName val="DES"/>
      <sheetName val="V_UPS"/>
      <sheetName val="V_PHI"/>
      <sheetName val="SUP"/>
      <sheetName val="PRO"/>
      <sheetName val="Qua"/>
      <sheetName val="Eng"/>
      <sheetName val="Rateio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dastro"/>
      <sheetName val="NT1 a NT4"/>
      <sheetName val="NT5"/>
      <sheetName val="NT 6"/>
      <sheetName val="NT 7"/>
      <sheetName val="NT7 a NT11"/>
      <sheetName val="NT 12"/>
      <sheetName val="Cadastro PCP"/>
      <sheetName val="Cadastro PCR"/>
      <sheetName val="Cadastro PCCG"/>
      <sheetName val="Parametriza 1"/>
      <sheetName val="Parametriza 2"/>
      <sheetName val="Parametriza 3 "/>
      <sheetName val="Parametriza 4"/>
      <sheetName val="Parametriza 5"/>
      <sheetName val="Parametriza 6"/>
      <sheetName val="Despesas e Receitas Operac."/>
      <sheetName val="Familia e Produtos"/>
      <sheetName val="Fluxo de Caixa Projetado"/>
      <sheetName val="NCG"/>
      <sheetName val="Ponto de Equilibr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4"/>
  <sheetViews>
    <sheetView topLeftCell="A45" workbookViewId="0">
      <selection activeCell="A8" sqref="A8:B8"/>
    </sheetView>
  </sheetViews>
  <sheetFormatPr defaultRowHeight="12.75" x14ac:dyDescent="0.2"/>
  <cols>
    <col min="1" max="1" width="38.28515625" style="1" customWidth="1"/>
    <col min="2" max="2" width="26.140625" style="1" customWidth="1"/>
    <col min="3" max="3" width="15.85546875" style="18" customWidth="1"/>
    <col min="4" max="4" width="20.85546875" style="18" bestFit="1" customWidth="1"/>
    <col min="5" max="5" width="12.28515625" style="18" customWidth="1"/>
    <col min="6" max="16384" width="9.140625" style="1"/>
  </cols>
  <sheetData>
    <row r="2" spans="1:2" ht="15" x14ac:dyDescent="0.25">
      <c r="A2" s="142" t="s">
        <v>0</v>
      </c>
      <c r="B2" s="142"/>
    </row>
    <row r="3" spans="1:2" ht="15" x14ac:dyDescent="0.25">
      <c r="A3" s="1" t="s">
        <v>1</v>
      </c>
      <c r="B3" s="24" t="s">
        <v>2</v>
      </c>
    </row>
    <row r="4" spans="1:2" ht="15" x14ac:dyDescent="0.25">
      <c r="A4" s="4" t="s">
        <v>5</v>
      </c>
      <c r="B4" s="24" t="s">
        <v>69</v>
      </c>
    </row>
    <row r="5" spans="1:2" ht="15" x14ac:dyDescent="0.25">
      <c r="A5" s="4" t="s">
        <v>68</v>
      </c>
      <c r="B5" s="24"/>
    </row>
    <row r="6" spans="1:2" ht="15" x14ac:dyDescent="0.25">
      <c r="A6" s="6" t="s">
        <v>9</v>
      </c>
      <c r="B6" s="24" t="s">
        <v>10</v>
      </c>
    </row>
    <row r="7" spans="1:2" ht="15" x14ac:dyDescent="0.25">
      <c r="A7" s="1" t="s">
        <v>13</v>
      </c>
      <c r="B7" s="55" t="s">
        <v>14</v>
      </c>
    </row>
    <row r="8" spans="1:2" ht="15" thickBot="1" x14ac:dyDescent="0.25">
      <c r="A8" s="145" t="s">
        <v>17</v>
      </c>
      <c r="B8" s="145"/>
    </row>
    <row r="9" spans="1:2" ht="16.5" thickTop="1" thickBot="1" x14ac:dyDescent="0.3">
      <c r="A9" s="7" t="s">
        <v>18</v>
      </c>
      <c r="B9" s="8" t="s">
        <v>56</v>
      </c>
    </row>
    <row r="10" spans="1:2" ht="15.75" thickTop="1" x14ac:dyDescent="0.25">
      <c r="A10" s="9" t="str">
        <f t="shared" ref="A10:A15" si="0">IF($B$9=$B$72,A72,A79)</f>
        <v>% de Receita Incentivada</v>
      </c>
      <c r="B10" s="28">
        <v>0</v>
      </c>
    </row>
    <row r="11" spans="1:2" ht="15" x14ac:dyDescent="0.25">
      <c r="A11" s="9" t="str">
        <f t="shared" si="0"/>
        <v>% de Deduções da BC</v>
      </c>
      <c r="B11" s="28">
        <v>0</v>
      </c>
    </row>
    <row r="12" spans="1:2" ht="15" x14ac:dyDescent="0.25">
      <c r="A12" s="9" t="str">
        <f t="shared" si="0"/>
        <v>Aliquota % Normal de IR</v>
      </c>
      <c r="B12" s="28">
        <v>0</v>
      </c>
    </row>
    <row r="13" spans="1:2" ht="15" x14ac:dyDescent="0.25">
      <c r="A13" s="9" t="str">
        <f t="shared" si="0"/>
        <v>BC anual IR- Adicional</v>
      </c>
      <c r="B13" s="56">
        <v>240000</v>
      </c>
    </row>
    <row r="14" spans="1:2" ht="15" x14ac:dyDescent="0.25">
      <c r="A14" s="9" t="str">
        <f t="shared" si="0"/>
        <v>% Adicional de IR</v>
      </c>
      <c r="B14" s="28">
        <v>0</v>
      </c>
    </row>
    <row r="15" spans="1:2" ht="15" x14ac:dyDescent="0.25">
      <c r="A15" s="9" t="str">
        <f t="shared" si="0"/>
        <v>Aliquota % de CSSL</v>
      </c>
      <c r="B15" s="28">
        <v>0</v>
      </c>
    </row>
    <row r="16" spans="1:2" ht="15" x14ac:dyDescent="0.25">
      <c r="A16" s="7" t="s">
        <v>50</v>
      </c>
      <c r="B16" s="10" t="s">
        <v>60</v>
      </c>
    </row>
    <row r="17" spans="1:4" ht="15" x14ac:dyDescent="0.25">
      <c r="A17" s="11" t="s">
        <v>52</v>
      </c>
      <c r="B17" s="57">
        <v>9.2499999999999999E-2</v>
      </c>
    </row>
    <row r="18" spans="1:4" ht="15" x14ac:dyDescent="0.25">
      <c r="A18" s="11" t="s">
        <v>53</v>
      </c>
      <c r="B18" s="57">
        <v>9.2499999999999999E-2</v>
      </c>
    </row>
    <row r="19" spans="1:4" ht="15" x14ac:dyDescent="0.25">
      <c r="A19" s="11" t="s">
        <v>54</v>
      </c>
      <c r="B19" s="57">
        <v>3.6499999999999998E-2</v>
      </c>
    </row>
    <row r="20" spans="1:4" x14ac:dyDescent="0.2">
      <c r="A20" s="11"/>
    </row>
    <row r="21" spans="1:4" x14ac:dyDescent="0.2">
      <c r="A21" s="11"/>
    </row>
    <row r="22" spans="1:4" ht="15" x14ac:dyDescent="0.25">
      <c r="A22" s="143" t="s">
        <v>147</v>
      </c>
      <c r="B22" s="143"/>
      <c r="C22" s="143"/>
      <c r="D22" s="143"/>
    </row>
    <row r="23" spans="1:4" x14ac:dyDescent="0.2">
      <c r="A23" s="9" t="s">
        <v>148</v>
      </c>
      <c r="B23" s="34" t="s">
        <v>149</v>
      </c>
      <c r="C23" s="2" t="s">
        <v>150</v>
      </c>
      <c r="D23" s="2" t="s">
        <v>151</v>
      </c>
    </row>
    <row r="24" spans="1:4" ht="15" x14ac:dyDescent="0.25">
      <c r="A24" s="94"/>
      <c r="B24" s="95">
        <v>3000000</v>
      </c>
      <c r="C24" s="94">
        <v>30</v>
      </c>
      <c r="D24" s="80">
        <f>B24/C24*30</f>
        <v>3000000</v>
      </c>
    </row>
    <row r="25" spans="1:4" ht="15" x14ac:dyDescent="0.25">
      <c r="A25" s="94"/>
      <c r="B25" s="95">
        <v>5000000</v>
      </c>
      <c r="C25" s="94">
        <v>30</v>
      </c>
      <c r="D25" s="80">
        <f>B25/C25*30</f>
        <v>5000000</v>
      </c>
    </row>
    <row r="26" spans="1:4" ht="15" x14ac:dyDescent="0.25">
      <c r="A26" s="94"/>
      <c r="B26" s="95">
        <v>7000000</v>
      </c>
      <c r="C26" s="94">
        <v>30</v>
      </c>
      <c r="D26" s="80">
        <f>B26/C26*30</f>
        <v>7000000</v>
      </c>
    </row>
    <row r="27" spans="1:4" ht="15" x14ac:dyDescent="0.25">
      <c r="A27" s="94"/>
      <c r="B27" s="95">
        <v>8000000</v>
      </c>
      <c r="C27" s="94">
        <v>30</v>
      </c>
      <c r="D27" s="80">
        <f>B27/C27*30</f>
        <v>8000000.0000000009</v>
      </c>
    </row>
    <row r="28" spans="1:4" x14ac:dyDescent="0.2">
      <c r="C28" s="1"/>
      <c r="D28" s="1"/>
    </row>
    <row r="29" spans="1:4" ht="15" x14ac:dyDescent="0.25">
      <c r="B29" s="80">
        <f>SUM(B24:B27)</f>
        <v>23000000</v>
      </c>
      <c r="C29" s="96">
        <f>SUMPRODUCT(D24:D27,C24:C27)/D29</f>
        <v>30</v>
      </c>
      <c r="D29" s="80">
        <f>SUM(D24:D27)</f>
        <v>23000000</v>
      </c>
    </row>
    <row r="30" spans="1:4" x14ac:dyDescent="0.2">
      <c r="C30" s="1"/>
      <c r="D30" s="1"/>
    </row>
    <row r="31" spans="1:4" ht="15" x14ac:dyDescent="0.25">
      <c r="A31" s="143" t="s">
        <v>152</v>
      </c>
      <c r="B31" s="143"/>
      <c r="C31" s="143"/>
      <c r="D31" s="143"/>
    </row>
    <row r="32" spans="1:4" ht="13.5" thickBot="1" x14ac:dyDescent="0.25">
      <c r="A32" s="1" t="s">
        <v>153</v>
      </c>
      <c r="B32" s="1" t="s">
        <v>154</v>
      </c>
      <c r="C32" s="2" t="s">
        <v>155</v>
      </c>
      <c r="D32" s="2" t="s">
        <v>156</v>
      </c>
    </row>
    <row r="33" spans="1:4" ht="16.5" thickTop="1" thickBot="1" x14ac:dyDescent="0.3">
      <c r="A33" s="94" t="s">
        <v>157</v>
      </c>
      <c r="B33" s="97">
        <v>9.7999999999999997E-3</v>
      </c>
      <c r="C33" s="98">
        <v>4000000</v>
      </c>
      <c r="D33" s="99">
        <v>3.0000000000000001E-3</v>
      </c>
    </row>
    <row r="34" spans="1:4" ht="16.5" thickTop="1" thickBot="1" x14ac:dyDescent="0.3">
      <c r="A34" s="94" t="s">
        <v>158</v>
      </c>
      <c r="B34" s="97">
        <v>1.15E-2</v>
      </c>
      <c r="C34" s="98">
        <v>2000000</v>
      </c>
      <c r="D34" s="99">
        <v>3.0000000000000001E-3</v>
      </c>
    </row>
    <row r="35" spans="1:4" ht="16.5" thickTop="1" thickBot="1" x14ac:dyDescent="0.3">
      <c r="A35" s="94" t="s">
        <v>159</v>
      </c>
      <c r="B35" s="97">
        <v>1.14E-2</v>
      </c>
      <c r="C35" s="98">
        <v>3000000</v>
      </c>
      <c r="D35" s="99">
        <v>3.0000000000000001E-3</v>
      </c>
    </row>
    <row r="36" spans="1:4" ht="15.75" thickTop="1" x14ac:dyDescent="0.25">
      <c r="A36" s="94" t="s">
        <v>160</v>
      </c>
      <c r="B36" s="100">
        <f>SUMPRODUCT(C33:C35,B33:B35)/C36</f>
        <v>1.071111111111111E-2</v>
      </c>
      <c r="C36" s="101">
        <f>SUM(C33:C35)</f>
        <v>9000000</v>
      </c>
      <c r="D36" s="85">
        <f>SUMPRODUCT(C33:C35,D33:D35)/C36</f>
        <v>3.0000000000000001E-3</v>
      </c>
    </row>
    <row r="37" spans="1:4" x14ac:dyDescent="0.2">
      <c r="C37" s="1"/>
      <c r="D37" s="1"/>
    </row>
    <row r="38" spans="1:4" ht="15" x14ac:dyDescent="0.25">
      <c r="A38" s="54" t="s">
        <v>161</v>
      </c>
      <c r="B38" s="54"/>
      <c r="C38" s="54"/>
      <c r="D38" s="1"/>
    </row>
    <row r="39" spans="1:4" ht="13.5" thickBot="1" x14ac:dyDescent="0.25">
      <c r="A39" s="1" t="s">
        <v>153</v>
      </c>
      <c r="B39" s="1" t="s">
        <v>154</v>
      </c>
      <c r="C39" s="2" t="s">
        <v>155</v>
      </c>
      <c r="D39" s="2" t="s">
        <v>156</v>
      </c>
    </row>
    <row r="40" spans="1:4" ht="16.5" thickTop="1" thickBot="1" x14ac:dyDescent="0.3">
      <c r="A40" s="94" t="s">
        <v>162</v>
      </c>
      <c r="B40" s="97">
        <v>1.2999999999999999E-2</v>
      </c>
      <c r="C40" s="98">
        <v>2000000</v>
      </c>
      <c r="D40" s="99">
        <v>3.0000000000000001E-3</v>
      </c>
    </row>
    <row r="41" spans="1:4" ht="16.5" thickTop="1" thickBot="1" x14ac:dyDescent="0.3">
      <c r="A41" s="94" t="s">
        <v>163</v>
      </c>
      <c r="B41" s="97">
        <v>9.7999999999999997E-3</v>
      </c>
      <c r="C41" s="98">
        <v>1000000</v>
      </c>
      <c r="D41" s="99">
        <v>3.0000000000000001E-3</v>
      </c>
    </row>
    <row r="42" spans="1:4" ht="15.75" thickTop="1" x14ac:dyDescent="0.25">
      <c r="A42" s="94" t="s">
        <v>160</v>
      </c>
      <c r="B42" s="102">
        <f>SUMPRODUCT(C40:C41,B40:B41)/C42</f>
        <v>1.1933333333333334E-2</v>
      </c>
      <c r="C42" s="103">
        <f>C40+C41</f>
        <v>3000000</v>
      </c>
      <c r="D42" s="84">
        <f>SUMPRODUCT(C40:C41,D40:D41)/C42</f>
        <v>3.0000000000000001E-3</v>
      </c>
    </row>
    <row r="43" spans="1:4" x14ac:dyDescent="0.2">
      <c r="C43" s="1"/>
      <c r="D43" s="1"/>
    </row>
    <row r="44" spans="1:4" ht="15" x14ac:dyDescent="0.25">
      <c r="A44" s="143" t="s">
        <v>164</v>
      </c>
      <c r="B44" s="143"/>
      <c r="C44" s="143"/>
      <c r="D44" s="1"/>
    </row>
    <row r="45" spans="1:4" ht="13.5" thickBot="1" x14ac:dyDescent="0.25">
      <c r="A45" s="1" t="s">
        <v>153</v>
      </c>
      <c r="B45" s="1" t="s">
        <v>154</v>
      </c>
      <c r="C45" s="2" t="s">
        <v>155</v>
      </c>
      <c r="D45" s="2" t="s">
        <v>156</v>
      </c>
    </row>
    <row r="46" spans="1:4" ht="16.5" thickTop="1" thickBot="1" x14ac:dyDescent="0.3">
      <c r="A46" s="94" t="s">
        <v>165</v>
      </c>
      <c r="B46" s="97">
        <v>1.7000000000000001E-2</v>
      </c>
      <c r="C46" s="98">
        <v>2000000</v>
      </c>
      <c r="D46" s="99">
        <v>3.0000000000000001E-3</v>
      </c>
    </row>
    <row r="47" spans="1:4" ht="16.5" thickTop="1" thickBot="1" x14ac:dyDescent="0.3">
      <c r="A47" s="94" t="s">
        <v>166</v>
      </c>
      <c r="B47" s="97">
        <v>1.6500000000000001E-2</v>
      </c>
      <c r="C47" s="98">
        <v>1000000</v>
      </c>
      <c r="D47" s="99">
        <v>3.0000000000000001E-3</v>
      </c>
    </row>
    <row r="48" spans="1:4" ht="15.75" thickTop="1" x14ac:dyDescent="0.25">
      <c r="A48" s="94" t="s">
        <v>160</v>
      </c>
      <c r="B48" s="84">
        <f>SUMPRODUCT(C46:C47,B46:B47)/C48</f>
        <v>1.6833333333333332E-2</v>
      </c>
      <c r="C48" s="104">
        <f>C46+C47</f>
        <v>3000000</v>
      </c>
      <c r="D48" s="84">
        <f>SUMPRODUCT(C46:C47,D46:D47)/C48</f>
        <v>3.0000000000000001E-3</v>
      </c>
    </row>
    <row r="49" spans="1:4" x14ac:dyDescent="0.2">
      <c r="C49" s="1"/>
      <c r="D49" s="1"/>
    </row>
    <row r="50" spans="1:4" ht="15" x14ac:dyDescent="0.25">
      <c r="A50" s="144" t="s">
        <v>167</v>
      </c>
      <c r="B50" s="144"/>
      <c r="C50" s="144"/>
      <c r="D50" s="1"/>
    </row>
    <row r="51" spans="1:4" ht="15" x14ac:dyDescent="0.25">
      <c r="A51" s="105" t="s">
        <v>168</v>
      </c>
      <c r="B51" s="106">
        <v>4.1E-5</v>
      </c>
      <c r="C51" s="1"/>
      <c r="D51" s="1"/>
    </row>
    <row r="52" spans="1:4" ht="15" x14ac:dyDescent="0.25">
      <c r="A52" s="105" t="s">
        <v>169</v>
      </c>
      <c r="B52" s="97">
        <v>3.8E-3</v>
      </c>
      <c r="C52" s="1"/>
      <c r="D52" s="1"/>
    </row>
    <row r="53" spans="1:4" x14ac:dyDescent="0.2">
      <c r="A53" s="11"/>
    </row>
    <row r="54" spans="1:4" x14ac:dyDescent="0.2">
      <c r="A54" s="11"/>
    </row>
    <row r="55" spans="1:4" ht="15" x14ac:dyDescent="0.25">
      <c r="A55" s="139" t="s">
        <v>206</v>
      </c>
      <c r="B55" s="7"/>
    </row>
    <row r="56" spans="1:4" x14ac:dyDescent="0.2">
      <c r="A56" s="11" t="s">
        <v>204</v>
      </c>
      <c r="B56" s="129">
        <v>1</v>
      </c>
    </row>
    <row r="57" spans="1:4" x14ac:dyDescent="0.2">
      <c r="A57" s="11" t="s">
        <v>205</v>
      </c>
      <c r="B57" s="129"/>
    </row>
    <row r="58" spans="1:4" ht="15" x14ac:dyDescent="0.25">
      <c r="A58" s="11"/>
      <c r="B58" s="140">
        <f>IF((B56+B57)=100%,B56+B57,"Soma deve ser igual a 100%")</f>
        <v>1</v>
      </c>
    </row>
    <row r="59" spans="1:4" x14ac:dyDescent="0.2">
      <c r="A59" s="11"/>
    </row>
    <row r="60" spans="1:4" ht="15" x14ac:dyDescent="0.25">
      <c r="A60" s="139" t="s">
        <v>207</v>
      </c>
      <c r="B60" s="7"/>
    </row>
    <row r="61" spans="1:4" x14ac:dyDescent="0.2">
      <c r="A61" s="11" t="str">
        <f>IF($B$57&gt;0,"Desconto de Duplicatas","")</f>
        <v/>
      </c>
      <c r="B61" s="129">
        <v>0.5</v>
      </c>
    </row>
    <row r="62" spans="1:4" x14ac:dyDescent="0.2">
      <c r="A62" s="11" t="str">
        <f>IF($B$57&gt;0,"Capital de Giro- Clean","")</f>
        <v/>
      </c>
      <c r="B62" s="129">
        <v>0.2</v>
      </c>
    </row>
    <row r="63" spans="1:4" x14ac:dyDescent="0.2">
      <c r="A63" s="11" t="str">
        <f>IF($B$57&gt;0,"Conta Garantida","")</f>
        <v/>
      </c>
      <c r="B63" s="129">
        <v>0.3</v>
      </c>
    </row>
    <row r="64" spans="1:4" ht="15" x14ac:dyDescent="0.25">
      <c r="A64" s="11"/>
      <c r="B64" s="140" t="str">
        <f>IF(AND(B57&gt;0,(B61+B62+B63)=100%),B61+B62+B63,"ERRO")</f>
        <v>ERRO</v>
      </c>
    </row>
    <row r="65" spans="1:10" x14ac:dyDescent="0.2">
      <c r="A65" s="11"/>
    </row>
    <row r="66" spans="1:10" x14ac:dyDescent="0.2">
      <c r="A66" s="11"/>
    </row>
    <row r="67" spans="1:10" x14ac:dyDescent="0.2">
      <c r="A67" s="11"/>
    </row>
    <row r="68" spans="1:10" x14ac:dyDescent="0.2">
      <c r="A68" s="11"/>
    </row>
    <row r="69" spans="1:10" x14ac:dyDescent="0.2">
      <c r="A69" s="11"/>
    </row>
    <row r="70" spans="1:10" x14ac:dyDescent="0.2">
      <c r="A70" s="11"/>
    </row>
    <row r="72" spans="1:10" x14ac:dyDescent="0.2">
      <c r="A72" s="9" t="s">
        <v>55</v>
      </c>
      <c r="B72" s="1" t="s">
        <v>56</v>
      </c>
    </row>
    <row r="73" spans="1:10" x14ac:dyDescent="0.2">
      <c r="A73" s="9" t="s">
        <v>57</v>
      </c>
      <c r="B73" s="1" t="s">
        <v>19</v>
      </c>
    </row>
    <row r="74" spans="1:10" x14ac:dyDescent="0.2">
      <c r="A74" s="9" t="s">
        <v>58</v>
      </c>
    </row>
    <row r="75" spans="1:10" x14ac:dyDescent="0.2">
      <c r="A75" s="9" t="s">
        <v>59</v>
      </c>
      <c r="B75" s="1" t="s">
        <v>60</v>
      </c>
    </row>
    <row r="76" spans="1:10" s="5" customFormat="1" x14ac:dyDescent="0.2">
      <c r="A76" s="11" t="s">
        <v>61</v>
      </c>
      <c r="B76" s="1" t="s">
        <v>51</v>
      </c>
      <c r="C76" s="18"/>
      <c r="D76" s="18"/>
      <c r="E76" s="18"/>
      <c r="F76" s="1"/>
      <c r="G76" s="1"/>
      <c r="H76" s="1"/>
      <c r="I76" s="1"/>
      <c r="J76" s="1"/>
    </row>
    <row r="77" spans="1:10" s="5" customFormat="1" x14ac:dyDescent="0.2">
      <c r="A77" s="11" t="s">
        <v>62</v>
      </c>
      <c r="B77" s="1"/>
      <c r="C77" s="18"/>
      <c r="D77" s="18"/>
      <c r="E77" s="18"/>
      <c r="F77" s="1"/>
      <c r="G77" s="1"/>
      <c r="H77" s="1"/>
      <c r="I77" s="1"/>
      <c r="J77" s="1"/>
    </row>
    <row r="78" spans="1:10" s="5" customFormat="1" x14ac:dyDescent="0.2">
      <c r="A78" s="11"/>
      <c r="B78" s="1"/>
      <c r="C78" s="18"/>
      <c r="D78" s="18"/>
      <c r="E78" s="18"/>
      <c r="F78" s="1"/>
      <c r="G78" s="1"/>
      <c r="H78" s="1"/>
      <c r="I78" s="1"/>
      <c r="J78" s="1"/>
    </row>
    <row r="79" spans="1:10" s="5" customFormat="1" x14ac:dyDescent="0.2">
      <c r="A79" s="9" t="s">
        <v>63</v>
      </c>
      <c r="B79" s="1"/>
      <c r="C79" s="18"/>
      <c r="D79" s="18"/>
      <c r="E79" s="18"/>
      <c r="F79" s="1"/>
      <c r="G79" s="1"/>
      <c r="H79" s="1"/>
      <c r="I79" s="1"/>
      <c r="J79" s="1"/>
    </row>
    <row r="80" spans="1:10" s="5" customFormat="1" x14ac:dyDescent="0.2">
      <c r="A80" s="9" t="s">
        <v>64</v>
      </c>
      <c r="B80" s="1"/>
      <c r="C80" s="18"/>
      <c r="D80" s="18"/>
      <c r="E80" s="18"/>
      <c r="F80" s="1"/>
      <c r="G80" s="1"/>
      <c r="H80" s="1"/>
      <c r="I80" s="1"/>
      <c r="J80" s="1"/>
    </row>
    <row r="81" spans="1:10" s="5" customFormat="1" x14ac:dyDescent="0.2">
      <c r="A81" s="9" t="s">
        <v>65</v>
      </c>
      <c r="B81" s="1"/>
      <c r="C81" s="18"/>
      <c r="D81" s="18"/>
      <c r="E81" s="18"/>
      <c r="F81" s="1"/>
      <c r="G81" s="1"/>
      <c r="H81" s="1"/>
      <c r="I81" s="1"/>
      <c r="J81" s="1"/>
    </row>
    <row r="82" spans="1:10" s="5" customFormat="1" x14ac:dyDescent="0.2">
      <c r="A82" s="9" t="s">
        <v>59</v>
      </c>
      <c r="B82" s="1"/>
      <c r="C82" s="18"/>
      <c r="D82" s="18"/>
      <c r="E82" s="18"/>
      <c r="F82" s="1"/>
      <c r="G82" s="1"/>
      <c r="H82" s="1"/>
      <c r="I82" s="1"/>
      <c r="J82" s="1"/>
    </row>
    <row r="83" spans="1:10" s="5" customFormat="1" x14ac:dyDescent="0.2">
      <c r="A83" s="11" t="s">
        <v>66</v>
      </c>
      <c r="B83" s="1"/>
      <c r="C83" s="18"/>
      <c r="D83" s="18"/>
      <c r="E83" s="18"/>
      <c r="F83" s="1"/>
      <c r="G83" s="1"/>
      <c r="H83" s="1"/>
      <c r="I83" s="1"/>
      <c r="J83" s="1"/>
    </row>
    <row r="84" spans="1:10" s="5" customFormat="1" x14ac:dyDescent="0.2">
      <c r="A84" s="11" t="s">
        <v>67</v>
      </c>
      <c r="B84" s="1"/>
      <c r="C84" s="18"/>
      <c r="D84" s="18"/>
      <c r="E84" s="18"/>
      <c r="F84" s="1"/>
      <c r="G84" s="1"/>
      <c r="H84" s="1"/>
      <c r="I84" s="1"/>
      <c r="J84" s="1"/>
    </row>
  </sheetData>
  <mergeCells count="6">
    <mergeCell ref="A2:B2"/>
    <mergeCell ref="A22:D22"/>
    <mergeCell ref="A31:D31"/>
    <mergeCell ref="A44:C44"/>
    <mergeCell ref="A50:C50"/>
    <mergeCell ref="A8:B8"/>
  </mergeCells>
  <dataValidations count="2">
    <dataValidation type="list" allowBlank="1" showInputMessage="1" showErrorMessage="1" sqref="B16:E16">
      <formula1>$B$75:$B$76</formula1>
    </dataValidation>
    <dataValidation type="list" allowBlank="1" showInputMessage="1" showErrorMessage="1" sqref="B9:E9">
      <formula1>$B$72:$B$73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AP104"/>
  <sheetViews>
    <sheetView tabSelected="1" topLeftCell="AC1" workbookViewId="0">
      <selection activeCell="AH22" sqref="AH22"/>
    </sheetView>
  </sheetViews>
  <sheetFormatPr defaultRowHeight="12.75" x14ac:dyDescent="0.2"/>
  <cols>
    <col min="1" max="1" width="6.85546875" style="18" customWidth="1"/>
    <col min="2" max="2" width="7.85546875" style="18" customWidth="1"/>
    <col min="3" max="3" width="20.7109375" style="18" customWidth="1"/>
    <col min="4" max="4" width="9.5703125" style="5" customWidth="1"/>
    <col min="5" max="5" width="24.28515625" style="1" customWidth="1"/>
    <col min="6" max="6" width="7.42578125" style="1" customWidth="1"/>
    <col min="7" max="7" width="12.85546875" style="1" customWidth="1"/>
    <col min="8" max="9" width="13.28515625" style="1" customWidth="1"/>
    <col min="10" max="10" width="20.85546875" style="1" customWidth="1"/>
    <col min="11" max="18" width="11.7109375" style="1" customWidth="1"/>
    <col min="19" max="19" width="17.85546875" style="1" customWidth="1"/>
    <col min="20" max="20" width="18" style="1" customWidth="1"/>
    <col min="21" max="21" width="17.28515625" style="1" customWidth="1"/>
    <col min="22" max="22" width="16.140625" style="1" customWidth="1"/>
    <col min="23" max="23" width="11.140625" style="1" customWidth="1"/>
    <col min="24" max="24" width="11.7109375" style="1" customWidth="1"/>
    <col min="25" max="27" width="8.7109375" style="1" customWidth="1"/>
    <col min="28" max="34" width="11.7109375" style="1" customWidth="1"/>
    <col min="35" max="35" width="16" style="1" customWidth="1"/>
    <col min="36" max="36" width="12.140625" style="1" customWidth="1"/>
    <col min="37" max="37" width="13" style="1" customWidth="1"/>
    <col min="38" max="38" width="13.5703125" style="1" customWidth="1"/>
    <col min="39" max="40" width="11.7109375" style="1" customWidth="1"/>
    <col min="41" max="41" width="14.42578125" style="1" customWidth="1"/>
    <col min="42" max="42" width="9.7109375" style="1" customWidth="1"/>
    <col min="43" max="16384" width="9.140625" style="1"/>
  </cols>
  <sheetData>
    <row r="1" spans="1:42" ht="19.5" thickBot="1" x14ac:dyDescent="0.35">
      <c r="A1" s="109" t="s">
        <v>170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</row>
    <row r="2" spans="1:42" ht="15.75" thickBot="1" x14ac:dyDescent="0.3">
      <c r="A2" s="146" t="s">
        <v>171</v>
      </c>
      <c r="B2" s="147"/>
      <c r="C2" s="147"/>
      <c r="D2" s="147"/>
      <c r="E2" s="147"/>
      <c r="F2" s="148"/>
      <c r="G2" s="149" t="s">
        <v>172</v>
      </c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43" t="s">
        <v>173</v>
      </c>
      <c r="Z2" s="143"/>
      <c r="AA2" s="143"/>
      <c r="AB2" s="151" t="s">
        <v>174</v>
      </c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</row>
    <row r="3" spans="1:42" ht="15.75" thickBot="1" x14ac:dyDescent="0.3">
      <c r="A3" s="7"/>
      <c r="B3" s="7"/>
      <c r="C3" s="7"/>
      <c r="D3" s="7"/>
      <c r="E3" s="7"/>
      <c r="F3" s="7"/>
      <c r="G3" s="123" t="s">
        <v>20</v>
      </c>
      <c r="H3" s="152" t="s">
        <v>21</v>
      </c>
      <c r="I3" s="153"/>
      <c r="J3" s="153"/>
      <c r="K3" s="154"/>
      <c r="L3" s="152" t="s">
        <v>22</v>
      </c>
      <c r="M3" s="153"/>
      <c r="N3" s="154"/>
      <c r="O3" s="152" t="s">
        <v>176</v>
      </c>
      <c r="P3" s="153"/>
      <c r="Q3" s="153"/>
      <c r="R3" s="124" t="s">
        <v>29</v>
      </c>
      <c r="S3" s="155" t="s">
        <v>23</v>
      </c>
      <c r="T3" s="156"/>
      <c r="U3" s="156"/>
      <c r="V3" s="156"/>
      <c r="W3" s="157" t="s">
        <v>179</v>
      </c>
      <c r="X3" s="158"/>
      <c r="Y3" s="165" t="s">
        <v>180</v>
      </c>
      <c r="Z3" s="166"/>
      <c r="AA3" s="166"/>
      <c r="AB3" s="159" t="s">
        <v>36</v>
      </c>
      <c r="AC3" s="160"/>
      <c r="AD3" s="160"/>
      <c r="AE3" s="160"/>
      <c r="AF3" s="160"/>
      <c r="AG3" s="161"/>
      <c r="AH3" s="162" t="s">
        <v>37</v>
      </c>
      <c r="AI3" s="163"/>
      <c r="AJ3" s="162" t="s">
        <v>38</v>
      </c>
      <c r="AK3" s="164"/>
      <c r="AL3" s="111" t="s">
        <v>39</v>
      </c>
      <c r="AM3" s="159" t="s">
        <v>40</v>
      </c>
      <c r="AN3" s="160"/>
      <c r="AO3" s="160"/>
      <c r="AP3" s="111" t="s">
        <v>41</v>
      </c>
    </row>
    <row r="4" spans="1:42" ht="15.75" thickBot="1" x14ac:dyDescent="0.3">
      <c r="A4" s="7" t="s">
        <v>85</v>
      </c>
      <c r="B4" s="17" t="s">
        <v>92</v>
      </c>
      <c r="C4" s="17" t="s">
        <v>3</v>
      </c>
      <c r="D4" s="17" t="s">
        <v>93</v>
      </c>
      <c r="E4" s="17" t="s">
        <v>4</v>
      </c>
      <c r="F4" s="17" t="s">
        <v>94</v>
      </c>
      <c r="G4" s="110" t="s">
        <v>25</v>
      </c>
      <c r="H4" s="108" t="s">
        <v>26</v>
      </c>
      <c r="I4" s="108" t="s">
        <v>27</v>
      </c>
      <c r="J4" s="108" t="s">
        <v>28</v>
      </c>
      <c r="K4" s="108" t="s">
        <v>178</v>
      </c>
      <c r="L4" s="108" t="s">
        <v>30</v>
      </c>
      <c r="M4" s="108" t="s">
        <v>24</v>
      </c>
      <c r="N4" s="108" t="s">
        <v>31</v>
      </c>
      <c r="O4" s="108" t="s">
        <v>32</v>
      </c>
      <c r="P4" s="108" t="s">
        <v>33</v>
      </c>
      <c r="Q4" s="107" t="s">
        <v>175</v>
      </c>
      <c r="R4" s="125" t="s">
        <v>177</v>
      </c>
      <c r="S4" s="108" t="s">
        <v>181</v>
      </c>
      <c r="T4" s="110" t="s">
        <v>183</v>
      </c>
      <c r="U4" s="110" t="s">
        <v>182</v>
      </c>
      <c r="V4" s="110" t="s">
        <v>184</v>
      </c>
      <c r="W4" s="108" t="s">
        <v>34</v>
      </c>
      <c r="X4" s="107" t="s">
        <v>35</v>
      </c>
      <c r="Y4" s="20" t="s">
        <v>74</v>
      </c>
      <c r="Z4" s="20" t="s">
        <v>84</v>
      </c>
      <c r="AA4" s="20" t="s">
        <v>83</v>
      </c>
      <c r="AB4" s="112" t="s">
        <v>42</v>
      </c>
      <c r="AC4" s="112" t="s">
        <v>43</v>
      </c>
      <c r="AD4" s="112" t="s">
        <v>30</v>
      </c>
      <c r="AE4" s="112" t="s">
        <v>44</v>
      </c>
      <c r="AF4" s="112" t="s">
        <v>31</v>
      </c>
      <c r="AG4" s="112" t="s">
        <v>45</v>
      </c>
      <c r="AH4" s="112" t="s">
        <v>24</v>
      </c>
      <c r="AI4" s="112" t="s">
        <v>46</v>
      </c>
      <c r="AJ4" s="112" t="s">
        <v>24</v>
      </c>
      <c r="AK4" s="113" t="s">
        <v>46</v>
      </c>
      <c r="AL4" s="121" t="s">
        <v>47</v>
      </c>
      <c r="AM4" s="112" t="s">
        <v>48</v>
      </c>
      <c r="AN4" s="112" t="s">
        <v>24</v>
      </c>
      <c r="AO4" s="113" t="s">
        <v>46</v>
      </c>
      <c r="AP4" s="114" t="s">
        <v>49</v>
      </c>
    </row>
    <row r="5" spans="1:42" ht="15" x14ac:dyDescent="0.25">
      <c r="B5" s="24"/>
      <c r="C5" s="24"/>
      <c r="D5" s="24"/>
      <c r="E5" s="24"/>
      <c r="F5" s="24"/>
      <c r="G5" s="24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25"/>
      <c r="T5" s="25"/>
      <c r="U5" s="25"/>
      <c r="V5" s="25"/>
      <c r="W5" s="25"/>
      <c r="X5" s="25"/>
      <c r="Y5" s="25"/>
      <c r="Z5" s="25"/>
      <c r="AA5" s="25"/>
    </row>
    <row r="6" spans="1:42" ht="15" x14ac:dyDescent="0.25">
      <c r="A6" s="22">
        <v>1</v>
      </c>
      <c r="B6" s="26">
        <v>1</v>
      </c>
      <c r="C6" s="24" t="s">
        <v>6</v>
      </c>
      <c r="D6" s="26">
        <v>11</v>
      </c>
      <c r="E6" s="24" t="s">
        <v>7</v>
      </c>
      <c r="F6" s="24" t="s">
        <v>8</v>
      </c>
      <c r="G6" s="51">
        <v>41253</v>
      </c>
      <c r="H6" s="24"/>
      <c r="I6" s="25">
        <v>10</v>
      </c>
      <c r="J6" s="27">
        <v>1050</v>
      </c>
      <c r="K6" s="176">
        <v>10500</v>
      </c>
      <c r="L6" s="27">
        <v>1050</v>
      </c>
      <c r="M6" s="27">
        <v>1890</v>
      </c>
      <c r="N6" s="27">
        <v>10</v>
      </c>
      <c r="O6" s="27">
        <v>80</v>
      </c>
      <c r="P6" s="27">
        <v>75</v>
      </c>
      <c r="Q6" s="27">
        <v>0</v>
      </c>
      <c r="R6" s="176">
        <v>11705</v>
      </c>
      <c r="S6" s="27">
        <v>1950</v>
      </c>
      <c r="T6" s="176">
        <v>2000</v>
      </c>
      <c r="U6" s="27" t="s">
        <v>186</v>
      </c>
      <c r="V6" s="177">
        <f>IF(U6=$U$51,S6,T6)</f>
        <v>1950</v>
      </c>
      <c r="W6" s="28">
        <v>0.18</v>
      </c>
      <c r="X6" s="176">
        <v>351</v>
      </c>
      <c r="Y6" s="29">
        <v>30</v>
      </c>
      <c r="Z6" s="29">
        <v>30</v>
      </c>
      <c r="AA6" s="29">
        <v>30</v>
      </c>
      <c r="AB6" s="115">
        <f>J6</f>
        <v>1050</v>
      </c>
      <c r="AC6" s="116">
        <f>(O6+P6+Q6)/I6</f>
        <v>15.5</v>
      </c>
      <c r="AD6" s="115">
        <f>L6/I6</f>
        <v>105</v>
      </c>
      <c r="AE6" s="115">
        <f>M6/I6</f>
        <v>189</v>
      </c>
      <c r="AF6" s="115">
        <f>N6/I6</f>
        <v>1</v>
      </c>
      <c r="AG6" s="115">
        <f>AB6+AC6+AD6+AF6</f>
        <v>1171.5</v>
      </c>
      <c r="AH6" s="112" t="str">
        <f>IF(AF6&gt;0,"Não","Sim")</f>
        <v>Não</v>
      </c>
      <c r="AI6" s="112" t="str">
        <f>IF(Dados!$B$16=Dados!$B$76,"NC","CUMULATIVO")</f>
        <v>CUMULATIVO</v>
      </c>
      <c r="AJ6" s="117">
        <f>IF(AF6=0,AE6,0)</f>
        <v>0</v>
      </c>
      <c r="AK6" s="118">
        <f>IF(Dados!$B$16=Dados!$B$76,(Produtos!AG6-Produtos!AF6)*Dados!$B$17,0)</f>
        <v>0</v>
      </c>
      <c r="AL6" s="119">
        <f>AG6-AJ6-AK6</f>
        <v>1171.5</v>
      </c>
      <c r="AM6" s="116">
        <f>V6</f>
        <v>1950</v>
      </c>
      <c r="AN6" s="116">
        <f>IF(AH6="sim",AM6*W6,0)</f>
        <v>0</v>
      </c>
      <c r="AO6" s="120">
        <f>IF(Dados!$B$16=Dados!$B$76,Produtos!AM6*Dados!$B$18,Produtos!AM6*Dados!$B$19)</f>
        <v>71.174999999999997</v>
      </c>
      <c r="AP6" s="126">
        <f>Y6+Z6-AA6</f>
        <v>30</v>
      </c>
    </row>
    <row r="7" spans="1:42" ht="15" x14ac:dyDescent="0.25">
      <c r="A7" s="22">
        <v>2</v>
      </c>
      <c r="B7" s="26">
        <v>2</v>
      </c>
      <c r="C7" s="24" t="s">
        <v>11</v>
      </c>
      <c r="D7" s="26">
        <v>21</v>
      </c>
      <c r="E7" s="24" t="s">
        <v>12</v>
      </c>
      <c r="F7" s="24" t="s">
        <v>8</v>
      </c>
      <c r="G7" s="51">
        <v>41254</v>
      </c>
      <c r="H7" s="24"/>
      <c r="I7" s="25">
        <v>10</v>
      </c>
      <c r="J7" s="27">
        <v>1200</v>
      </c>
      <c r="K7" s="176">
        <v>12000</v>
      </c>
      <c r="L7" s="27">
        <v>1200</v>
      </c>
      <c r="M7" s="27">
        <v>2160</v>
      </c>
      <c r="N7" s="27">
        <v>200</v>
      </c>
      <c r="O7" s="27">
        <v>40</v>
      </c>
      <c r="P7" s="27">
        <v>35</v>
      </c>
      <c r="Q7" s="27">
        <v>20</v>
      </c>
      <c r="R7" s="176">
        <v>13495</v>
      </c>
      <c r="S7" s="27">
        <v>1749</v>
      </c>
      <c r="T7" s="176">
        <v>2000</v>
      </c>
      <c r="U7" s="27" t="s">
        <v>185</v>
      </c>
      <c r="V7" s="177">
        <f t="shared" ref="V7:V16" si="0">IF(U7=$U$51,S7,T7)</f>
        <v>2000</v>
      </c>
      <c r="W7" s="28">
        <v>0.18</v>
      </c>
      <c r="X7" s="176">
        <v>360</v>
      </c>
      <c r="Y7" s="29">
        <v>30</v>
      </c>
      <c r="Z7" s="29">
        <v>30</v>
      </c>
      <c r="AA7" s="29">
        <v>30</v>
      </c>
      <c r="AB7" s="115">
        <f t="shared" ref="AB7:AB16" si="1">J7</f>
        <v>1200</v>
      </c>
      <c r="AC7" s="116">
        <f t="shared" ref="AC7:AC16" si="2">(O7+P7+Q7)/I7</f>
        <v>9.5</v>
      </c>
      <c r="AD7" s="115">
        <f t="shared" ref="AD7:AD16" si="3">L7/I7</f>
        <v>120</v>
      </c>
      <c r="AE7" s="115">
        <f t="shared" ref="AE7:AE16" si="4">M7/I7</f>
        <v>216</v>
      </c>
      <c r="AF7" s="115">
        <f t="shared" ref="AF7:AF16" si="5">N7/I7</f>
        <v>20</v>
      </c>
      <c r="AG7" s="115">
        <f t="shared" ref="AG7:AG16" si="6">AB7+AC7+AD7+AF7</f>
        <v>1349.5</v>
      </c>
      <c r="AH7" s="112" t="str">
        <f t="shared" ref="AH7:AH16" si="7">IF(AF7&gt;0,"Não","Sim")</f>
        <v>Não</v>
      </c>
      <c r="AI7" s="112" t="str">
        <f>IF(Dados!$B$16=Dados!$B$76,"NC","CUMULATIVO")</f>
        <v>CUMULATIVO</v>
      </c>
      <c r="AJ7" s="117">
        <f t="shared" ref="AJ7:AJ16" si="8">IF(AF7=0,AE7,0)</f>
        <v>0</v>
      </c>
      <c r="AK7" s="118">
        <f>IF(Dados!$B$16=Dados!$B$76,(Produtos!AG7-Produtos!AF7)*Dados!$B$17,0)</f>
        <v>0</v>
      </c>
      <c r="AL7" s="119">
        <f t="shared" ref="AL7:AL16" si="9">AG7-AJ7-AK7</f>
        <v>1349.5</v>
      </c>
      <c r="AM7" s="116">
        <f t="shared" ref="AM7:AM16" si="10">V7</f>
        <v>2000</v>
      </c>
      <c r="AN7" s="116">
        <f t="shared" ref="AN7:AN16" si="11">IF(AH7="sim",AM7*W7,0)</f>
        <v>0</v>
      </c>
      <c r="AO7" s="120">
        <f>IF(Dados!$B$16=Dados!$B$76,Produtos!AM7*Dados!$B$18,Produtos!AM7*Dados!$B$19)</f>
        <v>73</v>
      </c>
      <c r="AP7" s="126">
        <f t="shared" ref="AP7:AP16" si="12">Y7+Z7-AA7</f>
        <v>30</v>
      </c>
    </row>
    <row r="8" spans="1:42" ht="15" x14ac:dyDescent="0.25">
      <c r="A8" s="22">
        <v>3</v>
      </c>
      <c r="B8" s="26">
        <v>3</v>
      </c>
      <c r="C8" s="24" t="s">
        <v>15</v>
      </c>
      <c r="D8" s="26">
        <v>31</v>
      </c>
      <c r="E8" s="24" t="s">
        <v>16</v>
      </c>
      <c r="F8" s="24" t="s">
        <v>8</v>
      </c>
      <c r="G8" s="51">
        <v>41255</v>
      </c>
      <c r="H8" s="24"/>
      <c r="I8" s="25">
        <v>10</v>
      </c>
      <c r="J8" s="27">
        <v>710</v>
      </c>
      <c r="K8" s="176">
        <v>7100</v>
      </c>
      <c r="L8" s="27">
        <v>710</v>
      </c>
      <c r="M8" s="27">
        <v>1278</v>
      </c>
      <c r="N8" s="27">
        <v>200</v>
      </c>
      <c r="O8" s="27">
        <v>28</v>
      </c>
      <c r="P8" s="27">
        <v>15</v>
      </c>
      <c r="Q8" s="27">
        <v>0</v>
      </c>
      <c r="R8" s="176">
        <v>8053</v>
      </c>
      <c r="S8" s="27">
        <v>1099</v>
      </c>
      <c r="T8" s="176">
        <v>2000</v>
      </c>
      <c r="U8" s="27" t="s">
        <v>186</v>
      </c>
      <c r="V8" s="177">
        <f t="shared" si="0"/>
        <v>1099</v>
      </c>
      <c r="W8" s="28">
        <v>0.18</v>
      </c>
      <c r="X8" s="176">
        <v>197.82</v>
      </c>
      <c r="Y8" s="29">
        <v>30</v>
      </c>
      <c r="Z8" s="29">
        <v>30</v>
      </c>
      <c r="AA8" s="29">
        <v>30</v>
      </c>
      <c r="AB8" s="115">
        <f t="shared" si="1"/>
        <v>710</v>
      </c>
      <c r="AC8" s="116">
        <f t="shared" si="2"/>
        <v>4.3</v>
      </c>
      <c r="AD8" s="115">
        <f t="shared" si="3"/>
        <v>71</v>
      </c>
      <c r="AE8" s="115">
        <f t="shared" si="4"/>
        <v>127.8</v>
      </c>
      <c r="AF8" s="115">
        <f t="shared" si="5"/>
        <v>20</v>
      </c>
      <c r="AG8" s="115">
        <f t="shared" si="6"/>
        <v>805.3</v>
      </c>
      <c r="AH8" s="112" t="str">
        <f t="shared" si="7"/>
        <v>Não</v>
      </c>
      <c r="AI8" s="112" t="str">
        <f>IF(Dados!$B$16=Dados!$B$76,"NC","CUMULATIVO")</f>
        <v>CUMULATIVO</v>
      </c>
      <c r="AJ8" s="117">
        <f t="shared" si="8"/>
        <v>0</v>
      </c>
      <c r="AK8" s="118">
        <f>IF(Dados!$B$16=Dados!$B$76,(Produtos!AG8-Produtos!AF8)*Dados!$B$17,0)</f>
        <v>0</v>
      </c>
      <c r="AL8" s="119">
        <f t="shared" si="9"/>
        <v>805.3</v>
      </c>
      <c r="AM8" s="116">
        <f t="shared" si="10"/>
        <v>1099</v>
      </c>
      <c r="AN8" s="116">
        <f t="shared" si="11"/>
        <v>0</v>
      </c>
      <c r="AO8" s="120">
        <f>IF(Dados!$B$16=Dados!$B$76,Produtos!AM8*Dados!$B$18,Produtos!AM8*Dados!$B$19)</f>
        <v>40.113499999999995</v>
      </c>
      <c r="AP8" s="126">
        <f t="shared" si="12"/>
        <v>30</v>
      </c>
    </row>
    <row r="9" spans="1:42" ht="15" x14ac:dyDescent="0.25">
      <c r="A9" s="22">
        <v>4</v>
      </c>
      <c r="B9" s="26">
        <v>3</v>
      </c>
      <c r="C9" s="24" t="s">
        <v>15</v>
      </c>
      <c r="D9" s="26">
        <v>32</v>
      </c>
      <c r="E9" s="24" t="s">
        <v>221</v>
      </c>
      <c r="F9" s="24" t="s">
        <v>8</v>
      </c>
      <c r="G9" s="51">
        <v>41256</v>
      </c>
      <c r="H9" s="24"/>
      <c r="I9" s="25">
        <v>10</v>
      </c>
      <c r="J9" s="27">
        <v>710</v>
      </c>
      <c r="K9" s="176">
        <v>7100</v>
      </c>
      <c r="L9" s="27">
        <v>710</v>
      </c>
      <c r="M9" s="27">
        <v>1278</v>
      </c>
      <c r="N9" s="27">
        <v>200</v>
      </c>
      <c r="O9" s="27">
        <v>28</v>
      </c>
      <c r="P9" s="27">
        <v>15</v>
      </c>
      <c r="Q9" s="27">
        <v>0</v>
      </c>
      <c r="R9" s="176">
        <v>8053</v>
      </c>
      <c r="S9" s="27">
        <v>1099</v>
      </c>
      <c r="T9" s="176">
        <v>2000</v>
      </c>
      <c r="U9" s="27" t="s">
        <v>186</v>
      </c>
      <c r="V9" s="177">
        <f t="shared" si="0"/>
        <v>1099</v>
      </c>
      <c r="W9" s="28">
        <v>0.18</v>
      </c>
      <c r="X9" s="176">
        <v>197.82</v>
      </c>
      <c r="Y9" s="29">
        <v>30</v>
      </c>
      <c r="Z9" s="29">
        <v>30</v>
      </c>
      <c r="AA9" s="29">
        <v>30</v>
      </c>
      <c r="AB9" s="115">
        <f t="shared" si="1"/>
        <v>710</v>
      </c>
      <c r="AC9" s="116">
        <f t="shared" si="2"/>
        <v>4.3</v>
      </c>
      <c r="AD9" s="115">
        <f t="shared" si="3"/>
        <v>71</v>
      </c>
      <c r="AE9" s="115">
        <f t="shared" si="4"/>
        <v>127.8</v>
      </c>
      <c r="AF9" s="115">
        <f t="shared" si="5"/>
        <v>20</v>
      </c>
      <c r="AG9" s="115">
        <f t="shared" si="6"/>
        <v>805.3</v>
      </c>
      <c r="AH9" s="112" t="str">
        <f t="shared" si="7"/>
        <v>Não</v>
      </c>
      <c r="AI9" s="112" t="str">
        <f>IF(Dados!$B$16=Dados!$B$76,"NC","CUMULATIVO")</f>
        <v>CUMULATIVO</v>
      </c>
      <c r="AJ9" s="117">
        <f t="shared" si="8"/>
        <v>0</v>
      </c>
      <c r="AK9" s="118">
        <f>IF(Dados!$B$16=Dados!$B$76,(Produtos!AG9-Produtos!AF9)*Dados!$B$17,0)</f>
        <v>0</v>
      </c>
      <c r="AL9" s="119">
        <f t="shared" si="9"/>
        <v>805.3</v>
      </c>
      <c r="AM9" s="116">
        <f t="shared" si="10"/>
        <v>1099</v>
      </c>
      <c r="AN9" s="116">
        <f t="shared" si="11"/>
        <v>0</v>
      </c>
      <c r="AO9" s="120">
        <f>IF(Dados!$B$16=Dados!$B$76,Produtos!AM9*Dados!$B$18,Produtos!AM9*Dados!$B$19)</f>
        <v>40.113499999999995</v>
      </c>
      <c r="AP9" s="126">
        <f t="shared" si="12"/>
        <v>30</v>
      </c>
    </row>
    <row r="10" spans="1:42" ht="15" x14ac:dyDescent="0.25">
      <c r="A10" s="22">
        <v>5</v>
      </c>
      <c r="B10" s="26">
        <v>3</v>
      </c>
      <c r="C10" s="24" t="s">
        <v>15</v>
      </c>
      <c r="D10" s="26">
        <v>33</v>
      </c>
      <c r="E10" s="24" t="s">
        <v>222</v>
      </c>
      <c r="F10" s="24" t="s">
        <v>8</v>
      </c>
      <c r="G10" s="51">
        <v>41257</v>
      </c>
      <c r="H10" s="24"/>
      <c r="I10" s="25">
        <v>10</v>
      </c>
      <c r="J10" s="27">
        <v>710</v>
      </c>
      <c r="K10" s="176">
        <v>7100</v>
      </c>
      <c r="L10" s="27">
        <v>710</v>
      </c>
      <c r="M10" s="27">
        <v>1278</v>
      </c>
      <c r="N10" s="27"/>
      <c r="O10" s="27">
        <v>28</v>
      </c>
      <c r="P10" s="27">
        <v>15</v>
      </c>
      <c r="Q10" s="27">
        <v>0</v>
      </c>
      <c r="R10" s="176">
        <v>7853</v>
      </c>
      <c r="S10" s="27">
        <v>1099</v>
      </c>
      <c r="T10" s="176">
        <v>2000</v>
      </c>
      <c r="U10" s="27" t="s">
        <v>186</v>
      </c>
      <c r="V10" s="177">
        <f t="shared" si="0"/>
        <v>1099</v>
      </c>
      <c r="W10" s="28">
        <v>0.18</v>
      </c>
      <c r="X10" s="176">
        <v>197.82</v>
      </c>
      <c r="Y10" s="29">
        <v>30</v>
      </c>
      <c r="Z10" s="29">
        <v>30</v>
      </c>
      <c r="AA10" s="29">
        <v>30</v>
      </c>
      <c r="AB10" s="115">
        <f t="shared" si="1"/>
        <v>710</v>
      </c>
      <c r="AC10" s="116">
        <f t="shared" si="2"/>
        <v>4.3</v>
      </c>
      <c r="AD10" s="115">
        <f t="shared" si="3"/>
        <v>71</v>
      </c>
      <c r="AE10" s="115">
        <f t="shared" si="4"/>
        <v>127.8</v>
      </c>
      <c r="AF10" s="115">
        <f t="shared" si="5"/>
        <v>0</v>
      </c>
      <c r="AG10" s="115">
        <f t="shared" si="6"/>
        <v>785.3</v>
      </c>
      <c r="AH10" s="112" t="str">
        <f t="shared" si="7"/>
        <v>Sim</v>
      </c>
      <c r="AI10" s="112" t="str">
        <f>IF(Dados!$B$16=Dados!$B$76,"NC","CUMULATIVO")</f>
        <v>CUMULATIVO</v>
      </c>
      <c r="AJ10" s="117">
        <f t="shared" si="8"/>
        <v>127.8</v>
      </c>
      <c r="AK10" s="118">
        <f>IF(Dados!$B$16=Dados!$B$76,(Produtos!AG10-Produtos!AF10)*Dados!$B$17,0)</f>
        <v>0</v>
      </c>
      <c r="AL10" s="119">
        <f t="shared" si="9"/>
        <v>657.5</v>
      </c>
      <c r="AM10" s="116">
        <f t="shared" si="10"/>
        <v>1099</v>
      </c>
      <c r="AN10" s="116">
        <f t="shared" si="11"/>
        <v>197.82</v>
      </c>
      <c r="AO10" s="120">
        <f>IF(Dados!$B$16=Dados!$B$76,Produtos!AM10*Dados!$B$18,Produtos!AM10*Dados!$B$19)</f>
        <v>40.113499999999995</v>
      </c>
      <c r="AP10" s="126">
        <f t="shared" si="12"/>
        <v>30</v>
      </c>
    </row>
    <row r="11" spans="1:42" ht="15" x14ac:dyDescent="0.25">
      <c r="A11" s="22">
        <v>6</v>
      </c>
      <c r="B11" s="26">
        <v>3</v>
      </c>
      <c r="C11" s="24" t="s">
        <v>15</v>
      </c>
      <c r="D11" s="26">
        <v>34</v>
      </c>
      <c r="E11" s="24" t="s">
        <v>223</v>
      </c>
      <c r="F11" s="24" t="s">
        <v>8</v>
      </c>
      <c r="G11" s="51">
        <v>41258</v>
      </c>
      <c r="H11" s="24"/>
      <c r="I11" s="25">
        <v>10</v>
      </c>
      <c r="J11" s="27">
        <v>710</v>
      </c>
      <c r="K11" s="176">
        <v>7100</v>
      </c>
      <c r="L11" s="27">
        <v>710</v>
      </c>
      <c r="M11" s="27">
        <v>1278</v>
      </c>
      <c r="N11" s="27">
        <v>200</v>
      </c>
      <c r="O11" s="27">
        <v>28</v>
      </c>
      <c r="P11" s="27">
        <v>15</v>
      </c>
      <c r="Q11" s="27">
        <v>0</v>
      </c>
      <c r="R11" s="176">
        <v>8053</v>
      </c>
      <c r="S11" s="27">
        <v>1099</v>
      </c>
      <c r="T11" s="176">
        <v>2000</v>
      </c>
      <c r="U11" s="27" t="s">
        <v>186</v>
      </c>
      <c r="V11" s="177">
        <f t="shared" si="0"/>
        <v>1099</v>
      </c>
      <c r="W11" s="28">
        <v>0.18</v>
      </c>
      <c r="X11" s="176">
        <v>197.82</v>
      </c>
      <c r="Y11" s="29">
        <v>30</v>
      </c>
      <c r="Z11" s="29">
        <v>30</v>
      </c>
      <c r="AA11" s="29">
        <v>30</v>
      </c>
      <c r="AB11" s="115">
        <f t="shared" si="1"/>
        <v>710</v>
      </c>
      <c r="AC11" s="116">
        <f t="shared" si="2"/>
        <v>4.3</v>
      </c>
      <c r="AD11" s="115">
        <f t="shared" si="3"/>
        <v>71</v>
      </c>
      <c r="AE11" s="115">
        <f t="shared" si="4"/>
        <v>127.8</v>
      </c>
      <c r="AF11" s="115">
        <f t="shared" si="5"/>
        <v>20</v>
      </c>
      <c r="AG11" s="115">
        <f t="shared" si="6"/>
        <v>805.3</v>
      </c>
      <c r="AH11" s="112" t="str">
        <f t="shared" si="7"/>
        <v>Não</v>
      </c>
      <c r="AI11" s="112" t="str">
        <f>IF(Dados!$B$16=Dados!$B$76,"NC","CUMULATIVO")</f>
        <v>CUMULATIVO</v>
      </c>
      <c r="AJ11" s="117">
        <f t="shared" si="8"/>
        <v>0</v>
      </c>
      <c r="AK11" s="118">
        <f>IF(Dados!$B$16=Dados!$B$76,(Produtos!AG11-Produtos!AF11)*Dados!$B$17,0)</f>
        <v>0</v>
      </c>
      <c r="AL11" s="119">
        <f t="shared" si="9"/>
        <v>805.3</v>
      </c>
      <c r="AM11" s="116">
        <f t="shared" si="10"/>
        <v>1099</v>
      </c>
      <c r="AN11" s="116">
        <f t="shared" si="11"/>
        <v>0</v>
      </c>
      <c r="AO11" s="120">
        <f>IF(Dados!$B$16=Dados!$B$76,Produtos!AM11*Dados!$B$18,Produtos!AM11*Dados!$B$19)</f>
        <v>40.113499999999995</v>
      </c>
      <c r="AP11" s="126">
        <f t="shared" si="12"/>
        <v>30</v>
      </c>
    </row>
    <row r="12" spans="1:42" ht="15" x14ac:dyDescent="0.25">
      <c r="A12" s="22">
        <v>7</v>
      </c>
      <c r="B12" s="26">
        <v>3</v>
      </c>
      <c r="C12" s="24" t="s">
        <v>15</v>
      </c>
      <c r="D12" s="26">
        <v>35</v>
      </c>
      <c r="E12" s="24" t="s">
        <v>224</v>
      </c>
      <c r="F12" s="24" t="s">
        <v>8</v>
      </c>
      <c r="G12" s="51">
        <v>41259</v>
      </c>
      <c r="H12" s="24"/>
      <c r="I12" s="25">
        <v>10</v>
      </c>
      <c r="J12" s="27">
        <v>710</v>
      </c>
      <c r="K12" s="176">
        <v>7100</v>
      </c>
      <c r="L12" s="27">
        <v>710</v>
      </c>
      <c r="M12" s="27">
        <v>1278</v>
      </c>
      <c r="N12" s="27">
        <v>200</v>
      </c>
      <c r="O12" s="27">
        <v>28</v>
      </c>
      <c r="P12" s="27">
        <v>15</v>
      </c>
      <c r="Q12" s="27">
        <v>0</v>
      </c>
      <c r="R12" s="176">
        <v>8053</v>
      </c>
      <c r="S12" s="27">
        <v>1099</v>
      </c>
      <c r="T12" s="176">
        <v>2000</v>
      </c>
      <c r="U12" s="27" t="s">
        <v>186</v>
      </c>
      <c r="V12" s="177">
        <f t="shared" si="0"/>
        <v>1099</v>
      </c>
      <c r="W12" s="28">
        <v>0.18</v>
      </c>
      <c r="X12" s="176">
        <v>197.82</v>
      </c>
      <c r="Y12" s="29">
        <v>30</v>
      </c>
      <c r="Z12" s="29">
        <v>30</v>
      </c>
      <c r="AA12" s="29">
        <v>30</v>
      </c>
      <c r="AB12" s="115">
        <f t="shared" si="1"/>
        <v>710</v>
      </c>
      <c r="AC12" s="116">
        <f t="shared" si="2"/>
        <v>4.3</v>
      </c>
      <c r="AD12" s="115">
        <f t="shared" si="3"/>
        <v>71</v>
      </c>
      <c r="AE12" s="115">
        <f t="shared" si="4"/>
        <v>127.8</v>
      </c>
      <c r="AF12" s="115">
        <f t="shared" si="5"/>
        <v>20</v>
      </c>
      <c r="AG12" s="115">
        <f t="shared" si="6"/>
        <v>805.3</v>
      </c>
      <c r="AH12" s="112" t="str">
        <f t="shared" si="7"/>
        <v>Não</v>
      </c>
      <c r="AI12" s="112" t="str">
        <f>IF(Dados!$B$16=Dados!$B$76,"NC","CUMULATIVO")</f>
        <v>CUMULATIVO</v>
      </c>
      <c r="AJ12" s="117">
        <f t="shared" si="8"/>
        <v>0</v>
      </c>
      <c r="AK12" s="118">
        <f>IF(Dados!$B$16=Dados!$B$76,(Produtos!AG12-Produtos!AF12)*Dados!$B$17,0)</f>
        <v>0</v>
      </c>
      <c r="AL12" s="119">
        <f t="shared" si="9"/>
        <v>805.3</v>
      </c>
      <c r="AM12" s="116">
        <f t="shared" si="10"/>
        <v>1099</v>
      </c>
      <c r="AN12" s="116">
        <f t="shared" si="11"/>
        <v>0</v>
      </c>
      <c r="AO12" s="120">
        <f>IF(Dados!$B$16=Dados!$B$76,Produtos!AM12*Dados!$B$18,Produtos!AM12*Dados!$B$19)</f>
        <v>40.113499999999995</v>
      </c>
      <c r="AP12" s="126">
        <f t="shared" si="12"/>
        <v>30</v>
      </c>
    </row>
    <row r="13" spans="1:42" ht="15" x14ac:dyDescent="0.25">
      <c r="A13" s="22">
        <v>8</v>
      </c>
      <c r="B13" s="26">
        <v>3</v>
      </c>
      <c r="C13" s="24" t="s">
        <v>15</v>
      </c>
      <c r="D13" s="26">
        <v>36</v>
      </c>
      <c r="E13" s="24" t="s">
        <v>225</v>
      </c>
      <c r="F13" s="24" t="s">
        <v>8</v>
      </c>
      <c r="G13" s="51">
        <v>41260</v>
      </c>
      <c r="H13" s="24"/>
      <c r="I13" s="25">
        <v>10</v>
      </c>
      <c r="J13" s="27">
        <v>710</v>
      </c>
      <c r="K13" s="176">
        <v>7100</v>
      </c>
      <c r="L13" s="27">
        <v>710</v>
      </c>
      <c r="M13" s="27">
        <v>1278</v>
      </c>
      <c r="N13" s="27">
        <v>200</v>
      </c>
      <c r="O13" s="27">
        <v>28</v>
      </c>
      <c r="P13" s="27">
        <v>15</v>
      </c>
      <c r="Q13" s="27">
        <v>0</v>
      </c>
      <c r="R13" s="176">
        <v>8053</v>
      </c>
      <c r="S13" s="27">
        <v>1099</v>
      </c>
      <c r="T13" s="176">
        <v>2000</v>
      </c>
      <c r="U13" s="27" t="s">
        <v>186</v>
      </c>
      <c r="V13" s="177">
        <f t="shared" si="0"/>
        <v>1099</v>
      </c>
      <c r="W13" s="28">
        <v>0.18</v>
      </c>
      <c r="X13" s="176">
        <v>197.82</v>
      </c>
      <c r="Y13" s="29">
        <v>30</v>
      </c>
      <c r="Z13" s="29">
        <v>30</v>
      </c>
      <c r="AA13" s="29">
        <v>30</v>
      </c>
      <c r="AB13" s="115">
        <f t="shared" si="1"/>
        <v>710</v>
      </c>
      <c r="AC13" s="116">
        <f t="shared" si="2"/>
        <v>4.3</v>
      </c>
      <c r="AD13" s="115">
        <f t="shared" si="3"/>
        <v>71</v>
      </c>
      <c r="AE13" s="115">
        <f t="shared" si="4"/>
        <v>127.8</v>
      </c>
      <c r="AF13" s="115">
        <f t="shared" si="5"/>
        <v>20</v>
      </c>
      <c r="AG13" s="115">
        <f t="shared" si="6"/>
        <v>805.3</v>
      </c>
      <c r="AH13" s="112" t="str">
        <f t="shared" si="7"/>
        <v>Não</v>
      </c>
      <c r="AI13" s="112" t="str">
        <f>IF(Dados!$B$16=Dados!$B$76,"NC","CUMULATIVO")</f>
        <v>CUMULATIVO</v>
      </c>
      <c r="AJ13" s="117">
        <f t="shared" si="8"/>
        <v>0</v>
      </c>
      <c r="AK13" s="118">
        <f>IF(Dados!$B$16=Dados!$B$76,(Produtos!AG13-Produtos!AF13)*Dados!$B$17,0)</f>
        <v>0</v>
      </c>
      <c r="AL13" s="119">
        <f t="shared" si="9"/>
        <v>805.3</v>
      </c>
      <c r="AM13" s="116">
        <f t="shared" si="10"/>
        <v>1099</v>
      </c>
      <c r="AN13" s="116">
        <f t="shared" si="11"/>
        <v>0</v>
      </c>
      <c r="AO13" s="120">
        <f>IF(Dados!$B$16=Dados!$B$76,Produtos!AM13*Dados!$B$18,Produtos!AM13*Dados!$B$19)</f>
        <v>40.113499999999995</v>
      </c>
      <c r="AP13" s="126">
        <f t="shared" si="12"/>
        <v>30</v>
      </c>
    </row>
    <row r="14" spans="1:42" ht="15" x14ac:dyDescent="0.25">
      <c r="A14" s="22">
        <v>9</v>
      </c>
      <c r="B14" s="26">
        <v>3</v>
      </c>
      <c r="C14" s="24" t="s">
        <v>15</v>
      </c>
      <c r="D14" s="26">
        <v>37</v>
      </c>
      <c r="E14" s="24" t="s">
        <v>226</v>
      </c>
      <c r="F14" s="24" t="s">
        <v>8</v>
      </c>
      <c r="G14" s="51">
        <v>41261</v>
      </c>
      <c r="H14" s="24"/>
      <c r="I14" s="25">
        <v>10</v>
      </c>
      <c r="J14" s="27">
        <v>710</v>
      </c>
      <c r="K14" s="176">
        <v>7100</v>
      </c>
      <c r="L14" s="27">
        <v>710</v>
      </c>
      <c r="M14" s="27">
        <v>1278</v>
      </c>
      <c r="N14" s="27">
        <v>200</v>
      </c>
      <c r="O14" s="27">
        <v>28</v>
      </c>
      <c r="P14" s="27">
        <v>15</v>
      </c>
      <c r="Q14" s="27">
        <v>0</v>
      </c>
      <c r="R14" s="176">
        <v>8053</v>
      </c>
      <c r="S14" s="27">
        <v>1099</v>
      </c>
      <c r="T14" s="176">
        <v>2000</v>
      </c>
      <c r="U14" s="27" t="s">
        <v>186</v>
      </c>
      <c r="V14" s="177">
        <f t="shared" si="0"/>
        <v>1099</v>
      </c>
      <c r="W14" s="28">
        <v>0.18</v>
      </c>
      <c r="X14" s="176">
        <v>197.82</v>
      </c>
      <c r="Y14" s="29">
        <v>30</v>
      </c>
      <c r="Z14" s="29">
        <v>30</v>
      </c>
      <c r="AA14" s="29">
        <v>30</v>
      </c>
      <c r="AB14" s="115">
        <f t="shared" si="1"/>
        <v>710</v>
      </c>
      <c r="AC14" s="116">
        <f t="shared" si="2"/>
        <v>4.3</v>
      </c>
      <c r="AD14" s="115">
        <f t="shared" si="3"/>
        <v>71</v>
      </c>
      <c r="AE14" s="115">
        <f t="shared" si="4"/>
        <v>127.8</v>
      </c>
      <c r="AF14" s="115">
        <f t="shared" si="5"/>
        <v>20</v>
      </c>
      <c r="AG14" s="115">
        <f t="shared" si="6"/>
        <v>805.3</v>
      </c>
      <c r="AH14" s="112" t="str">
        <f t="shared" si="7"/>
        <v>Não</v>
      </c>
      <c r="AI14" s="112" t="str">
        <f>IF(Dados!$B$16=Dados!$B$76,"NC","CUMULATIVO")</f>
        <v>CUMULATIVO</v>
      </c>
      <c r="AJ14" s="117">
        <f t="shared" si="8"/>
        <v>0</v>
      </c>
      <c r="AK14" s="118">
        <f>IF(Dados!$B$16=Dados!$B$76,(Produtos!AG14-Produtos!AF14)*Dados!$B$17,0)</f>
        <v>0</v>
      </c>
      <c r="AL14" s="119">
        <f t="shared" si="9"/>
        <v>805.3</v>
      </c>
      <c r="AM14" s="116">
        <f t="shared" si="10"/>
        <v>1099</v>
      </c>
      <c r="AN14" s="116">
        <f t="shared" si="11"/>
        <v>0</v>
      </c>
      <c r="AO14" s="120">
        <f>IF(Dados!$B$16=Dados!$B$76,Produtos!AM14*Dados!$B$18,Produtos!AM14*Dados!$B$19)</f>
        <v>40.113499999999995</v>
      </c>
      <c r="AP14" s="126">
        <f t="shared" si="12"/>
        <v>30</v>
      </c>
    </row>
    <row r="15" spans="1:42" ht="15" x14ac:dyDescent="0.25">
      <c r="A15" s="22">
        <v>10</v>
      </c>
      <c r="B15" s="26">
        <v>3</v>
      </c>
      <c r="C15" s="24" t="s">
        <v>15</v>
      </c>
      <c r="D15" s="26">
        <v>38</v>
      </c>
      <c r="E15" s="24" t="s">
        <v>227</v>
      </c>
      <c r="F15" s="24" t="s">
        <v>8</v>
      </c>
      <c r="G15" s="51">
        <v>41262</v>
      </c>
      <c r="H15" s="24"/>
      <c r="I15" s="25">
        <v>10</v>
      </c>
      <c r="J15" s="27">
        <v>710</v>
      </c>
      <c r="K15" s="176">
        <v>7100</v>
      </c>
      <c r="L15" s="27">
        <v>710</v>
      </c>
      <c r="M15" s="27">
        <v>1278</v>
      </c>
      <c r="N15" s="27">
        <v>200</v>
      </c>
      <c r="O15" s="27">
        <v>28</v>
      </c>
      <c r="P15" s="27">
        <v>15</v>
      </c>
      <c r="Q15" s="27">
        <v>0</v>
      </c>
      <c r="R15" s="176">
        <v>8053</v>
      </c>
      <c r="S15" s="27">
        <v>1099</v>
      </c>
      <c r="T15" s="176">
        <v>2000</v>
      </c>
      <c r="U15" s="27" t="s">
        <v>186</v>
      </c>
      <c r="V15" s="177">
        <f t="shared" si="0"/>
        <v>1099</v>
      </c>
      <c r="W15" s="28">
        <v>0.18</v>
      </c>
      <c r="X15" s="176">
        <v>197.82</v>
      </c>
      <c r="Y15" s="29">
        <v>30</v>
      </c>
      <c r="Z15" s="29">
        <v>30</v>
      </c>
      <c r="AA15" s="29">
        <v>30</v>
      </c>
      <c r="AB15" s="115">
        <f t="shared" si="1"/>
        <v>710</v>
      </c>
      <c r="AC15" s="116">
        <f t="shared" si="2"/>
        <v>4.3</v>
      </c>
      <c r="AD15" s="115">
        <f t="shared" si="3"/>
        <v>71</v>
      </c>
      <c r="AE15" s="115">
        <f t="shared" si="4"/>
        <v>127.8</v>
      </c>
      <c r="AF15" s="115">
        <f t="shared" si="5"/>
        <v>20</v>
      </c>
      <c r="AG15" s="115">
        <f t="shared" si="6"/>
        <v>805.3</v>
      </c>
      <c r="AH15" s="112" t="str">
        <f t="shared" si="7"/>
        <v>Não</v>
      </c>
      <c r="AI15" s="112" t="str">
        <f>IF(Dados!$B$16=Dados!$B$76,"NC","CUMULATIVO")</f>
        <v>CUMULATIVO</v>
      </c>
      <c r="AJ15" s="117">
        <f t="shared" si="8"/>
        <v>0</v>
      </c>
      <c r="AK15" s="118">
        <f>IF(Dados!$B$16=Dados!$B$76,(Produtos!AG15-Produtos!AF15)*Dados!$B$17,0)</f>
        <v>0</v>
      </c>
      <c r="AL15" s="119">
        <f t="shared" si="9"/>
        <v>805.3</v>
      </c>
      <c r="AM15" s="116">
        <f t="shared" si="10"/>
        <v>1099</v>
      </c>
      <c r="AN15" s="116">
        <f t="shared" si="11"/>
        <v>0</v>
      </c>
      <c r="AO15" s="120">
        <f>IF(Dados!$B$16=Dados!$B$76,Produtos!AM15*Dados!$B$18,Produtos!AM15*Dados!$B$19)</f>
        <v>40.113499999999995</v>
      </c>
      <c r="AP15" s="126">
        <f t="shared" si="12"/>
        <v>30</v>
      </c>
    </row>
    <row r="16" spans="1:42" ht="15" x14ac:dyDescent="0.25">
      <c r="A16" s="22">
        <v>11</v>
      </c>
      <c r="B16" s="26">
        <v>3</v>
      </c>
      <c r="C16" s="24" t="s">
        <v>15</v>
      </c>
      <c r="D16" s="26">
        <v>39</v>
      </c>
      <c r="E16" s="24" t="s">
        <v>228</v>
      </c>
      <c r="F16" s="24" t="s">
        <v>8</v>
      </c>
      <c r="G16" s="51">
        <v>41263</v>
      </c>
      <c r="H16" s="24"/>
      <c r="I16" s="25">
        <v>10</v>
      </c>
      <c r="J16" s="27">
        <v>710</v>
      </c>
      <c r="K16" s="176">
        <v>7100</v>
      </c>
      <c r="L16" s="27">
        <v>710</v>
      </c>
      <c r="M16" s="27">
        <v>1278</v>
      </c>
      <c r="N16" s="27">
        <v>200</v>
      </c>
      <c r="O16" s="27">
        <v>28</v>
      </c>
      <c r="P16" s="27">
        <v>15</v>
      </c>
      <c r="Q16" s="27">
        <v>0</v>
      </c>
      <c r="R16" s="176">
        <v>8053</v>
      </c>
      <c r="S16" s="27">
        <v>1099</v>
      </c>
      <c r="T16" s="176">
        <v>2000</v>
      </c>
      <c r="U16" s="27" t="s">
        <v>186</v>
      </c>
      <c r="V16" s="177">
        <f t="shared" si="0"/>
        <v>1099</v>
      </c>
      <c r="W16" s="28">
        <v>0.18</v>
      </c>
      <c r="X16" s="176">
        <v>197.82</v>
      </c>
      <c r="Y16" s="29">
        <v>30</v>
      </c>
      <c r="Z16" s="29">
        <v>30</v>
      </c>
      <c r="AA16" s="29">
        <v>30</v>
      </c>
      <c r="AB16" s="115">
        <f t="shared" si="1"/>
        <v>710</v>
      </c>
      <c r="AC16" s="116">
        <f t="shared" si="2"/>
        <v>4.3</v>
      </c>
      <c r="AD16" s="115">
        <f t="shared" si="3"/>
        <v>71</v>
      </c>
      <c r="AE16" s="115">
        <f t="shared" si="4"/>
        <v>127.8</v>
      </c>
      <c r="AF16" s="115">
        <f t="shared" si="5"/>
        <v>20</v>
      </c>
      <c r="AG16" s="115">
        <f t="shared" si="6"/>
        <v>805.3</v>
      </c>
      <c r="AH16" s="112" t="str">
        <f t="shared" si="7"/>
        <v>Não</v>
      </c>
      <c r="AI16" s="112" t="str">
        <f>IF(Dados!$B$16=Dados!$B$76,"NC","CUMULATIVO")</f>
        <v>CUMULATIVO</v>
      </c>
      <c r="AJ16" s="117">
        <f t="shared" si="8"/>
        <v>0</v>
      </c>
      <c r="AK16" s="118">
        <f>IF(Dados!$B$16=Dados!$B$76,(Produtos!AG16-Produtos!AF16)*Dados!$B$17,0)</f>
        <v>0</v>
      </c>
      <c r="AL16" s="119">
        <f t="shared" si="9"/>
        <v>805.3</v>
      </c>
      <c r="AM16" s="116">
        <f t="shared" si="10"/>
        <v>1099</v>
      </c>
      <c r="AN16" s="116">
        <f t="shared" si="11"/>
        <v>0</v>
      </c>
      <c r="AO16" s="120">
        <f>IF(Dados!$B$16=Dados!$B$76,Produtos!AM16*Dados!$B$18,Produtos!AM16*Dados!$B$19)</f>
        <v>40.113499999999995</v>
      </c>
      <c r="AP16" s="126">
        <f t="shared" si="12"/>
        <v>30</v>
      </c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1:21" x14ac:dyDescent="0.2">
      <c r="D49" s="1"/>
    </row>
    <row r="50" spans="1:21" x14ac:dyDescent="0.2">
      <c r="D50" s="1"/>
    </row>
    <row r="51" spans="1:21" x14ac:dyDescent="0.2">
      <c r="D51" s="1"/>
      <c r="U51" s="9" t="s">
        <v>186</v>
      </c>
    </row>
    <row r="52" spans="1:21" x14ac:dyDescent="0.2">
      <c r="U52" s="9" t="s">
        <v>185</v>
      </c>
    </row>
    <row r="54" spans="1:21" ht="15" customHeight="1" x14ac:dyDescent="0.2"/>
    <row r="56" spans="1:21" x14ac:dyDescent="0.2">
      <c r="A56" s="1"/>
      <c r="B56" s="1"/>
      <c r="C56" s="1"/>
      <c r="D56" s="1"/>
    </row>
    <row r="57" spans="1:21" x14ac:dyDescent="0.2">
      <c r="A57" s="1"/>
      <c r="B57" s="1"/>
      <c r="C57" s="1"/>
      <c r="D57" s="1"/>
    </row>
    <row r="58" spans="1:21" x14ac:dyDescent="0.2">
      <c r="D58" s="18"/>
    </row>
    <row r="62" spans="1:21" x14ac:dyDescent="0.2">
      <c r="C62" s="1"/>
      <c r="D62" s="1"/>
    </row>
    <row r="63" spans="1:21" ht="15" x14ac:dyDescent="0.25">
      <c r="C63"/>
      <c r="D63"/>
    </row>
    <row r="64" spans="1:21" x14ac:dyDescent="0.2">
      <c r="C64" s="1"/>
      <c r="D64" s="1"/>
    </row>
    <row r="65" spans="3:4" x14ac:dyDescent="0.2">
      <c r="C65" s="1"/>
      <c r="D65" s="1"/>
    </row>
    <row r="66" spans="3:4" x14ac:dyDescent="0.2">
      <c r="C66" s="1"/>
      <c r="D66" s="1"/>
    </row>
    <row r="67" spans="3:4" x14ac:dyDescent="0.2">
      <c r="C67" s="1"/>
      <c r="D67" s="1"/>
    </row>
    <row r="68" spans="3:4" x14ac:dyDescent="0.2">
      <c r="C68" s="1"/>
      <c r="D68" s="1"/>
    </row>
    <row r="69" spans="3:4" x14ac:dyDescent="0.2">
      <c r="C69" s="1"/>
      <c r="D69" s="1"/>
    </row>
    <row r="70" spans="3:4" x14ac:dyDescent="0.2">
      <c r="C70" s="1"/>
      <c r="D70" s="1"/>
    </row>
    <row r="71" spans="3:4" x14ac:dyDescent="0.2">
      <c r="C71" s="1"/>
      <c r="D71" s="1"/>
    </row>
    <row r="72" spans="3:4" x14ac:dyDescent="0.2">
      <c r="D72" s="1"/>
    </row>
    <row r="73" spans="3:4" x14ac:dyDescent="0.2">
      <c r="D73" s="1"/>
    </row>
    <row r="74" spans="3:4" x14ac:dyDescent="0.2">
      <c r="D74" s="1"/>
    </row>
    <row r="75" spans="3:4" x14ac:dyDescent="0.2">
      <c r="D75" s="1"/>
    </row>
    <row r="76" spans="3:4" x14ac:dyDescent="0.2">
      <c r="D76" s="1"/>
    </row>
    <row r="77" spans="3:4" x14ac:dyDescent="0.2">
      <c r="D77" s="1"/>
    </row>
    <row r="78" spans="3:4" x14ac:dyDescent="0.2">
      <c r="D78" s="1"/>
    </row>
    <row r="79" spans="3:4" x14ac:dyDescent="0.2">
      <c r="D79" s="1"/>
    </row>
    <row r="80" spans="3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1:36" x14ac:dyDescent="0.2">
      <c r="D97" s="1"/>
    </row>
    <row r="98" spans="1:36" x14ac:dyDescent="0.2">
      <c r="D98" s="1"/>
    </row>
    <row r="99" spans="1:36" x14ac:dyDescent="0.2">
      <c r="D99" s="1"/>
    </row>
    <row r="100" spans="1:36" x14ac:dyDescent="0.2">
      <c r="D100" s="1"/>
    </row>
    <row r="101" spans="1:36" x14ac:dyDescent="0.2">
      <c r="D101" s="1"/>
    </row>
    <row r="102" spans="1:36" x14ac:dyDescent="0.2">
      <c r="D102" s="1"/>
    </row>
    <row r="103" spans="1:36" s="5" customFormat="1" x14ac:dyDescent="0.2">
      <c r="A103" s="18"/>
      <c r="B103" s="18"/>
      <c r="C103" s="1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s="5" customFormat="1" x14ac:dyDescent="0.2">
      <c r="A104" s="18"/>
      <c r="B104" s="18"/>
      <c r="C104" s="1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</sheetData>
  <autoFilter ref="A5:AP5"/>
  <mergeCells count="14">
    <mergeCell ref="A2:F2"/>
    <mergeCell ref="G2:X2"/>
    <mergeCell ref="AB2:AP2"/>
    <mergeCell ref="H3:K3"/>
    <mergeCell ref="L3:N3"/>
    <mergeCell ref="O3:Q3"/>
    <mergeCell ref="S3:V3"/>
    <mergeCell ref="W3:X3"/>
    <mergeCell ref="AB3:AG3"/>
    <mergeCell ref="AH3:AI3"/>
    <mergeCell ref="AJ3:AK3"/>
    <mergeCell ref="AM3:AO3"/>
    <mergeCell ref="Y2:AA2"/>
    <mergeCell ref="Y3:AA3"/>
  </mergeCells>
  <dataValidations count="1">
    <dataValidation type="list" allowBlank="1" showInputMessage="1" showErrorMessage="1" sqref="U6:U16">
      <formula1>$U$51:$U$52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86"/>
  <sheetViews>
    <sheetView workbookViewId="0">
      <selection activeCell="A8" sqref="A8"/>
    </sheetView>
  </sheetViews>
  <sheetFormatPr defaultRowHeight="12.75" x14ac:dyDescent="0.2"/>
  <cols>
    <col min="1" max="1" width="11" style="1" customWidth="1"/>
    <col min="2" max="2" width="8.28515625" style="1" customWidth="1"/>
    <col min="3" max="3" width="36.85546875" style="1" bestFit="1" customWidth="1"/>
    <col min="4" max="4" width="14.42578125" style="1" customWidth="1"/>
    <col min="5" max="5" width="24.28515625" style="1" bestFit="1" customWidth="1"/>
    <col min="6" max="6" width="12.28515625" style="1" customWidth="1"/>
    <col min="7" max="7" width="13.5703125" style="1" bestFit="1" customWidth="1"/>
    <col min="8" max="18" width="12.28515625" style="1" customWidth="1"/>
    <col min="19" max="19" width="7.7109375" style="1" bestFit="1" customWidth="1"/>
    <col min="20" max="16384" width="9.140625" style="1"/>
  </cols>
  <sheetData>
    <row r="1" spans="1:19" ht="18" x14ac:dyDescent="0.25">
      <c r="A1" s="169" t="s">
        <v>86</v>
      </c>
      <c r="C1" s="170" t="str">
        <f>Dados!B4</f>
        <v xml:space="preserve">Cia. Demo </v>
      </c>
      <c r="D1" s="170"/>
    </row>
    <row r="2" spans="1:19" x14ac:dyDescent="0.2">
      <c r="A2" s="169"/>
      <c r="C2" s="171" t="str">
        <f>Dados!B6</f>
        <v>Business Insight</v>
      </c>
      <c r="D2" s="171"/>
    </row>
    <row r="3" spans="1:19" ht="20.25" x14ac:dyDescent="0.2">
      <c r="A3" s="90"/>
      <c r="C3" s="91" t="s">
        <v>199</v>
      </c>
      <c r="D3" s="91"/>
    </row>
    <row r="4" spans="1:19" ht="13.5" thickBot="1" x14ac:dyDescent="0.25"/>
    <row r="5" spans="1:19" ht="15.95" customHeight="1" thickBot="1" x14ac:dyDescent="0.3">
      <c r="B5" s="167" t="s">
        <v>70</v>
      </c>
      <c r="C5" s="167"/>
      <c r="D5" s="167" t="s">
        <v>71</v>
      </c>
      <c r="E5" s="168"/>
      <c r="F5" s="146" t="s">
        <v>88</v>
      </c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  <c r="S5" s="12"/>
    </row>
    <row r="6" spans="1:19" ht="17.25" customHeight="1" x14ac:dyDescent="0.25">
      <c r="A6" s="3" t="s">
        <v>85</v>
      </c>
      <c r="B6" s="36" t="s">
        <v>72</v>
      </c>
      <c r="C6" s="36" t="s">
        <v>73</v>
      </c>
      <c r="D6" s="36" t="s">
        <v>72</v>
      </c>
      <c r="E6" s="36" t="s">
        <v>73</v>
      </c>
      <c r="F6" s="35" t="s">
        <v>187</v>
      </c>
      <c r="G6" s="35" t="s">
        <v>188</v>
      </c>
      <c r="H6" s="35" t="s">
        <v>189</v>
      </c>
      <c r="I6" s="35" t="s">
        <v>190</v>
      </c>
      <c r="J6" s="35" t="s">
        <v>191</v>
      </c>
      <c r="K6" s="35" t="s">
        <v>192</v>
      </c>
      <c r="L6" s="35" t="s">
        <v>193</v>
      </c>
      <c r="M6" s="35" t="s">
        <v>194</v>
      </c>
      <c r="N6" s="35" t="s">
        <v>195</v>
      </c>
      <c r="O6" s="35" t="s">
        <v>196</v>
      </c>
      <c r="P6" s="35" t="s">
        <v>197</v>
      </c>
      <c r="Q6" s="35" t="s">
        <v>198</v>
      </c>
      <c r="R6" s="35" t="s">
        <v>45</v>
      </c>
    </row>
    <row r="7" spans="1:19" x14ac:dyDescent="0.2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9" ht="15" x14ac:dyDescent="0.25">
      <c r="A8" s="21">
        <f>Produtos!A6</f>
        <v>1</v>
      </c>
      <c r="B8" s="24">
        <f>Produtos!B6</f>
        <v>1</v>
      </c>
      <c r="C8" s="52" t="str">
        <f>Produtos!C6</f>
        <v>Câmaras e Filmadoras</v>
      </c>
      <c r="D8" s="53">
        <f>Produtos!D6</f>
        <v>11</v>
      </c>
      <c r="E8" s="52" t="str">
        <f>Produtos!E6</f>
        <v>Câmara Digital 3D 18.2 MP</v>
      </c>
      <c r="F8" s="62">
        <v>1000</v>
      </c>
      <c r="G8" s="62">
        <v>1000</v>
      </c>
      <c r="H8" s="62">
        <v>1000</v>
      </c>
      <c r="I8" s="62">
        <v>1000</v>
      </c>
      <c r="J8" s="62">
        <v>1000</v>
      </c>
      <c r="K8" s="62">
        <v>1000</v>
      </c>
      <c r="L8" s="62">
        <v>1000</v>
      </c>
      <c r="M8" s="62">
        <v>1000</v>
      </c>
      <c r="N8" s="62">
        <v>1000</v>
      </c>
      <c r="O8" s="62">
        <v>1000</v>
      </c>
      <c r="P8" s="62">
        <v>1000</v>
      </c>
      <c r="Q8" s="62">
        <v>1000</v>
      </c>
      <c r="R8" s="62">
        <f>SUM(F8:Q8)</f>
        <v>12000</v>
      </c>
    </row>
    <row r="9" spans="1:19" ht="15" x14ac:dyDescent="0.25">
      <c r="A9" s="21">
        <f>Produtos!A7</f>
        <v>2</v>
      </c>
      <c r="B9" s="24">
        <f>Produtos!B7</f>
        <v>2</v>
      </c>
      <c r="C9" s="52" t="str">
        <f>Produtos!C7</f>
        <v>TV's e Audio</v>
      </c>
      <c r="D9" s="53">
        <f>Produtos!D7</f>
        <v>21</v>
      </c>
      <c r="E9" s="52" t="str">
        <f>Produtos!E7</f>
        <v>TV 3 D 32"</v>
      </c>
      <c r="F9" s="62">
        <v>1000</v>
      </c>
      <c r="G9" s="62">
        <v>1000</v>
      </c>
      <c r="H9" s="62">
        <v>1000</v>
      </c>
      <c r="I9" s="62">
        <v>1000</v>
      </c>
      <c r="J9" s="62">
        <v>1000</v>
      </c>
      <c r="K9" s="62">
        <v>1000</v>
      </c>
      <c r="L9" s="62">
        <v>1000</v>
      </c>
      <c r="M9" s="62">
        <v>1000</v>
      </c>
      <c r="N9" s="62">
        <v>1000</v>
      </c>
      <c r="O9" s="62">
        <v>1000</v>
      </c>
      <c r="P9" s="62">
        <v>1000</v>
      </c>
      <c r="Q9" s="62">
        <v>1000</v>
      </c>
      <c r="R9" s="62">
        <f>SUM(F9:Q9)</f>
        <v>12000</v>
      </c>
    </row>
    <row r="10" spans="1:19" ht="15" x14ac:dyDescent="0.25">
      <c r="A10" s="21">
        <f>Produtos!A8</f>
        <v>3</v>
      </c>
      <c r="B10" s="24">
        <f>Produtos!B8</f>
        <v>3</v>
      </c>
      <c r="C10" s="52" t="str">
        <f>Produtos!C8</f>
        <v>Computadores</v>
      </c>
      <c r="D10" s="53">
        <f>Produtos!D8</f>
        <v>31</v>
      </c>
      <c r="E10" s="52" t="str">
        <f>Produtos!E8</f>
        <v>Desktop Dual Core 2GB</v>
      </c>
      <c r="F10" s="62">
        <v>1000</v>
      </c>
      <c r="G10" s="62">
        <v>1000</v>
      </c>
      <c r="H10" s="62">
        <v>1000</v>
      </c>
      <c r="I10" s="62">
        <v>1000</v>
      </c>
      <c r="J10" s="62">
        <v>1000</v>
      </c>
      <c r="K10" s="62">
        <v>1000</v>
      </c>
      <c r="L10" s="62">
        <v>1000</v>
      </c>
      <c r="M10" s="62">
        <v>1000</v>
      </c>
      <c r="N10" s="62">
        <v>1000</v>
      </c>
      <c r="O10" s="62">
        <v>1000</v>
      </c>
      <c r="P10" s="62">
        <v>1000</v>
      </c>
      <c r="Q10" s="62">
        <v>1000</v>
      </c>
      <c r="R10" s="62">
        <f>SUM(F10:Q10)</f>
        <v>12000</v>
      </c>
    </row>
    <row r="11" spans="1:19" ht="15" x14ac:dyDescent="0.25">
      <c r="A11" s="21">
        <f>Produtos!A9</f>
        <v>4</v>
      </c>
      <c r="B11" s="24">
        <f>Produtos!B9</f>
        <v>3</v>
      </c>
      <c r="C11" s="52" t="str">
        <f>Produtos!C9</f>
        <v>Computadores</v>
      </c>
      <c r="D11" s="53">
        <f>Produtos!D9</f>
        <v>32</v>
      </c>
      <c r="E11" s="52" t="str">
        <f>Produtos!E9</f>
        <v>Desktop 1</v>
      </c>
      <c r="F11" s="62">
        <v>1000</v>
      </c>
      <c r="G11" s="62">
        <v>1000</v>
      </c>
      <c r="H11" s="62">
        <v>1000</v>
      </c>
      <c r="I11" s="62">
        <v>1000</v>
      </c>
      <c r="J11" s="62">
        <v>1000</v>
      </c>
      <c r="K11" s="62">
        <v>1000</v>
      </c>
      <c r="L11" s="62">
        <v>1000</v>
      </c>
      <c r="M11" s="62">
        <v>1000</v>
      </c>
      <c r="N11" s="62">
        <v>1000</v>
      </c>
      <c r="O11" s="62">
        <v>1000</v>
      </c>
      <c r="P11" s="62">
        <v>1000</v>
      </c>
      <c r="Q11" s="62">
        <v>1000</v>
      </c>
      <c r="R11" s="62">
        <f t="shared" ref="R11:R18" si="0">SUM(F11:Q11)</f>
        <v>12000</v>
      </c>
    </row>
    <row r="12" spans="1:19" ht="15" x14ac:dyDescent="0.25">
      <c r="A12" s="21">
        <f>Produtos!A10</f>
        <v>5</v>
      </c>
      <c r="B12" s="21">
        <f>Produtos!B10</f>
        <v>3</v>
      </c>
      <c r="C12" s="58" t="str">
        <f>Produtos!C10</f>
        <v>Computadores</v>
      </c>
      <c r="D12" s="127">
        <f>Produtos!D10</f>
        <v>33</v>
      </c>
      <c r="E12" s="58" t="str">
        <f>Produtos!E10</f>
        <v>Desktop 2</v>
      </c>
      <c r="F12" s="62">
        <v>1000</v>
      </c>
      <c r="G12" s="62">
        <v>1000</v>
      </c>
      <c r="H12" s="62">
        <v>1000</v>
      </c>
      <c r="I12" s="62">
        <v>1000</v>
      </c>
      <c r="J12" s="62">
        <v>1000</v>
      </c>
      <c r="K12" s="62">
        <v>1000</v>
      </c>
      <c r="L12" s="62">
        <v>1000</v>
      </c>
      <c r="M12" s="62">
        <v>1000</v>
      </c>
      <c r="N12" s="62">
        <v>1000</v>
      </c>
      <c r="O12" s="62">
        <v>1000</v>
      </c>
      <c r="P12" s="62">
        <v>1000</v>
      </c>
      <c r="Q12" s="62">
        <v>1000</v>
      </c>
      <c r="R12" s="62">
        <f t="shared" si="0"/>
        <v>12000</v>
      </c>
    </row>
    <row r="13" spans="1:19" ht="15" x14ac:dyDescent="0.25">
      <c r="A13" s="21">
        <f>Produtos!A11</f>
        <v>6</v>
      </c>
      <c r="B13" s="21">
        <f>Produtos!B11</f>
        <v>3</v>
      </c>
      <c r="C13" s="58" t="str">
        <f>Produtos!C11</f>
        <v>Computadores</v>
      </c>
      <c r="D13" s="127">
        <f>Produtos!D11</f>
        <v>34</v>
      </c>
      <c r="E13" s="58" t="str">
        <f>Produtos!E11</f>
        <v>Desktop 3</v>
      </c>
      <c r="F13" s="62">
        <v>1000</v>
      </c>
      <c r="G13" s="62">
        <v>1000</v>
      </c>
      <c r="H13" s="62">
        <v>1000</v>
      </c>
      <c r="I13" s="62">
        <v>1000</v>
      </c>
      <c r="J13" s="62">
        <v>1000</v>
      </c>
      <c r="K13" s="62">
        <v>1000</v>
      </c>
      <c r="L13" s="62">
        <v>1000</v>
      </c>
      <c r="M13" s="62">
        <v>1000</v>
      </c>
      <c r="N13" s="62">
        <v>1000</v>
      </c>
      <c r="O13" s="62">
        <v>1000</v>
      </c>
      <c r="P13" s="62">
        <v>1000</v>
      </c>
      <c r="Q13" s="62">
        <v>1000</v>
      </c>
      <c r="R13" s="62">
        <f t="shared" si="0"/>
        <v>12000</v>
      </c>
    </row>
    <row r="14" spans="1:19" ht="15" x14ac:dyDescent="0.25">
      <c r="A14" s="21">
        <f>Produtos!A12</f>
        <v>7</v>
      </c>
      <c r="B14" s="21">
        <f>Produtos!B12</f>
        <v>3</v>
      </c>
      <c r="C14" s="58" t="str">
        <f>Produtos!C12</f>
        <v>Computadores</v>
      </c>
      <c r="D14" s="127">
        <f>Produtos!D12</f>
        <v>35</v>
      </c>
      <c r="E14" s="58" t="str">
        <f>Produtos!E12</f>
        <v>Desktop 4</v>
      </c>
      <c r="F14" s="62">
        <v>1000</v>
      </c>
      <c r="G14" s="62">
        <v>1000</v>
      </c>
      <c r="H14" s="62">
        <v>1000</v>
      </c>
      <c r="I14" s="62">
        <v>1000</v>
      </c>
      <c r="J14" s="62">
        <v>1000</v>
      </c>
      <c r="K14" s="62">
        <v>1000</v>
      </c>
      <c r="L14" s="62">
        <v>1000</v>
      </c>
      <c r="M14" s="62">
        <v>1000</v>
      </c>
      <c r="N14" s="62">
        <v>1000</v>
      </c>
      <c r="O14" s="62">
        <v>1000</v>
      </c>
      <c r="P14" s="62">
        <v>1000</v>
      </c>
      <c r="Q14" s="62">
        <v>1000</v>
      </c>
      <c r="R14" s="62">
        <f t="shared" si="0"/>
        <v>12000</v>
      </c>
    </row>
    <row r="15" spans="1:19" ht="15" x14ac:dyDescent="0.25">
      <c r="A15" s="21">
        <f>Produtos!A13</f>
        <v>8</v>
      </c>
      <c r="B15" s="21">
        <f>Produtos!B13</f>
        <v>3</v>
      </c>
      <c r="C15" s="58" t="str">
        <f>Produtos!C13</f>
        <v>Computadores</v>
      </c>
      <c r="D15" s="127">
        <f>Produtos!D13</f>
        <v>36</v>
      </c>
      <c r="E15" s="58" t="str">
        <f>Produtos!E13</f>
        <v>Desktop 5</v>
      </c>
      <c r="F15" s="62">
        <v>1000</v>
      </c>
      <c r="G15" s="62">
        <v>1000</v>
      </c>
      <c r="H15" s="62">
        <v>1000</v>
      </c>
      <c r="I15" s="62">
        <v>1000</v>
      </c>
      <c r="J15" s="62">
        <v>1000</v>
      </c>
      <c r="K15" s="62">
        <v>1000</v>
      </c>
      <c r="L15" s="62">
        <v>1000</v>
      </c>
      <c r="M15" s="62">
        <v>1000</v>
      </c>
      <c r="N15" s="62">
        <v>1000</v>
      </c>
      <c r="O15" s="62">
        <v>1000</v>
      </c>
      <c r="P15" s="62">
        <v>1000</v>
      </c>
      <c r="Q15" s="62">
        <v>1000</v>
      </c>
      <c r="R15" s="62">
        <f t="shared" si="0"/>
        <v>12000</v>
      </c>
    </row>
    <row r="16" spans="1:19" ht="15" x14ac:dyDescent="0.25">
      <c r="A16" s="21">
        <f>Produtos!A14</f>
        <v>9</v>
      </c>
      <c r="B16" s="21">
        <f>Produtos!B14</f>
        <v>3</v>
      </c>
      <c r="C16" s="58" t="str">
        <f>Produtos!C14</f>
        <v>Computadores</v>
      </c>
      <c r="D16" s="127">
        <f>Produtos!D14</f>
        <v>37</v>
      </c>
      <c r="E16" s="58" t="str">
        <f>Produtos!E14</f>
        <v>Desktop 6</v>
      </c>
      <c r="F16" s="62">
        <v>1000</v>
      </c>
      <c r="G16" s="62">
        <v>1000</v>
      </c>
      <c r="H16" s="62">
        <v>1000</v>
      </c>
      <c r="I16" s="62">
        <v>1000</v>
      </c>
      <c r="J16" s="62">
        <v>1000</v>
      </c>
      <c r="K16" s="62">
        <v>1000</v>
      </c>
      <c r="L16" s="62">
        <v>1000</v>
      </c>
      <c r="M16" s="62">
        <v>1000</v>
      </c>
      <c r="N16" s="62">
        <v>1000</v>
      </c>
      <c r="O16" s="62">
        <v>1000</v>
      </c>
      <c r="P16" s="62">
        <v>1000</v>
      </c>
      <c r="Q16" s="62">
        <v>1000</v>
      </c>
      <c r="R16" s="62">
        <f t="shared" si="0"/>
        <v>12000</v>
      </c>
    </row>
    <row r="17" spans="1:19" ht="15" x14ac:dyDescent="0.25">
      <c r="A17" s="21">
        <f>Produtos!A15</f>
        <v>10</v>
      </c>
      <c r="B17" s="21">
        <f>Produtos!B15</f>
        <v>3</v>
      </c>
      <c r="C17" s="58" t="str">
        <f>Produtos!C15</f>
        <v>Computadores</v>
      </c>
      <c r="D17" s="127">
        <f>Produtos!D15</f>
        <v>38</v>
      </c>
      <c r="E17" s="58" t="str">
        <f>Produtos!E15</f>
        <v>Desktop 7</v>
      </c>
      <c r="F17" s="62">
        <v>1000</v>
      </c>
      <c r="G17" s="62">
        <v>1000</v>
      </c>
      <c r="H17" s="62">
        <v>1000</v>
      </c>
      <c r="I17" s="62">
        <v>1000</v>
      </c>
      <c r="J17" s="62">
        <v>1000</v>
      </c>
      <c r="K17" s="62">
        <v>1000</v>
      </c>
      <c r="L17" s="62">
        <v>1000</v>
      </c>
      <c r="M17" s="62">
        <v>1000</v>
      </c>
      <c r="N17" s="62">
        <v>1000</v>
      </c>
      <c r="O17" s="62">
        <v>1000</v>
      </c>
      <c r="P17" s="62">
        <v>1000</v>
      </c>
      <c r="Q17" s="62">
        <v>1000</v>
      </c>
      <c r="R17" s="62">
        <f t="shared" si="0"/>
        <v>12000</v>
      </c>
    </row>
    <row r="18" spans="1:19" ht="15" x14ac:dyDescent="0.25">
      <c r="A18" s="21">
        <f>Produtos!A16</f>
        <v>11</v>
      </c>
      <c r="B18" s="21">
        <f>Produtos!B16</f>
        <v>3</v>
      </c>
      <c r="C18" s="58" t="str">
        <f>Produtos!C16</f>
        <v>Computadores</v>
      </c>
      <c r="D18" s="127">
        <f>Produtos!D16</f>
        <v>39</v>
      </c>
      <c r="E18" s="58" t="str">
        <f>Produtos!E16</f>
        <v>Desktop 8</v>
      </c>
      <c r="F18" s="62">
        <v>1000</v>
      </c>
      <c r="G18" s="62">
        <v>1000</v>
      </c>
      <c r="H18" s="62">
        <v>1000</v>
      </c>
      <c r="I18" s="62">
        <v>1000</v>
      </c>
      <c r="J18" s="62">
        <v>1000</v>
      </c>
      <c r="K18" s="62">
        <v>1000</v>
      </c>
      <c r="L18" s="62">
        <v>1000</v>
      </c>
      <c r="M18" s="62">
        <v>1000</v>
      </c>
      <c r="N18" s="62">
        <v>1000</v>
      </c>
      <c r="O18" s="62">
        <v>1000</v>
      </c>
      <c r="P18" s="62">
        <v>1000</v>
      </c>
      <c r="Q18" s="62">
        <v>1000</v>
      </c>
      <c r="R18" s="62">
        <f t="shared" si="0"/>
        <v>12000</v>
      </c>
    </row>
    <row r="19" spans="1:19" ht="15" x14ac:dyDescent="0.25">
      <c r="E19" s="30" t="s">
        <v>87</v>
      </c>
      <c r="F19" s="63">
        <f t="shared" ref="F19:R19" si="1">SUM(F8:F18)</f>
        <v>11000</v>
      </c>
      <c r="G19" s="63">
        <f t="shared" si="1"/>
        <v>11000</v>
      </c>
      <c r="H19" s="63">
        <f t="shared" si="1"/>
        <v>11000</v>
      </c>
      <c r="I19" s="63">
        <f t="shared" si="1"/>
        <v>11000</v>
      </c>
      <c r="J19" s="63">
        <f t="shared" si="1"/>
        <v>11000</v>
      </c>
      <c r="K19" s="63">
        <f t="shared" si="1"/>
        <v>11000</v>
      </c>
      <c r="L19" s="63">
        <f t="shared" si="1"/>
        <v>11000</v>
      </c>
      <c r="M19" s="63">
        <f t="shared" si="1"/>
        <v>11000</v>
      </c>
      <c r="N19" s="63">
        <f t="shared" si="1"/>
        <v>11000</v>
      </c>
      <c r="O19" s="63">
        <f t="shared" si="1"/>
        <v>11000</v>
      </c>
      <c r="P19" s="63">
        <f t="shared" si="1"/>
        <v>11000</v>
      </c>
      <c r="Q19" s="63">
        <f t="shared" si="1"/>
        <v>11000</v>
      </c>
      <c r="R19" s="63">
        <f t="shared" si="1"/>
        <v>132000</v>
      </c>
    </row>
    <row r="20" spans="1:19" ht="13.5" thickBot="1" x14ac:dyDescent="0.25"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9" ht="15.75" thickBot="1" x14ac:dyDescent="0.3">
      <c r="B21" s="167" t="s">
        <v>70</v>
      </c>
      <c r="C21" s="167"/>
      <c r="D21" s="167" t="s">
        <v>71</v>
      </c>
      <c r="E21" s="168"/>
      <c r="F21" s="146" t="s">
        <v>89</v>
      </c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8"/>
    </row>
    <row r="22" spans="1:19" ht="15" x14ac:dyDescent="0.25">
      <c r="A22" s="134" t="s">
        <v>85</v>
      </c>
      <c r="B22" s="135" t="s">
        <v>72</v>
      </c>
      <c r="C22" s="135" t="s">
        <v>73</v>
      </c>
      <c r="D22" s="135" t="s">
        <v>72</v>
      </c>
      <c r="E22" s="135" t="s">
        <v>73</v>
      </c>
      <c r="F22" s="35" t="s">
        <v>187</v>
      </c>
      <c r="G22" s="35" t="s">
        <v>188</v>
      </c>
      <c r="H22" s="35" t="s">
        <v>189</v>
      </c>
      <c r="I22" s="35" t="s">
        <v>190</v>
      </c>
      <c r="J22" s="35" t="s">
        <v>191</v>
      </c>
      <c r="K22" s="35" t="s">
        <v>192</v>
      </c>
      <c r="L22" s="35" t="s">
        <v>193</v>
      </c>
      <c r="M22" s="35" t="s">
        <v>194</v>
      </c>
      <c r="N22" s="35" t="s">
        <v>195</v>
      </c>
      <c r="O22" s="35" t="s">
        <v>196</v>
      </c>
      <c r="P22" s="35" t="s">
        <v>197</v>
      </c>
      <c r="Q22" s="35" t="s">
        <v>198</v>
      </c>
      <c r="R22" s="35" t="s">
        <v>45</v>
      </c>
      <c r="S22" s="134" t="s">
        <v>84</v>
      </c>
    </row>
    <row r="23" spans="1:19" x14ac:dyDescent="0.2"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9" ht="15" x14ac:dyDescent="0.25">
      <c r="A24" s="1">
        <f>Produtos!A6</f>
        <v>1</v>
      </c>
      <c r="B24" s="21">
        <f>Produtos!B6</f>
        <v>1</v>
      </c>
      <c r="C24" s="21" t="str">
        <f>Produtos!C6</f>
        <v>Câmaras e Filmadoras</v>
      </c>
      <c r="D24" s="22">
        <f>Produtos!D6</f>
        <v>11</v>
      </c>
      <c r="E24" s="21" t="str">
        <f>Produtos!E6</f>
        <v>Câmara Digital 3D 18.2 MP</v>
      </c>
      <c r="F24" s="39">
        <f>Produtos!$V6*F8</f>
        <v>1950000</v>
      </c>
      <c r="G24" s="39">
        <f>Produtos!$V6*G8</f>
        <v>1950000</v>
      </c>
      <c r="H24" s="39">
        <f>Produtos!$V6*H8</f>
        <v>1950000</v>
      </c>
      <c r="I24" s="39">
        <f>Produtos!$V6*I8</f>
        <v>1950000</v>
      </c>
      <c r="J24" s="39">
        <f>Produtos!$V6*J8</f>
        <v>1950000</v>
      </c>
      <c r="K24" s="39">
        <f>Produtos!$V6*K8</f>
        <v>1950000</v>
      </c>
      <c r="L24" s="39">
        <f>Produtos!$V6*L8</f>
        <v>1950000</v>
      </c>
      <c r="M24" s="39">
        <f>Produtos!$V6*M8</f>
        <v>1950000</v>
      </c>
      <c r="N24" s="39">
        <f>Produtos!$V6*N8</f>
        <v>1950000</v>
      </c>
      <c r="O24" s="39">
        <f>Produtos!$V6*O8</f>
        <v>1950000</v>
      </c>
      <c r="P24" s="39">
        <f>Produtos!$V6*P8</f>
        <v>1950000</v>
      </c>
      <c r="Q24" s="39">
        <f>Produtos!$V6*Q8</f>
        <v>1950000</v>
      </c>
      <c r="R24" s="39">
        <f>SUM(F24:Q24)</f>
        <v>23400000</v>
      </c>
      <c r="S24" s="75">
        <f>Produtos!Z6</f>
        <v>30</v>
      </c>
    </row>
    <row r="25" spans="1:19" ht="15" x14ac:dyDescent="0.25">
      <c r="A25" s="1">
        <f>Produtos!A7</f>
        <v>2</v>
      </c>
      <c r="B25" s="21">
        <f>Produtos!B7</f>
        <v>2</v>
      </c>
      <c r="C25" s="21" t="str">
        <f>Produtos!C7</f>
        <v>TV's e Audio</v>
      </c>
      <c r="D25" s="22">
        <f>Produtos!D7</f>
        <v>21</v>
      </c>
      <c r="E25" s="21" t="str">
        <f>Produtos!E7</f>
        <v>TV 3 D 32"</v>
      </c>
      <c r="F25" s="39">
        <f>Produtos!$V7*F9</f>
        <v>2000000</v>
      </c>
      <c r="G25" s="39">
        <f>Produtos!$V7*G9</f>
        <v>2000000</v>
      </c>
      <c r="H25" s="39">
        <f>Produtos!$V7*H9</f>
        <v>2000000</v>
      </c>
      <c r="I25" s="39">
        <f>Produtos!$V7*I9</f>
        <v>2000000</v>
      </c>
      <c r="J25" s="39">
        <f>Produtos!$V7*J9</f>
        <v>2000000</v>
      </c>
      <c r="K25" s="39">
        <f>Produtos!$V7*K9</f>
        <v>2000000</v>
      </c>
      <c r="L25" s="39">
        <f>Produtos!$V7*L9</f>
        <v>2000000</v>
      </c>
      <c r="M25" s="39">
        <f>Produtos!$V7*M9</f>
        <v>2000000</v>
      </c>
      <c r="N25" s="39">
        <f>Produtos!$V7*N9</f>
        <v>2000000</v>
      </c>
      <c r="O25" s="39">
        <f>Produtos!$V7*O9</f>
        <v>2000000</v>
      </c>
      <c r="P25" s="39">
        <f>Produtos!$V7*P9</f>
        <v>2000000</v>
      </c>
      <c r="Q25" s="39">
        <f>Produtos!$V7*Q9</f>
        <v>2000000</v>
      </c>
      <c r="R25" s="39">
        <f t="shared" ref="R25:R34" si="2">SUM(F25:Q25)</f>
        <v>24000000</v>
      </c>
      <c r="S25" s="75">
        <f>Produtos!Z7</f>
        <v>30</v>
      </c>
    </row>
    <row r="26" spans="1:19" ht="15" x14ac:dyDescent="0.25">
      <c r="A26" s="1">
        <f>Produtos!A8</f>
        <v>3</v>
      </c>
      <c r="B26" s="21">
        <f>Produtos!B8</f>
        <v>3</v>
      </c>
      <c r="C26" s="21" t="str">
        <f>Produtos!C8</f>
        <v>Computadores</v>
      </c>
      <c r="D26" s="22">
        <f>Produtos!D8</f>
        <v>31</v>
      </c>
      <c r="E26" s="21" t="str">
        <f>Produtos!E8</f>
        <v>Desktop Dual Core 2GB</v>
      </c>
      <c r="F26" s="39">
        <f>Produtos!$V8*F10</f>
        <v>1099000</v>
      </c>
      <c r="G26" s="39">
        <f>Produtos!$V8*G10</f>
        <v>1099000</v>
      </c>
      <c r="H26" s="39">
        <f>Produtos!$V8*H10</f>
        <v>1099000</v>
      </c>
      <c r="I26" s="39">
        <f>Produtos!$V8*I10</f>
        <v>1099000</v>
      </c>
      <c r="J26" s="39">
        <f>Produtos!$V8*J10</f>
        <v>1099000</v>
      </c>
      <c r="K26" s="39">
        <f>Produtos!$V8*K10</f>
        <v>1099000</v>
      </c>
      <c r="L26" s="39">
        <f>Produtos!$V8*L10</f>
        <v>1099000</v>
      </c>
      <c r="M26" s="39">
        <f>Produtos!$V8*M10</f>
        <v>1099000</v>
      </c>
      <c r="N26" s="39">
        <f>Produtos!$V8*N10</f>
        <v>1099000</v>
      </c>
      <c r="O26" s="39">
        <f>Produtos!$V8*O10</f>
        <v>1099000</v>
      </c>
      <c r="P26" s="39">
        <f>Produtos!$V8*P10</f>
        <v>1099000</v>
      </c>
      <c r="Q26" s="39">
        <f>Produtos!$V8*Q10</f>
        <v>1099000</v>
      </c>
      <c r="R26" s="39">
        <f t="shared" si="2"/>
        <v>13188000</v>
      </c>
      <c r="S26" s="75">
        <f>Produtos!Z8</f>
        <v>30</v>
      </c>
    </row>
    <row r="27" spans="1:19" ht="15" x14ac:dyDescent="0.25">
      <c r="A27" s="1">
        <f>Produtos!A9</f>
        <v>4</v>
      </c>
      <c r="B27" s="21">
        <f>Produtos!B9</f>
        <v>3</v>
      </c>
      <c r="C27" s="21" t="str">
        <f>Produtos!C9</f>
        <v>Computadores</v>
      </c>
      <c r="D27" s="22">
        <f>Produtos!D9</f>
        <v>32</v>
      </c>
      <c r="E27" s="21" t="str">
        <f>Produtos!E9</f>
        <v>Desktop 1</v>
      </c>
      <c r="F27" s="39">
        <f>Produtos!$V9*F11</f>
        <v>1099000</v>
      </c>
      <c r="G27" s="39">
        <f>Produtos!$V9*G11</f>
        <v>1099000</v>
      </c>
      <c r="H27" s="39">
        <f>Produtos!$V9*H11</f>
        <v>1099000</v>
      </c>
      <c r="I27" s="39">
        <f>Produtos!$V9*I11</f>
        <v>1099000</v>
      </c>
      <c r="J27" s="39">
        <f>Produtos!$V9*J11</f>
        <v>1099000</v>
      </c>
      <c r="K27" s="39">
        <f>Produtos!$V9*K11</f>
        <v>1099000</v>
      </c>
      <c r="L27" s="39">
        <f>Produtos!$V9*L11</f>
        <v>1099000</v>
      </c>
      <c r="M27" s="39">
        <f>Produtos!$V9*M11</f>
        <v>1099000</v>
      </c>
      <c r="N27" s="39">
        <f>Produtos!$V9*N11</f>
        <v>1099000</v>
      </c>
      <c r="O27" s="39">
        <f>Produtos!$V9*O11</f>
        <v>1099000</v>
      </c>
      <c r="P27" s="39">
        <f>Produtos!$V9*P11</f>
        <v>1099000</v>
      </c>
      <c r="Q27" s="39">
        <f>Produtos!$V9*Q11</f>
        <v>1099000</v>
      </c>
      <c r="R27" s="39">
        <f t="shared" si="2"/>
        <v>13188000</v>
      </c>
      <c r="S27" s="75">
        <f>Produtos!Z9</f>
        <v>30</v>
      </c>
    </row>
    <row r="28" spans="1:19" ht="15" x14ac:dyDescent="0.25">
      <c r="A28" s="1">
        <f>Produtos!A10</f>
        <v>5</v>
      </c>
      <c r="B28" s="21">
        <f>Produtos!B10</f>
        <v>3</v>
      </c>
      <c r="C28" s="21" t="str">
        <f>Produtos!C10</f>
        <v>Computadores</v>
      </c>
      <c r="D28" s="22">
        <f>Produtos!D10</f>
        <v>33</v>
      </c>
      <c r="E28" s="21" t="str">
        <f>Produtos!E10</f>
        <v>Desktop 2</v>
      </c>
      <c r="F28" s="39">
        <f>Produtos!$V10*F12</f>
        <v>1099000</v>
      </c>
      <c r="G28" s="39">
        <f>Produtos!$V10*G12</f>
        <v>1099000</v>
      </c>
      <c r="H28" s="39">
        <f>Produtos!$V10*H12</f>
        <v>1099000</v>
      </c>
      <c r="I28" s="39">
        <f>Produtos!$V10*I12</f>
        <v>1099000</v>
      </c>
      <c r="J28" s="39">
        <f>Produtos!$V10*J12</f>
        <v>1099000</v>
      </c>
      <c r="K28" s="39">
        <f>Produtos!$V10*K12</f>
        <v>1099000</v>
      </c>
      <c r="L28" s="39">
        <f>Produtos!$V10*L12</f>
        <v>1099000</v>
      </c>
      <c r="M28" s="39">
        <f>Produtos!$V10*M12</f>
        <v>1099000</v>
      </c>
      <c r="N28" s="39">
        <f>Produtos!$V10*N12</f>
        <v>1099000</v>
      </c>
      <c r="O28" s="39">
        <f>Produtos!$V10*O12</f>
        <v>1099000</v>
      </c>
      <c r="P28" s="39">
        <f>Produtos!$V10*P12</f>
        <v>1099000</v>
      </c>
      <c r="Q28" s="39">
        <f>Produtos!$V10*Q12</f>
        <v>1099000</v>
      </c>
      <c r="R28" s="39">
        <f t="shared" si="2"/>
        <v>13188000</v>
      </c>
      <c r="S28" s="75">
        <f>Produtos!Z10</f>
        <v>30</v>
      </c>
    </row>
    <row r="29" spans="1:19" ht="15" x14ac:dyDescent="0.25">
      <c r="A29" s="1">
        <f>Produtos!A11</f>
        <v>6</v>
      </c>
      <c r="B29" s="21">
        <f>Produtos!B11</f>
        <v>3</v>
      </c>
      <c r="C29" s="21" t="str">
        <f>Produtos!C11</f>
        <v>Computadores</v>
      </c>
      <c r="D29" s="22">
        <f>Produtos!D11</f>
        <v>34</v>
      </c>
      <c r="E29" s="21" t="str">
        <f>Produtos!E11</f>
        <v>Desktop 3</v>
      </c>
      <c r="F29" s="39">
        <f>Produtos!$V11*F13</f>
        <v>1099000</v>
      </c>
      <c r="G29" s="39">
        <f>Produtos!$V11*G13</f>
        <v>1099000</v>
      </c>
      <c r="H29" s="39">
        <f>Produtos!$V11*H13</f>
        <v>1099000</v>
      </c>
      <c r="I29" s="39">
        <f>Produtos!$V11*I13</f>
        <v>1099000</v>
      </c>
      <c r="J29" s="39">
        <f>Produtos!$V11*J13</f>
        <v>1099000</v>
      </c>
      <c r="K29" s="39">
        <f>Produtos!$V11*K13</f>
        <v>1099000</v>
      </c>
      <c r="L29" s="39">
        <f>Produtos!$V11*L13</f>
        <v>1099000</v>
      </c>
      <c r="M29" s="39">
        <f>Produtos!$V11*M13</f>
        <v>1099000</v>
      </c>
      <c r="N29" s="39">
        <f>Produtos!$V11*N13</f>
        <v>1099000</v>
      </c>
      <c r="O29" s="39">
        <f>Produtos!$V11*O13</f>
        <v>1099000</v>
      </c>
      <c r="P29" s="39">
        <f>Produtos!$V11*P13</f>
        <v>1099000</v>
      </c>
      <c r="Q29" s="39">
        <f>Produtos!$V11*Q13</f>
        <v>1099000</v>
      </c>
      <c r="R29" s="39">
        <f t="shared" si="2"/>
        <v>13188000</v>
      </c>
      <c r="S29" s="75">
        <f>Produtos!Z11</f>
        <v>30</v>
      </c>
    </row>
    <row r="30" spans="1:19" ht="15" x14ac:dyDescent="0.25">
      <c r="A30" s="1">
        <f>Produtos!A12</f>
        <v>7</v>
      </c>
      <c r="B30" s="21">
        <f>Produtos!B12</f>
        <v>3</v>
      </c>
      <c r="C30" s="21" t="str">
        <f>Produtos!C12</f>
        <v>Computadores</v>
      </c>
      <c r="D30" s="22">
        <f>Produtos!D12</f>
        <v>35</v>
      </c>
      <c r="E30" s="21" t="str">
        <f>Produtos!E12</f>
        <v>Desktop 4</v>
      </c>
      <c r="F30" s="39">
        <f>Produtos!$V12*F14</f>
        <v>1099000</v>
      </c>
      <c r="G30" s="39">
        <f>Produtos!$V12*G14</f>
        <v>1099000</v>
      </c>
      <c r="H30" s="39">
        <f>Produtos!$V12*H14</f>
        <v>1099000</v>
      </c>
      <c r="I30" s="39">
        <f>Produtos!$V12*I14</f>
        <v>1099000</v>
      </c>
      <c r="J30" s="39">
        <f>Produtos!$V12*J14</f>
        <v>1099000</v>
      </c>
      <c r="K30" s="39">
        <f>Produtos!$V12*K14</f>
        <v>1099000</v>
      </c>
      <c r="L30" s="39">
        <f>Produtos!$V12*L14</f>
        <v>1099000</v>
      </c>
      <c r="M30" s="39">
        <f>Produtos!$V12*M14</f>
        <v>1099000</v>
      </c>
      <c r="N30" s="39">
        <f>Produtos!$V12*N14</f>
        <v>1099000</v>
      </c>
      <c r="O30" s="39">
        <f>Produtos!$V12*O14</f>
        <v>1099000</v>
      </c>
      <c r="P30" s="39">
        <f>Produtos!$V12*P14</f>
        <v>1099000</v>
      </c>
      <c r="Q30" s="39">
        <f>Produtos!$V12*Q14</f>
        <v>1099000</v>
      </c>
      <c r="R30" s="39">
        <f t="shared" si="2"/>
        <v>13188000</v>
      </c>
      <c r="S30" s="75">
        <f>Produtos!Z12</f>
        <v>30</v>
      </c>
    </row>
    <row r="31" spans="1:19" ht="15" x14ac:dyDescent="0.25">
      <c r="A31" s="1">
        <f>Produtos!A13</f>
        <v>8</v>
      </c>
      <c r="B31" s="21">
        <f>Produtos!B13</f>
        <v>3</v>
      </c>
      <c r="C31" s="21" t="str">
        <f>Produtos!C13</f>
        <v>Computadores</v>
      </c>
      <c r="D31" s="22">
        <f>Produtos!D13</f>
        <v>36</v>
      </c>
      <c r="E31" s="21" t="str">
        <f>Produtos!E13</f>
        <v>Desktop 5</v>
      </c>
      <c r="F31" s="39">
        <f>Produtos!$V13*F15</f>
        <v>1099000</v>
      </c>
      <c r="G31" s="39">
        <f>Produtos!$V13*G15</f>
        <v>1099000</v>
      </c>
      <c r="H31" s="39">
        <f>Produtos!$V13*H15</f>
        <v>1099000</v>
      </c>
      <c r="I31" s="39">
        <f>Produtos!$V13*I15</f>
        <v>1099000</v>
      </c>
      <c r="J31" s="39">
        <f>Produtos!$V13*J15</f>
        <v>1099000</v>
      </c>
      <c r="K31" s="39">
        <f>Produtos!$V13*K15</f>
        <v>1099000</v>
      </c>
      <c r="L31" s="39">
        <f>Produtos!$V13*L15</f>
        <v>1099000</v>
      </c>
      <c r="M31" s="39">
        <f>Produtos!$V13*M15</f>
        <v>1099000</v>
      </c>
      <c r="N31" s="39">
        <f>Produtos!$V13*N15</f>
        <v>1099000</v>
      </c>
      <c r="O31" s="39">
        <f>Produtos!$V13*O15</f>
        <v>1099000</v>
      </c>
      <c r="P31" s="39">
        <f>Produtos!$V13*P15</f>
        <v>1099000</v>
      </c>
      <c r="Q31" s="39">
        <f>Produtos!$V13*Q15</f>
        <v>1099000</v>
      </c>
      <c r="R31" s="39">
        <f t="shared" si="2"/>
        <v>13188000</v>
      </c>
      <c r="S31" s="75">
        <f>Produtos!Z13</f>
        <v>30</v>
      </c>
    </row>
    <row r="32" spans="1:19" ht="15" x14ac:dyDescent="0.25">
      <c r="A32" s="1">
        <f>Produtos!A14</f>
        <v>9</v>
      </c>
      <c r="B32" s="21">
        <f>Produtos!B14</f>
        <v>3</v>
      </c>
      <c r="C32" s="21" t="str">
        <f>Produtos!C14</f>
        <v>Computadores</v>
      </c>
      <c r="D32" s="22">
        <f>Produtos!D14</f>
        <v>37</v>
      </c>
      <c r="E32" s="21" t="str">
        <f>Produtos!E14</f>
        <v>Desktop 6</v>
      </c>
      <c r="F32" s="39">
        <f>Produtos!$V14*F16</f>
        <v>1099000</v>
      </c>
      <c r="G32" s="39">
        <f>Produtos!$V14*G16</f>
        <v>1099000</v>
      </c>
      <c r="H32" s="39">
        <f>Produtos!$V14*H16</f>
        <v>1099000</v>
      </c>
      <c r="I32" s="39">
        <f>Produtos!$V14*I16</f>
        <v>1099000</v>
      </c>
      <c r="J32" s="39">
        <f>Produtos!$V14*J16</f>
        <v>1099000</v>
      </c>
      <c r="K32" s="39">
        <f>Produtos!$V14*K16</f>
        <v>1099000</v>
      </c>
      <c r="L32" s="39">
        <f>Produtos!$V14*L16</f>
        <v>1099000</v>
      </c>
      <c r="M32" s="39">
        <f>Produtos!$V14*M16</f>
        <v>1099000</v>
      </c>
      <c r="N32" s="39">
        <f>Produtos!$V14*N16</f>
        <v>1099000</v>
      </c>
      <c r="O32" s="39">
        <f>Produtos!$V14*O16</f>
        <v>1099000</v>
      </c>
      <c r="P32" s="39">
        <f>Produtos!$V14*P16</f>
        <v>1099000</v>
      </c>
      <c r="Q32" s="39">
        <f>Produtos!$V14*Q16</f>
        <v>1099000</v>
      </c>
      <c r="R32" s="39">
        <f t="shared" si="2"/>
        <v>13188000</v>
      </c>
      <c r="S32" s="75">
        <f>Produtos!Z14</f>
        <v>30</v>
      </c>
    </row>
    <row r="33" spans="1:19" ht="15" x14ac:dyDescent="0.25">
      <c r="A33" s="1">
        <f>Produtos!A15</f>
        <v>10</v>
      </c>
      <c r="B33" s="21">
        <f>Produtos!B15</f>
        <v>3</v>
      </c>
      <c r="C33" s="21" t="str">
        <f>Produtos!C15</f>
        <v>Computadores</v>
      </c>
      <c r="D33" s="22">
        <f>Produtos!D15</f>
        <v>38</v>
      </c>
      <c r="E33" s="21" t="str">
        <f>Produtos!E15</f>
        <v>Desktop 7</v>
      </c>
      <c r="F33" s="39">
        <f>Produtos!$V15*F17</f>
        <v>1099000</v>
      </c>
      <c r="G33" s="39">
        <f>Produtos!$V15*G17</f>
        <v>1099000</v>
      </c>
      <c r="H33" s="39">
        <f>Produtos!$V15*H17</f>
        <v>1099000</v>
      </c>
      <c r="I33" s="39">
        <f>Produtos!$V15*I17</f>
        <v>1099000</v>
      </c>
      <c r="J33" s="39">
        <f>Produtos!$V15*J17</f>
        <v>1099000</v>
      </c>
      <c r="K33" s="39">
        <f>Produtos!$V15*K17</f>
        <v>1099000</v>
      </c>
      <c r="L33" s="39">
        <f>Produtos!$V15*L17</f>
        <v>1099000</v>
      </c>
      <c r="M33" s="39">
        <f>Produtos!$V15*M17</f>
        <v>1099000</v>
      </c>
      <c r="N33" s="39">
        <f>Produtos!$V15*N17</f>
        <v>1099000</v>
      </c>
      <c r="O33" s="39">
        <f>Produtos!$V15*O17</f>
        <v>1099000</v>
      </c>
      <c r="P33" s="39">
        <f>Produtos!$V15*P17</f>
        <v>1099000</v>
      </c>
      <c r="Q33" s="39">
        <f>Produtos!$V15*Q17</f>
        <v>1099000</v>
      </c>
      <c r="R33" s="39">
        <f t="shared" si="2"/>
        <v>13188000</v>
      </c>
      <c r="S33" s="75">
        <f>Produtos!Z15</f>
        <v>30</v>
      </c>
    </row>
    <row r="34" spans="1:19" ht="15" x14ac:dyDescent="0.25">
      <c r="A34" s="1">
        <f>Produtos!A16</f>
        <v>11</v>
      </c>
      <c r="B34" s="21">
        <f>Produtos!B16</f>
        <v>3</v>
      </c>
      <c r="C34" s="21" t="str">
        <f>Produtos!C16</f>
        <v>Computadores</v>
      </c>
      <c r="D34" s="22">
        <f>Produtos!D16</f>
        <v>39</v>
      </c>
      <c r="E34" s="21" t="str">
        <f>Produtos!E16</f>
        <v>Desktop 8</v>
      </c>
      <c r="F34" s="39">
        <f>Produtos!$V16*F18</f>
        <v>1099000</v>
      </c>
      <c r="G34" s="39">
        <f>Produtos!$V16*G18</f>
        <v>1099000</v>
      </c>
      <c r="H34" s="39">
        <f>Produtos!$V16*H18</f>
        <v>1099000</v>
      </c>
      <c r="I34" s="39">
        <f>Produtos!$V16*I18</f>
        <v>1099000</v>
      </c>
      <c r="J34" s="39">
        <f>Produtos!$V16*J18</f>
        <v>1099000</v>
      </c>
      <c r="K34" s="39">
        <f>Produtos!$V16*K18</f>
        <v>1099000</v>
      </c>
      <c r="L34" s="39">
        <f>Produtos!$V16*L18</f>
        <v>1099000</v>
      </c>
      <c r="M34" s="39">
        <f>Produtos!$V16*M18</f>
        <v>1099000</v>
      </c>
      <c r="N34" s="39">
        <f>Produtos!$V16*N18</f>
        <v>1099000</v>
      </c>
      <c r="O34" s="39">
        <f>Produtos!$V16*O18</f>
        <v>1099000</v>
      </c>
      <c r="P34" s="39">
        <f>Produtos!$V16*P18</f>
        <v>1099000</v>
      </c>
      <c r="Q34" s="39">
        <f>Produtos!$V16*Q18</f>
        <v>1099000</v>
      </c>
      <c r="R34" s="39">
        <f t="shared" si="2"/>
        <v>13188000</v>
      </c>
      <c r="S34" s="75">
        <f>Produtos!Z16</f>
        <v>30</v>
      </c>
    </row>
    <row r="35" spans="1:19" ht="15" x14ac:dyDescent="0.25">
      <c r="E35" s="138" t="s">
        <v>203</v>
      </c>
      <c r="F35" s="44">
        <f>SUM(F24:F34)</f>
        <v>13841000</v>
      </c>
      <c r="G35" s="44">
        <f t="shared" ref="G35:R35" si="3">SUM(G24:G34)</f>
        <v>13841000</v>
      </c>
      <c r="H35" s="44">
        <f t="shared" si="3"/>
        <v>13841000</v>
      </c>
      <c r="I35" s="44">
        <f t="shared" si="3"/>
        <v>13841000</v>
      </c>
      <c r="J35" s="44">
        <f t="shared" si="3"/>
        <v>13841000</v>
      </c>
      <c r="K35" s="44">
        <f t="shared" si="3"/>
        <v>13841000</v>
      </c>
      <c r="L35" s="44">
        <f t="shared" si="3"/>
        <v>13841000</v>
      </c>
      <c r="M35" s="44">
        <f t="shared" si="3"/>
        <v>13841000</v>
      </c>
      <c r="N35" s="44">
        <f t="shared" si="3"/>
        <v>13841000</v>
      </c>
      <c r="O35" s="44">
        <f t="shared" si="3"/>
        <v>13841000</v>
      </c>
      <c r="P35" s="44">
        <f t="shared" si="3"/>
        <v>13841000</v>
      </c>
      <c r="Q35" s="44">
        <f t="shared" si="3"/>
        <v>13841000</v>
      </c>
      <c r="R35" s="44">
        <f t="shared" si="3"/>
        <v>166092000</v>
      </c>
      <c r="S35" s="44">
        <f>SUMPRODUCT(R24:R34,S24:S34)/R35</f>
        <v>30</v>
      </c>
    </row>
    <row r="36" spans="1:19" x14ac:dyDescent="0.2"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19" ht="18" customHeight="1" x14ac:dyDescent="0.25">
      <c r="A37" s="169" t="s">
        <v>86</v>
      </c>
      <c r="C37" s="128" t="str">
        <f>Dados!B4</f>
        <v xml:space="preserve">Cia. Demo 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spans="1:19" ht="12.75" customHeight="1" x14ac:dyDescent="0.2">
      <c r="A38" s="169"/>
      <c r="C38" s="33" t="str">
        <f>Dados!B6</f>
        <v>Business Insight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1:19" x14ac:dyDescent="0.2">
      <c r="C39" s="91" t="s">
        <v>200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spans="1:19" ht="15.75" thickBot="1" x14ac:dyDescent="0.3"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9" ht="15.75" thickBot="1" x14ac:dyDescent="0.3">
      <c r="B41" s="167" t="s">
        <v>70</v>
      </c>
      <c r="C41" s="167"/>
      <c r="D41" s="167" t="s">
        <v>71</v>
      </c>
      <c r="E41" s="168"/>
      <c r="F41" s="146" t="s">
        <v>201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8"/>
    </row>
    <row r="42" spans="1:19" ht="15" x14ac:dyDescent="0.25">
      <c r="A42" s="3" t="s">
        <v>85</v>
      </c>
      <c r="B42" s="36" t="s">
        <v>72</v>
      </c>
      <c r="C42" s="36" t="s">
        <v>73</v>
      </c>
      <c r="D42" s="36" t="s">
        <v>72</v>
      </c>
      <c r="E42" s="36" t="s">
        <v>73</v>
      </c>
      <c r="F42" s="35" t="str">
        <f>F6</f>
        <v>Mês 1</v>
      </c>
      <c r="G42" s="35" t="str">
        <f t="shared" ref="G42:Q42" si="4">G6</f>
        <v>Mês 2</v>
      </c>
      <c r="H42" s="35" t="str">
        <f t="shared" si="4"/>
        <v>Mês 3</v>
      </c>
      <c r="I42" s="35" t="str">
        <f t="shared" si="4"/>
        <v>Mês 4</v>
      </c>
      <c r="J42" s="35" t="str">
        <f t="shared" si="4"/>
        <v>Mês 5</v>
      </c>
      <c r="K42" s="35" t="str">
        <f t="shared" si="4"/>
        <v>Mês 6</v>
      </c>
      <c r="L42" s="35" t="str">
        <f t="shared" si="4"/>
        <v>Mês 7</v>
      </c>
      <c r="M42" s="35" t="str">
        <f t="shared" si="4"/>
        <v>Mês 8</v>
      </c>
      <c r="N42" s="35" t="str">
        <f t="shared" si="4"/>
        <v>Mês 9</v>
      </c>
      <c r="O42" s="35" t="str">
        <f t="shared" si="4"/>
        <v>Mês 10</v>
      </c>
      <c r="P42" s="35" t="str">
        <f t="shared" si="4"/>
        <v>Mês 11</v>
      </c>
      <c r="Q42" s="35" t="str">
        <f t="shared" si="4"/>
        <v>Mês 12</v>
      </c>
      <c r="R42" s="35" t="s">
        <v>45</v>
      </c>
      <c r="S42" s="3" t="s">
        <v>84</v>
      </c>
    </row>
    <row r="44" spans="1:19" ht="15" x14ac:dyDescent="0.25">
      <c r="A44" s="21">
        <f>Produtos!A6</f>
        <v>1</v>
      </c>
      <c r="B44" s="21">
        <f>Produtos!B6</f>
        <v>1</v>
      </c>
      <c r="C44" s="58" t="str">
        <f>Produtos!C6</f>
        <v>Câmaras e Filmadoras</v>
      </c>
      <c r="D44" s="58">
        <f>Produtos!D6</f>
        <v>11</v>
      </c>
      <c r="E44" s="58" t="str">
        <f>Produtos!E6</f>
        <v>Câmara Digital 3D 18.2 MP</v>
      </c>
      <c r="F44" s="59">
        <v>1950000</v>
      </c>
      <c r="G44" s="59">
        <v>1950000</v>
      </c>
      <c r="H44" s="59">
        <v>1950000</v>
      </c>
      <c r="I44" s="59">
        <v>1950000</v>
      </c>
      <c r="J44" s="59">
        <v>1950000</v>
      </c>
      <c r="K44" s="59">
        <v>1950000</v>
      </c>
      <c r="L44" s="59">
        <v>1950000</v>
      </c>
      <c r="M44" s="59">
        <v>1950000</v>
      </c>
      <c r="N44" s="59">
        <v>1950000</v>
      </c>
      <c r="O44" s="59">
        <v>1950000</v>
      </c>
      <c r="P44" s="59">
        <v>1950000</v>
      </c>
      <c r="Q44" s="59">
        <v>1950000</v>
      </c>
      <c r="R44" s="60">
        <f>SUM(F44:Q44)</f>
        <v>23400000</v>
      </c>
      <c r="S44" s="61">
        <f>Produtos!Z6</f>
        <v>30</v>
      </c>
    </row>
    <row r="45" spans="1:19" ht="15" x14ac:dyDescent="0.25">
      <c r="A45" s="21">
        <f>Produtos!A7</f>
        <v>2</v>
      </c>
      <c r="B45" s="21">
        <f>Produtos!B7</f>
        <v>2</v>
      </c>
      <c r="C45" s="58" t="str">
        <f>Produtos!C7</f>
        <v>TV's e Audio</v>
      </c>
      <c r="D45" s="58">
        <f>Produtos!D7</f>
        <v>21</v>
      </c>
      <c r="E45" s="58" t="str">
        <f>Produtos!E7</f>
        <v>TV 3 D 32"</v>
      </c>
      <c r="F45" s="59">
        <v>2000000</v>
      </c>
      <c r="G45" s="59">
        <v>2000000</v>
      </c>
      <c r="H45" s="59">
        <v>2000000</v>
      </c>
      <c r="I45" s="59">
        <v>2000000</v>
      </c>
      <c r="J45" s="59">
        <v>2000000</v>
      </c>
      <c r="K45" s="59">
        <v>2000000</v>
      </c>
      <c r="L45" s="59">
        <v>2000000</v>
      </c>
      <c r="M45" s="59">
        <v>2000000</v>
      </c>
      <c r="N45" s="59">
        <v>2000000</v>
      </c>
      <c r="O45" s="59">
        <v>2000000</v>
      </c>
      <c r="P45" s="59">
        <v>2000000</v>
      </c>
      <c r="Q45" s="59">
        <v>2000000</v>
      </c>
      <c r="R45" s="60">
        <f t="shared" ref="R45:R54" si="5">SUM(F45:Q45)</f>
        <v>24000000</v>
      </c>
      <c r="S45" s="61">
        <f>Produtos!Z7</f>
        <v>30</v>
      </c>
    </row>
    <row r="46" spans="1:19" ht="15" x14ac:dyDescent="0.25">
      <c r="A46" s="21">
        <f>Produtos!A8</f>
        <v>3</v>
      </c>
      <c r="B46" s="21">
        <f>Produtos!B8</f>
        <v>3</v>
      </c>
      <c r="C46" s="58" t="str">
        <f>Produtos!C8</f>
        <v>Computadores</v>
      </c>
      <c r="D46" s="58">
        <f>Produtos!D8</f>
        <v>31</v>
      </c>
      <c r="E46" s="58" t="str">
        <f>Produtos!E8</f>
        <v>Desktop Dual Core 2GB</v>
      </c>
      <c r="F46" s="59">
        <v>1099000</v>
      </c>
      <c r="G46" s="59">
        <v>1099000</v>
      </c>
      <c r="H46" s="59">
        <v>1099000</v>
      </c>
      <c r="I46" s="59">
        <v>1099000</v>
      </c>
      <c r="J46" s="59">
        <v>1099000</v>
      </c>
      <c r="K46" s="59">
        <v>1099000</v>
      </c>
      <c r="L46" s="59">
        <v>1099000</v>
      </c>
      <c r="M46" s="59">
        <v>1099000</v>
      </c>
      <c r="N46" s="59">
        <v>1099000</v>
      </c>
      <c r="O46" s="59">
        <v>1099000</v>
      </c>
      <c r="P46" s="59">
        <v>1099000</v>
      </c>
      <c r="Q46" s="59">
        <v>1099000</v>
      </c>
      <c r="R46" s="60">
        <f t="shared" si="5"/>
        <v>13188000</v>
      </c>
      <c r="S46" s="61">
        <f>Produtos!Z8</f>
        <v>30</v>
      </c>
    </row>
    <row r="47" spans="1:19" ht="15" x14ac:dyDescent="0.25">
      <c r="A47" s="21">
        <f>Produtos!A9</f>
        <v>4</v>
      </c>
      <c r="B47" s="21">
        <f>Produtos!B9</f>
        <v>3</v>
      </c>
      <c r="C47" s="58" t="str">
        <f>Produtos!C9</f>
        <v>Computadores</v>
      </c>
      <c r="D47" s="58">
        <f>Produtos!D9</f>
        <v>32</v>
      </c>
      <c r="E47" s="58" t="str">
        <f>Produtos!E9</f>
        <v>Desktop 1</v>
      </c>
      <c r="F47" s="59">
        <v>1099000</v>
      </c>
      <c r="G47" s="59">
        <v>1099000</v>
      </c>
      <c r="H47" s="59">
        <v>1099000</v>
      </c>
      <c r="I47" s="59">
        <v>1099000</v>
      </c>
      <c r="J47" s="59">
        <v>1099000</v>
      </c>
      <c r="K47" s="59">
        <v>1099000</v>
      </c>
      <c r="L47" s="59">
        <v>1099000</v>
      </c>
      <c r="M47" s="59">
        <v>1099000</v>
      </c>
      <c r="N47" s="59">
        <v>1099000</v>
      </c>
      <c r="O47" s="59">
        <v>1099000</v>
      </c>
      <c r="P47" s="59">
        <v>1099000</v>
      </c>
      <c r="Q47" s="59">
        <v>1099000</v>
      </c>
      <c r="R47" s="60">
        <f t="shared" si="5"/>
        <v>13188000</v>
      </c>
      <c r="S47" s="61">
        <f>Produtos!Z9</f>
        <v>30</v>
      </c>
    </row>
    <row r="48" spans="1:19" ht="15" x14ac:dyDescent="0.25">
      <c r="A48" s="21">
        <f>Produtos!A10</f>
        <v>5</v>
      </c>
      <c r="B48" s="21">
        <f>Produtos!B10</f>
        <v>3</v>
      </c>
      <c r="C48" s="58" t="str">
        <f>Produtos!C10</f>
        <v>Computadores</v>
      </c>
      <c r="D48" s="58">
        <f>Produtos!D10</f>
        <v>33</v>
      </c>
      <c r="E48" s="58" t="str">
        <f>Produtos!E10</f>
        <v>Desktop 2</v>
      </c>
      <c r="F48" s="59">
        <v>1099000</v>
      </c>
      <c r="G48" s="59">
        <v>1099000</v>
      </c>
      <c r="H48" s="59">
        <v>1099000</v>
      </c>
      <c r="I48" s="59">
        <v>1099000</v>
      </c>
      <c r="J48" s="59">
        <v>1099000</v>
      </c>
      <c r="K48" s="59">
        <v>1099000</v>
      </c>
      <c r="L48" s="59">
        <v>1099000</v>
      </c>
      <c r="M48" s="59">
        <v>1099000</v>
      </c>
      <c r="N48" s="59">
        <v>1099000</v>
      </c>
      <c r="O48" s="59">
        <v>1099000</v>
      </c>
      <c r="P48" s="59">
        <v>1099000</v>
      </c>
      <c r="Q48" s="59">
        <v>1099000</v>
      </c>
      <c r="R48" s="60">
        <f t="shared" si="5"/>
        <v>13188000</v>
      </c>
      <c r="S48" s="61">
        <f>Produtos!Z10</f>
        <v>30</v>
      </c>
    </row>
    <row r="49" spans="1:23" ht="15" x14ac:dyDescent="0.25">
      <c r="A49" s="21">
        <f>Produtos!A11</f>
        <v>6</v>
      </c>
      <c r="B49" s="21">
        <f>Produtos!B11</f>
        <v>3</v>
      </c>
      <c r="C49" s="58" t="str">
        <f>Produtos!C11</f>
        <v>Computadores</v>
      </c>
      <c r="D49" s="58">
        <f>Produtos!D11</f>
        <v>34</v>
      </c>
      <c r="E49" s="58" t="str">
        <f>Produtos!E11</f>
        <v>Desktop 3</v>
      </c>
      <c r="F49" s="59">
        <v>1099000</v>
      </c>
      <c r="G49" s="59">
        <v>1099000</v>
      </c>
      <c r="H49" s="59">
        <v>1099000</v>
      </c>
      <c r="I49" s="59">
        <v>1099000</v>
      </c>
      <c r="J49" s="59">
        <v>1099000</v>
      </c>
      <c r="K49" s="59">
        <v>1099000</v>
      </c>
      <c r="L49" s="59">
        <v>1099000</v>
      </c>
      <c r="M49" s="59">
        <v>1099000</v>
      </c>
      <c r="N49" s="59">
        <v>1099000</v>
      </c>
      <c r="O49" s="59">
        <v>1099000</v>
      </c>
      <c r="P49" s="59">
        <v>1099000</v>
      </c>
      <c r="Q49" s="59">
        <v>1099000</v>
      </c>
      <c r="R49" s="60">
        <f t="shared" si="5"/>
        <v>13188000</v>
      </c>
      <c r="S49" s="61">
        <f>Produtos!Z11</f>
        <v>30</v>
      </c>
    </row>
    <row r="50" spans="1:23" ht="15" x14ac:dyDescent="0.25">
      <c r="A50" s="21">
        <f>Produtos!A12</f>
        <v>7</v>
      </c>
      <c r="B50" s="21">
        <f>Produtos!B12</f>
        <v>3</v>
      </c>
      <c r="C50" s="58" t="str">
        <f>Produtos!C12</f>
        <v>Computadores</v>
      </c>
      <c r="D50" s="58">
        <f>Produtos!D12</f>
        <v>35</v>
      </c>
      <c r="E50" s="58" t="str">
        <f>Produtos!E12</f>
        <v>Desktop 4</v>
      </c>
      <c r="F50" s="59">
        <v>1099000</v>
      </c>
      <c r="G50" s="59">
        <v>1099000</v>
      </c>
      <c r="H50" s="59">
        <v>1099000</v>
      </c>
      <c r="I50" s="59">
        <v>1099000</v>
      </c>
      <c r="J50" s="59">
        <v>1099000</v>
      </c>
      <c r="K50" s="59">
        <v>1099000</v>
      </c>
      <c r="L50" s="59">
        <v>1099000</v>
      </c>
      <c r="M50" s="59">
        <v>1099000</v>
      </c>
      <c r="N50" s="59">
        <v>1099000</v>
      </c>
      <c r="O50" s="59">
        <v>1099000</v>
      </c>
      <c r="P50" s="59">
        <v>1099000</v>
      </c>
      <c r="Q50" s="59">
        <v>1099000</v>
      </c>
      <c r="R50" s="60">
        <f t="shared" si="5"/>
        <v>13188000</v>
      </c>
      <c r="S50" s="61">
        <f>Produtos!Z12</f>
        <v>30</v>
      </c>
      <c r="V50" s="1">
        <v>1000</v>
      </c>
      <c r="W50" s="1">
        <v>0</v>
      </c>
    </row>
    <row r="51" spans="1:23" ht="15" x14ac:dyDescent="0.25">
      <c r="A51" s="21">
        <f>Produtos!A13</f>
        <v>8</v>
      </c>
      <c r="B51" s="21">
        <f>Produtos!B13</f>
        <v>3</v>
      </c>
      <c r="C51" s="58" t="str">
        <f>Produtos!C13</f>
        <v>Computadores</v>
      </c>
      <c r="D51" s="58">
        <f>Produtos!D13</f>
        <v>36</v>
      </c>
      <c r="E51" s="58" t="str">
        <f>Produtos!E13</f>
        <v>Desktop 5</v>
      </c>
      <c r="F51" s="59">
        <v>1099000</v>
      </c>
      <c r="G51" s="59">
        <v>1099000</v>
      </c>
      <c r="H51" s="59">
        <v>1099000</v>
      </c>
      <c r="I51" s="59">
        <v>1099000</v>
      </c>
      <c r="J51" s="59">
        <v>1099000</v>
      </c>
      <c r="K51" s="59">
        <v>1099000</v>
      </c>
      <c r="L51" s="59">
        <v>1099000</v>
      </c>
      <c r="M51" s="59">
        <v>1099000</v>
      </c>
      <c r="N51" s="59">
        <v>1099000</v>
      </c>
      <c r="O51" s="59">
        <v>1099000</v>
      </c>
      <c r="P51" s="59">
        <v>1099000</v>
      </c>
      <c r="Q51" s="59">
        <v>1099000</v>
      </c>
      <c r="R51" s="60">
        <f t="shared" si="5"/>
        <v>13188000</v>
      </c>
      <c r="S51" s="61">
        <f>Produtos!Z13</f>
        <v>30</v>
      </c>
      <c r="V51" s="1">
        <v>1000</v>
      </c>
      <c r="W51" s="1">
        <v>30</v>
      </c>
    </row>
    <row r="52" spans="1:23" ht="15" x14ac:dyDescent="0.25">
      <c r="A52" s="21">
        <f>Produtos!A14</f>
        <v>9</v>
      </c>
      <c r="B52" s="21">
        <f>Produtos!B14</f>
        <v>3</v>
      </c>
      <c r="C52" s="58" t="str">
        <f>Produtos!C14</f>
        <v>Computadores</v>
      </c>
      <c r="D52" s="58">
        <f>Produtos!D14</f>
        <v>37</v>
      </c>
      <c r="E52" s="58" t="str">
        <f>Produtos!E14</f>
        <v>Desktop 6</v>
      </c>
      <c r="F52" s="59">
        <v>1099000</v>
      </c>
      <c r="G52" s="59">
        <v>1099000</v>
      </c>
      <c r="H52" s="59">
        <v>1099000</v>
      </c>
      <c r="I52" s="59">
        <v>1099000</v>
      </c>
      <c r="J52" s="59">
        <v>1099000</v>
      </c>
      <c r="K52" s="59">
        <v>1099000</v>
      </c>
      <c r="L52" s="59">
        <v>1099000</v>
      </c>
      <c r="M52" s="59">
        <v>1099000</v>
      </c>
      <c r="N52" s="59">
        <v>1099000</v>
      </c>
      <c r="O52" s="59">
        <v>1099000</v>
      </c>
      <c r="P52" s="59">
        <v>1099000</v>
      </c>
      <c r="Q52" s="59">
        <v>1099000</v>
      </c>
      <c r="R52" s="60">
        <f t="shared" si="5"/>
        <v>13188000</v>
      </c>
      <c r="S52" s="61">
        <f>Produtos!Z14</f>
        <v>30</v>
      </c>
      <c r="V52" s="1">
        <f>V50+V51</f>
        <v>2000</v>
      </c>
      <c r="W52" s="1">
        <f>SUMPRODUCT(V50:V51,W50:W51)/V52</f>
        <v>15</v>
      </c>
    </row>
    <row r="53" spans="1:23" ht="15" x14ac:dyDescent="0.25">
      <c r="A53" s="21">
        <f>Produtos!A15</f>
        <v>10</v>
      </c>
      <c r="B53" s="21">
        <f>Produtos!B15</f>
        <v>3</v>
      </c>
      <c r="C53" s="58" t="str">
        <f>Produtos!C15</f>
        <v>Computadores</v>
      </c>
      <c r="D53" s="58">
        <f>Produtos!D15</f>
        <v>38</v>
      </c>
      <c r="E53" s="58" t="str">
        <f>Produtos!E15</f>
        <v>Desktop 7</v>
      </c>
      <c r="F53" s="59">
        <v>1099000</v>
      </c>
      <c r="G53" s="59">
        <v>1099000</v>
      </c>
      <c r="H53" s="59">
        <v>1099000</v>
      </c>
      <c r="I53" s="59">
        <v>1099000</v>
      </c>
      <c r="J53" s="59">
        <v>1099000</v>
      </c>
      <c r="K53" s="59">
        <v>1099000</v>
      </c>
      <c r="L53" s="59">
        <v>1099000</v>
      </c>
      <c r="M53" s="59">
        <v>1099000</v>
      </c>
      <c r="N53" s="59">
        <v>1099000</v>
      </c>
      <c r="O53" s="59">
        <v>1099000</v>
      </c>
      <c r="P53" s="59">
        <v>1099000</v>
      </c>
      <c r="Q53" s="59">
        <v>1099000</v>
      </c>
      <c r="R53" s="60">
        <f t="shared" si="5"/>
        <v>13188000</v>
      </c>
      <c r="S53" s="61">
        <f>Produtos!Z15</f>
        <v>30</v>
      </c>
    </row>
    <row r="54" spans="1:23" ht="15" x14ac:dyDescent="0.25">
      <c r="A54" s="21">
        <f>Produtos!A16</f>
        <v>11</v>
      </c>
      <c r="B54" s="21">
        <f>Produtos!B16</f>
        <v>3</v>
      </c>
      <c r="C54" s="58" t="str">
        <f>Produtos!C16</f>
        <v>Computadores</v>
      </c>
      <c r="D54" s="58">
        <f>Produtos!D16</f>
        <v>39</v>
      </c>
      <c r="E54" s="58" t="str">
        <f>Produtos!E16</f>
        <v>Desktop 8</v>
      </c>
      <c r="F54" s="59">
        <v>1099000</v>
      </c>
      <c r="G54" s="59">
        <v>1099000</v>
      </c>
      <c r="H54" s="59">
        <v>1099000</v>
      </c>
      <c r="I54" s="59">
        <v>1099000</v>
      </c>
      <c r="J54" s="59">
        <v>1099000</v>
      </c>
      <c r="K54" s="59">
        <v>1099000</v>
      </c>
      <c r="L54" s="59">
        <v>1099000</v>
      </c>
      <c r="M54" s="59">
        <v>1099000</v>
      </c>
      <c r="N54" s="59">
        <v>1099000</v>
      </c>
      <c r="O54" s="59">
        <v>1099000</v>
      </c>
      <c r="P54" s="59">
        <v>1099000</v>
      </c>
      <c r="Q54" s="59">
        <v>1099000</v>
      </c>
      <c r="R54" s="60">
        <f t="shared" si="5"/>
        <v>13188000</v>
      </c>
      <c r="S54" s="61">
        <f>Produtos!Z16</f>
        <v>30</v>
      </c>
    </row>
    <row r="55" spans="1:23" ht="15" x14ac:dyDescent="0.25">
      <c r="E55" s="30" t="s">
        <v>90</v>
      </c>
      <c r="F55" s="37">
        <f t="shared" ref="F55:R55" si="6">SUM(F44:F54)</f>
        <v>13841000</v>
      </c>
      <c r="G55" s="37">
        <f t="shared" si="6"/>
        <v>13841000</v>
      </c>
      <c r="H55" s="37">
        <f t="shared" si="6"/>
        <v>13841000</v>
      </c>
      <c r="I55" s="37">
        <f t="shared" si="6"/>
        <v>13841000</v>
      </c>
      <c r="J55" s="37">
        <f t="shared" si="6"/>
        <v>13841000</v>
      </c>
      <c r="K55" s="37">
        <f t="shared" si="6"/>
        <v>13841000</v>
      </c>
      <c r="L55" s="37">
        <f t="shared" si="6"/>
        <v>13841000</v>
      </c>
      <c r="M55" s="37">
        <f t="shared" si="6"/>
        <v>13841000</v>
      </c>
      <c r="N55" s="37">
        <f t="shared" si="6"/>
        <v>13841000</v>
      </c>
      <c r="O55" s="37">
        <f t="shared" si="6"/>
        <v>13841000</v>
      </c>
      <c r="P55" s="37">
        <f t="shared" si="6"/>
        <v>13841000</v>
      </c>
      <c r="Q55" s="37">
        <f t="shared" si="6"/>
        <v>13841000</v>
      </c>
      <c r="R55" s="37">
        <f t="shared" si="6"/>
        <v>166092000</v>
      </c>
      <c r="S55" s="38">
        <f>SUMPRODUCT(R44:R54,S44:S54)/R55</f>
        <v>30</v>
      </c>
    </row>
    <row r="56" spans="1:23" x14ac:dyDescent="0.2">
      <c r="S56" s="34"/>
    </row>
    <row r="57" spans="1:23" ht="13.5" thickBot="1" x14ac:dyDescent="0.25"/>
    <row r="58" spans="1:23" ht="15.75" thickBot="1" x14ac:dyDescent="0.3">
      <c r="B58" s="167" t="s">
        <v>70</v>
      </c>
      <c r="C58" s="167"/>
      <c r="D58" s="167" t="s">
        <v>71</v>
      </c>
      <c r="E58" s="168"/>
      <c r="F58" s="146" t="s">
        <v>202</v>
      </c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8"/>
      <c r="S58" s="12"/>
    </row>
    <row r="59" spans="1:23" ht="15" x14ac:dyDescent="0.25">
      <c r="A59" s="93" t="s">
        <v>85</v>
      </c>
      <c r="B59" s="92" t="s">
        <v>72</v>
      </c>
      <c r="C59" s="92" t="s">
        <v>73</v>
      </c>
      <c r="D59" s="92" t="s">
        <v>72</v>
      </c>
      <c r="E59" s="92" t="s">
        <v>73</v>
      </c>
      <c r="F59" s="35" t="s">
        <v>187</v>
      </c>
      <c r="G59" s="35" t="s">
        <v>188</v>
      </c>
      <c r="H59" s="35" t="s">
        <v>189</v>
      </c>
      <c r="I59" s="35" t="s">
        <v>190</v>
      </c>
      <c r="J59" s="35" t="s">
        <v>191</v>
      </c>
      <c r="K59" s="35" t="s">
        <v>192</v>
      </c>
      <c r="L59" s="35" t="s">
        <v>193</v>
      </c>
      <c r="M59" s="35" t="s">
        <v>194</v>
      </c>
      <c r="N59" s="35" t="s">
        <v>195</v>
      </c>
      <c r="O59" s="35" t="s">
        <v>196</v>
      </c>
      <c r="P59" s="35" t="s">
        <v>197</v>
      </c>
      <c r="Q59" s="35" t="s">
        <v>198</v>
      </c>
      <c r="R59" s="35" t="s">
        <v>45</v>
      </c>
    </row>
    <row r="60" spans="1:23" x14ac:dyDescent="0.2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</row>
    <row r="61" spans="1:23" ht="15" x14ac:dyDescent="0.25">
      <c r="A61" s="21">
        <f>Produtos!A6</f>
        <v>1</v>
      </c>
      <c r="B61" s="21">
        <f>Produtos!B6</f>
        <v>1</v>
      </c>
      <c r="C61" s="21" t="str">
        <f>Produtos!C6</f>
        <v>Câmaras e Filmadoras</v>
      </c>
      <c r="D61" s="21">
        <f>Produtos!D6</f>
        <v>11</v>
      </c>
      <c r="E61" s="21" t="str">
        <f>Produtos!E6</f>
        <v>Câmara Digital 3D 18.2 MP</v>
      </c>
      <c r="F61" s="62">
        <f>F44/Produtos!$AM6</f>
        <v>1000</v>
      </c>
      <c r="G61" s="62">
        <f>G44/Produtos!$AM6</f>
        <v>1000</v>
      </c>
      <c r="H61" s="62">
        <f>H44/Produtos!$AM6</f>
        <v>1000</v>
      </c>
      <c r="I61" s="62">
        <f>I44/Produtos!$AM6</f>
        <v>1000</v>
      </c>
      <c r="J61" s="62">
        <f>J44/Produtos!$AM6</f>
        <v>1000</v>
      </c>
      <c r="K61" s="62">
        <f>K44/Produtos!$AM6</f>
        <v>1000</v>
      </c>
      <c r="L61" s="62">
        <f>L44/Produtos!$AM6</f>
        <v>1000</v>
      </c>
      <c r="M61" s="62">
        <f>M44/Produtos!$AM6</f>
        <v>1000</v>
      </c>
      <c r="N61" s="62">
        <f>N44/Produtos!$AM6</f>
        <v>1000</v>
      </c>
      <c r="O61" s="62">
        <f>O44/Produtos!$AM6</f>
        <v>1000</v>
      </c>
      <c r="P61" s="62">
        <f>P44/Produtos!$AM6</f>
        <v>1000</v>
      </c>
      <c r="Q61" s="62">
        <f>Q44/Produtos!$AM6</f>
        <v>1000</v>
      </c>
      <c r="R61" s="62">
        <f>SUM(F61:Q61)</f>
        <v>12000</v>
      </c>
    </row>
    <row r="62" spans="1:23" ht="15" x14ac:dyDescent="0.25">
      <c r="A62" s="21">
        <f>Produtos!A7</f>
        <v>2</v>
      </c>
      <c r="B62" s="21">
        <f>Produtos!B7</f>
        <v>2</v>
      </c>
      <c r="C62" s="21" t="str">
        <f>Produtos!C7</f>
        <v>TV's e Audio</v>
      </c>
      <c r="D62" s="21">
        <f>Produtos!D7</f>
        <v>21</v>
      </c>
      <c r="E62" s="21" t="str">
        <f>Produtos!E7</f>
        <v>TV 3 D 32"</v>
      </c>
      <c r="F62" s="62">
        <f>F45/Produtos!$AM7</f>
        <v>1000</v>
      </c>
      <c r="G62" s="62">
        <f>G45/Produtos!$AM7</f>
        <v>1000</v>
      </c>
      <c r="H62" s="62">
        <f>H45/Produtos!$AM7</f>
        <v>1000</v>
      </c>
      <c r="I62" s="62">
        <f>I45/Produtos!$AM7</f>
        <v>1000</v>
      </c>
      <c r="J62" s="62">
        <f>J45/Produtos!$AM7</f>
        <v>1000</v>
      </c>
      <c r="K62" s="62">
        <f>K45/Produtos!$AM7</f>
        <v>1000</v>
      </c>
      <c r="L62" s="62">
        <f>L45/Produtos!$AM7</f>
        <v>1000</v>
      </c>
      <c r="M62" s="62">
        <f>M45/Produtos!$AM7</f>
        <v>1000</v>
      </c>
      <c r="N62" s="62">
        <f>N45/Produtos!$AM7</f>
        <v>1000</v>
      </c>
      <c r="O62" s="62">
        <f>O45/Produtos!$AM7</f>
        <v>1000</v>
      </c>
      <c r="P62" s="62">
        <f>P45/Produtos!$AM7</f>
        <v>1000</v>
      </c>
      <c r="Q62" s="62">
        <f>Q45/Produtos!$AM7</f>
        <v>1000</v>
      </c>
      <c r="R62" s="62">
        <f>SUM(F62:Q62)</f>
        <v>12000</v>
      </c>
    </row>
    <row r="63" spans="1:23" ht="15" x14ac:dyDescent="0.25">
      <c r="A63" s="21">
        <f>Produtos!A8</f>
        <v>3</v>
      </c>
      <c r="B63" s="21">
        <f>Produtos!B8</f>
        <v>3</v>
      </c>
      <c r="C63" s="21" t="str">
        <f>Produtos!C8</f>
        <v>Computadores</v>
      </c>
      <c r="D63" s="21">
        <f>Produtos!D8</f>
        <v>31</v>
      </c>
      <c r="E63" s="21" t="str">
        <f>Produtos!E8</f>
        <v>Desktop Dual Core 2GB</v>
      </c>
      <c r="F63" s="62">
        <f>F46/Produtos!$AM8</f>
        <v>1000</v>
      </c>
      <c r="G63" s="62">
        <f>G46/Produtos!$AM8</f>
        <v>1000</v>
      </c>
      <c r="H63" s="62">
        <f>H46/Produtos!$AM8</f>
        <v>1000</v>
      </c>
      <c r="I63" s="62">
        <f>I46/Produtos!$AM8</f>
        <v>1000</v>
      </c>
      <c r="J63" s="62">
        <f>J46/Produtos!$AM8</f>
        <v>1000</v>
      </c>
      <c r="K63" s="62">
        <f>K46/Produtos!$AM8</f>
        <v>1000</v>
      </c>
      <c r="L63" s="62">
        <f>L46/Produtos!$AM8</f>
        <v>1000</v>
      </c>
      <c r="M63" s="62">
        <f>M46/Produtos!$AM8</f>
        <v>1000</v>
      </c>
      <c r="N63" s="62">
        <f>N46/Produtos!$AM8</f>
        <v>1000</v>
      </c>
      <c r="O63" s="62">
        <f>O46/Produtos!$AM8</f>
        <v>1000</v>
      </c>
      <c r="P63" s="62">
        <f>P46/Produtos!$AM8</f>
        <v>1000</v>
      </c>
      <c r="Q63" s="62">
        <f>Q46/Produtos!$AM8</f>
        <v>1000</v>
      </c>
      <c r="R63" s="62">
        <f>SUM(F63:Q63)</f>
        <v>12000</v>
      </c>
    </row>
    <row r="64" spans="1:23" ht="15" x14ac:dyDescent="0.25">
      <c r="A64" s="21">
        <f>Produtos!A9</f>
        <v>4</v>
      </c>
      <c r="B64" s="21">
        <f>Produtos!B9</f>
        <v>3</v>
      </c>
      <c r="C64" s="21" t="str">
        <f>Produtos!C9</f>
        <v>Computadores</v>
      </c>
      <c r="D64" s="21">
        <f>Produtos!D9</f>
        <v>32</v>
      </c>
      <c r="E64" s="21" t="str">
        <f>Produtos!E9</f>
        <v>Desktop 1</v>
      </c>
      <c r="F64" s="62">
        <f>F47/Produtos!$AM9</f>
        <v>1000</v>
      </c>
      <c r="G64" s="62">
        <f>G47/Produtos!$AM9</f>
        <v>1000</v>
      </c>
      <c r="H64" s="62">
        <f>H47/Produtos!$AM9</f>
        <v>1000</v>
      </c>
      <c r="I64" s="62">
        <f>I47/Produtos!$AM9</f>
        <v>1000</v>
      </c>
      <c r="J64" s="62">
        <f>J47/Produtos!$AM9</f>
        <v>1000</v>
      </c>
      <c r="K64" s="62">
        <f>K47/Produtos!$AM9</f>
        <v>1000</v>
      </c>
      <c r="L64" s="62">
        <f>L47/Produtos!$AM9</f>
        <v>1000</v>
      </c>
      <c r="M64" s="62">
        <f>M47/Produtos!$AM9</f>
        <v>1000</v>
      </c>
      <c r="N64" s="62">
        <f>N47/Produtos!$AM9</f>
        <v>1000</v>
      </c>
      <c r="O64" s="62">
        <f>O47/Produtos!$AM9</f>
        <v>1000</v>
      </c>
      <c r="P64" s="62">
        <f>P47/Produtos!$AM9</f>
        <v>1000</v>
      </c>
      <c r="Q64" s="62">
        <f>Q47/Produtos!$AM9</f>
        <v>1000</v>
      </c>
      <c r="R64" s="62">
        <f t="shared" ref="R64:R71" si="7">SUM(F64:Q64)</f>
        <v>12000</v>
      </c>
    </row>
    <row r="65" spans="1:18" ht="15" x14ac:dyDescent="0.25">
      <c r="A65" s="21">
        <f>Produtos!A10</f>
        <v>5</v>
      </c>
      <c r="B65" s="21">
        <f>Produtos!B10</f>
        <v>3</v>
      </c>
      <c r="C65" s="21" t="str">
        <f>Produtos!C10</f>
        <v>Computadores</v>
      </c>
      <c r="D65" s="21">
        <f>Produtos!D10</f>
        <v>33</v>
      </c>
      <c r="E65" s="21" t="str">
        <f>Produtos!E10</f>
        <v>Desktop 2</v>
      </c>
      <c r="F65" s="62">
        <f>F48/Produtos!$AM10</f>
        <v>1000</v>
      </c>
      <c r="G65" s="62">
        <f>G48/Produtos!$AM10</f>
        <v>1000</v>
      </c>
      <c r="H65" s="62">
        <f>H48/Produtos!$AM10</f>
        <v>1000</v>
      </c>
      <c r="I65" s="62">
        <f>I48/Produtos!$AM10</f>
        <v>1000</v>
      </c>
      <c r="J65" s="62">
        <f>J48/Produtos!$AM10</f>
        <v>1000</v>
      </c>
      <c r="K65" s="62">
        <f>K48/Produtos!$AM10</f>
        <v>1000</v>
      </c>
      <c r="L65" s="62">
        <f>L48/Produtos!$AM10</f>
        <v>1000</v>
      </c>
      <c r="M65" s="62">
        <f>M48/Produtos!$AM10</f>
        <v>1000</v>
      </c>
      <c r="N65" s="62">
        <f>N48/Produtos!$AM10</f>
        <v>1000</v>
      </c>
      <c r="O65" s="62">
        <f>O48/Produtos!$AM10</f>
        <v>1000</v>
      </c>
      <c r="P65" s="62">
        <f>P48/Produtos!$AM10</f>
        <v>1000</v>
      </c>
      <c r="Q65" s="62">
        <f>Q48/Produtos!$AM10</f>
        <v>1000</v>
      </c>
      <c r="R65" s="62">
        <f t="shared" si="7"/>
        <v>12000</v>
      </c>
    </row>
    <row r="66" spans="1:18" ht="15" x14ac:dyDescent="0.25">
      <c r="A66" s="21">
        <f>Produtos!A11</f>
        <v>6</v>
      </c>
      <c r="B66" s="21">
        <f>Produtos!B11</f>
        <v>3</v>
      </c>
      <c r="C66" s="21" t="str">
        <f>Produtos!C11</f>
        <v>Computadores</v>
      </c>
      <c r="D66" s="21">
        <f>Produtos!D11</f>
        <v>34</v>
      </c>
      <c r="E66" s="21" t="str">
        <f>Produtos!E11</f>
        <v>Desktop 3</v>
      </c>
      <c r="F66" s="62">
        <f>F49/Produtos!$AM11</f>
        <v>1000</v>
      </c>
      <c r="G66" s="62">
        <f>G49/Produtos!$AM11</f>
        <v>1000</v>
      </c>
      <c r="H66" s="62">
        <f>H49/Produtos!$AM11</f>
        <v>1000</v>
      </c>
      <c r="I66" s="62">
        <f>I49/Produtos!$AM11</f>
        <v>1000</v>
      </c>
      <c r="J66" s="62">
        <f>J49/Produtos!$AM11</f>
        <v>1000</v>
      </c>
      <c r="K66" s="62">
        <f>K49/Produtos!$AM11</f>
        <v>1000</v>
      </c>
      <c r="L66" s="62">
        <f>L49/Produtos!$AM11</f>
        <v>1000</v>
      </c>
      <c r="M66" s="62">
        <f>M49/Produtos!$AM11</f>
        <v>1000</v>
      </c>
      <c r="N66" s="62">
        <f>N49/Produtos!$AM11</f>
        <v>1000</v>
      </c>
      <c r="O66" s="62">
        <f>O49/Produtos!$AM11</f>
        <v>1000</v>
      </c>
      <c r="P66" s="62">
        <f>P49/Produtos!$AM11</f>
        <v>1000</v>
      </c>
      <c r="Q66" s="62">
        <f>Q49/Produtos!$AM11</f>
        <v>1000</v>
      </c>
      <c r="R66" s="62">
        <f t="shared" si="7"/>
        <v>12000</v>
      </c>
    </row>
    <row r="67" spans="1:18" ht="15" x14ac:dyDescent="0.25">
      <c r="A67" s="21">
        <f>Produtos!A12</f>
        <v>7</v>
      </c>
      <c r="B67" s="21">
        <f>Produtos!B12</f>
        <v>3</v>
      </c>
      <c r="C67" s="21" t="str">
        <f>Produtos!C12</f>
        <v>Computadores</v>
      </c>
      <c r="D67" s="21">
        <f>Produtos!D12</f>
        <v>35</v>
      </c>
      <c r="E67" s="21" t="str">
        <f>Produtos!E12</f>
        <v>Desktop 4</v>
      </c>
      <c r="F67" s="62">
        <f>F50/Produtos!$AM12</f>
        <v>1000</v>
      </c>
      <c r="G67" s="62">
        <f>G50/Produtos!$AM12</f>
        <v>1000</v>
      </c>
      <c r="H67" s="62">
        <f>H50/Produtos!$AM12</f>
        <v>1000</v>
      </c>
      <c r="I67" s="62">
        <f>I50/Produtos!$AM12</f>
        <v>1000</v>
      </c>
      <c r="J67" s="62">
        <f>J50/Produtos!$AM12</f>
        <v>1000</v>
      </c>
      <c r="K67" s="62">
        <f>K50/Produtos!$AM12</f>
        <v>1000</v>
      </c>
      <c r="L67" s="62">
        <f>L50/Produtos!$AM12</f>
        <v>1000</v>
      </c>
      <c r="M67" s="62">
        <f>M50/Produtos!$AM12</f>
        <v>1000</v>
      </c>
      <c r="N67" s="62">
        <f>N50/Produtos!$AM12</f>
        <v>1000</v>
      </c>
      <c r="O67" s="62">
        <f>O50/Produtos!$AM12</f>
        <v>1000</v>
      </c>
      <c r="P67" s="62">
        <f>P50/Produtos!$AM12</f>
        <v>1000</v>
      </c>
      <c r="Q67" s="62">
        <f>Q50/Produtos!$AM12</f>
        <v>1000</v>
      </c>
      <c r="R67" s="62">
        <f t="shared" si="7"/>
        <v>12000</v>
      </c>
    </row>
    <row r="68" spans="1:18" ht="15" x14ac:dyDescent="0.25">
      <c r="A68" s="21">
        <f>Produtos!A13</f>
        <v>8</v>
      </c>
      <c r="B68" s="21">
        <f>Produtos!B13</f>
        <v>3</v>
      </c>
      <c r="C68" s="21" t="str">
        <f>Produtos!C13</f>
        <v>Computadores</v>
      </c>
      <c r="D68" s="21">
        <f>Produtos!D13</f>
        <v>36</v>
      </c>
      <c r="E68" s="21" t="str">
        <f>Produtos!E13</f>
        <v>Desktop 5</v>
      </c>
      <c r="F68" s="62">
        <f>F51/Produtos!$AM13</f>
        <v>1000</v>
      </c>
      <c r="G68" s="62">
        <f>G51/Produtos!$AM13</f>
        <v>1000</v>
      </c>
      <c r="H68" s="62">
        <f>H51/Produtos!$AM13</f>
        <v>1000</v>
      </c>
      <c r="I68" s="62">
        <f>I51/Produtos!$AM13</f>
        <v>1000</v>
      </c>
      <c r="J68" s="62">
        <f>J51/Produtos!$AM13</f>
        <v>1000</v>
      </c>
      <c r="K68" s="62">
        <f>K51/Produtos!$AM13</f>
        <v>1000</v>
      </c>
      <c r="L68" s="62">
        <f>L51/Produtos!$AM13</f>
        <v>1000</v>
      </c>
      <c r="M68" s="62">
        <f>M51/Produtos!$AM13</f>
        <v>1000</v>
      </c>
      <c r="N68" s="62">
        <f>N51/Produtos!$AM13</f>
        <v>1000</v>
      </c>
      <c r="O68" s="62">
        <f>O51/Produtos!$AM13</f>
        <v>1000</v>
      </c>
      <c r="P68" s="62">
        <f>P51/Produtos!$AM13</f>
        <v>1000</v>
      </c>
      <c r="Q68" s="62">
        <f>Q51/Produtos!$AM13</f>
        <v>1000</v>
      </c>
      <c r="R68" s="62">
        <f t="shared" si="7"/>
        <v>12000</v>
      </c>
    </row>
    <row r="69" spans="1:18" ht="15" x14ac:dyDescent="0.25">
      <c r="A69" s="21">
        <f>Produtos!A14</f>
        <v>9</v>
      </c>
      <c r="B69" s="21">
        <f>Produtos!B14</f>
        <v>3</v>
      </c>
      <c r="C69" s="21" t="str">
        <f>Produtos!C14</f>
        <v>Computadores</v>
      </c>
      <c r="D69" s="21">
        <f>Produtos!D14</f>
        <v>37</v>
      </c>
      <c r="E69" s="21" t="str">
        <f>Produtos!E14</f>
        <v>Desktop 6</v>
      </c>
      <c r="F69" s="62">
        <f>F52/Produtos!$AM14</f>
        <v>1000</v>
      </c>
      <c r="G69" s="62">
        <f>G52/Produtos!$AM14</f>
        <v>1000</v>
      </c>
      <c r="H69" s="62">
        <f>H52/Produtos!$AM14</f>
        <v>1000</v>
      </c>
      <c r="I69" s="62">
        <f>I52/Produtos!$AM14</f>
        <v>1000</v>
      </c>
      <c r="J69" s="62">
        <f>J52/Produtos!$AM14</f>
        <v>1000</v>
      </c>
      <c r="K69" s="62">
        <f>K52/Produtos!$AM14</f>
        <v>1000</v>
      </c>
      <c r="L69" s="62">
        <f>L52/Produtos!$AM14</f>
        <v>1000</v>
      </c>
      <c r="M69" s="62">
        <f>M52/Produtos!$AM14</f>
        <v>1000</v>
      </c>
      <c r="N69" s="62">
        <f>N52/Produtos!$AM14</f>
        <v>1000</v>
      </c>
      <c r="O69" s="62">
        <f>O52/Produtos!$AM14</f>
        <v>1000</v>
      </c>
      <c r="P69" s="62">
        <f>P52/Produtos!$AM14</f>
        <v>1000</v>
      </c>
      <c r="Q69" s="62">
        <f>Q52/Produtos!$AM14</f>
        <v>1000</v>
      </c>
      <c r="R69" s="62">
        <f t="shared" si="7"/>
        <v>12000</v>
      </c>
    </row>
    <row r="70" spans="1:18" ht="15" x14ac:dyDescent="0.25">
      <c r="A70" s="21">
        <f>Produtos!A15</f>
        <v>10</v>
      </c>
      <c r="B70" s="21">
        <f>Produtos!B15</f>
        <v>3</v>
      </c>
      <c r="C70" s="21" t="str">
        <f>Produtos!C15</f>
        <v>Computadores</v>
      </c>
      <c r="D70" s="21">
        <f>Produtos!D15</f>
        <v>38</v>
      </c>
      <c r="E70" s="21" t="str">
        <f>Produtos!E15</f>
        <v>Desktop 7</v>
      </c>
      <c r="F70" s="62">
        <f>F53/Produtos!$AM15</f>
        <v>1000</v>
      </c>
      <c r="G70" s="62">
        <f>G53/Produtos!$AM15</f>
        <v>1000</v>
      </c>
      <c r="H70" s="62">
        <f>H53/Produtos!$AM15</f>
        <v>1000</v>
      </c>
      <c r="I70" s="62">
        <f>I53/Produtos!$AM15</f>
        <v>1000</v>
      </c>
      <c r="J70" s="62">
        <f>J53/Produtos!$AM15</f>
        <v>1000</v>
      </c>
      <c r="K70" s="62">
        <f>K53/Produtos!$AM15</f>
        <v>1000</v>
      </c>
      <c r="L70" s="62">
        <f>L53/Produtos!$AM15</f>
        <v>1000</v>
      </c>
      <c r="M70" s="62">
        <f>M53/Produtos!$AM15</f>
        <v>1000</v>
      </c>
      <c r="N70" s="62">
        <f>N53/Produtos!$AM15</f>
        <v>1000</v>
      </c>
      <c r="O70" s="62">
        <f>O53/Produtos!$AM15</f>
        <v>1000</v>
      </c>
      <c r="P70" s="62">
        <f>P53/Produtos!$AM15</f>
        <v>1000</v>
      </c>
      <c r="Q70" s="62">
        <f>Q53/Produtos!$AM15</f>
        <v>1000</v>
      </c>
      <c r="R70" s="62">
        <f t="shared" si="7"/>
        <v>12000</v>
      </c>
    </row>
    <row r="71" spans="1:18" ht="15" x14ac:dyDescent="0.25">
      <c r="A71" s="21">
        <f>Produtos!A16</f>
        <v>11</v>
      </c>
      <c r="B71" s="21">
        <f>Produtos!B16</f>
        <v>3</v>
      </c>
      <c r="C71" s="21" t="str">
        <f>Produtos!C16</f>
        <v>Computadores</v>
      </c>
      <c r="D71" s="21">
        <f>Produtos!D16</f>
        <v>39</v>
      </c>
      <c r="E71" s="21" t="str">
        <f>Produtos!E16</f>
        <v>Desktop 8</v>
      </c>
      <c r="F71" s="62">
        <f>F54/Produtos!$AM16</f>
        <v>1000</v>
      </c>
      <c r="G71" s="62">
        <f>G54/Produtos!$AM16</f>
        <v>1000</v>
      </c>
      <c r="H71" s="62">
        <f>H54/Produtos!$AM16</f>
        <v>1000</v>
      </c>
      <c r="I71" s="62">
        <f>I54/Produtos!$AM16</f>
        <v>1000</v>
      </c>
      <c r="J71" s="62">
        <f>J54/Produtos!$AM16</f>
        <v>1000</v>
      </c>
      <c r="K71" s="62">
        <f>K54/Produtos!$AM16</f>
        <v>1000</v>
      </c>
      <c r="L71" s="62">
        <f>L54/Produtos!$AM16</f>
        <v>1000</v>
      </c>
      <c r="M71" s="62">
        <f>M54/Produtos!$AM16</f>
        <v>1000</v>
      </c>
      <c r="N71" s="62">
        <f>N54/Produtos!$AM16</f>
        <v>1000</v>
      </c>
      <c r="O71" s="62">
        <f>O54/Produtos!$AM16</f>
        <v>1000</v>
      </c>
      <c r="P71" s="62">
        <f>P54/Produtos!$AM16</f>
        <v>1000</v>
      </c>
      <c r="Q71" s="62">
        <f>Q54/Produtos!$AM16</f>
        <v>1000</v>
      </c>
      <c r="R71" s="62">
        <f t="shared" si="7"/>
        <v>12000</v>
      </c>
    </row>
    <row r="72" spans="1:18" ht="15" x14ac:dyDescent="0.25">
      <c r="E72" s="30" t="s">
        <v>87</v>
      </c>
      <c r="F72" s="63">
        <f t="shared" ref="F72:R72" si="8">SUM(F61:F71)</f>
        <v>11000</v>
      </c>
      <c r="G72" s="63">
        <f t="shared" si="8"/>
        <v>11000</v>
      </c>
      <c r="H72" s="63">
        <f t="shared" si="8"/>
        <v>11000</v>
      </c>
      <c r="I72" s="63">
        <f t="shared" si="8"/>
        <v>11000</v>
      </c>
      <c r="J72" s="63">
        <f t="shared" si="8"/>
        <v>11000</v>
      </c>
      <c r="K72" s="63">
        <f t="shared" si="8"/>
        <v>11000</v>
      </c>
      <c r="L72" s="63">
        <f t="shared" si="8"/>
        <v>11000</v>
      </c>
      <c r="M72" s="63">
        <f t="shared" si="8"/>
        <v>11000</v>
      </c>
      <c r="N72" s="63">
        <f t="shared" si="8"/>
        <v>11000</v>
      </c>
      <c r="O72" s="63">
        <f t="shared" si="8"/>
        <v>11000</v>
      </c>
      <c r="P72" s="63">
        <f t="shared" si="8"/>
        <v>11000</v>
      </c>
      <c r="Q72" s="63">
        <f t="shared" si="8"/>
        <v>11000</v>
      </c>
      <c r="R72" s="63">
        <f t="shared" si="8"/>
        <v>132000</v>
      </c>
    </row>
    <row r="80" spans="1:18" x14ac:dyDescent="0.2">
      <c r="G80" s="129"/>
      <c r="H80" s="132"/>
      <c r="I80" s="133"/>
    </row>
    <row r="81" spans="7:7" x14ac:dyDescent="0.2">
      <c r="G81" s="129"/>
    </row>
    <row r="83" spans="7:7" x14ac:dyDescent="0.2">
      <c r="G83" s="131"/>
    </row>
    <row r="85" spans="7:7" x14ac:dyDescent="0.2">
      <c r="G85" s="130"/>
    </row>
    <row r="86" spans="7:7" x14ac:dyDescent="0.2">
      <c r="G86" s="130"/>
    </row>
  </sheetData>
  <mergeCells count="16">
    <mergeCell ref="B58:C58"/>
    <mergeCell ref="D58:E58"/>
    <mergeCell ref="F58:R58"/>
    <mergeCell ref="A1:A2"/>
    <mergeCell ref="C1:D1"/>
    <mergeCell ref="C2:D2"/>
    <mergeCell ref="B41:C41"/>
    <mergeCell ref="D41:E41"/>
    <mergeCell ref="A37:A38"/>
    <mergeCell ref="B21:C21"/>
    <mergeCell ref="D21:E21"/>
    <mergeCell ref="F41:R41"/>
    <mergeCell ref="B5:C5"/>
    <mergeCell ref="D5:E5"/>
    <mergeCell ref="F5:R5"/>
    <mergeCell ref="F21:R21"/>
  </mergeCells>
  <dataValidations disablePrompts="1" count="1">
    <dataValidation type="list" allowBlank="1" showInputMessage="1" showErrorMessage="1" sqref="D3">
      <formula1>#REF!</formula1>
    </dataValidation>
  </dataValidations>
  <pageMargins left="0.78740157480314965" right="0.78740157480314965" top="0.98425196850393704" bottom="0.98425196850393704" header="0.51181102362204722" footer="0.51181102362204722"/>
  <pageSetup paperSize="9" scale="90" orientation="landscape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0"/>
  <sheetViews>
    <sheetView topLeftCell="C1" workbookViewId="0">
      <selection activeCell="I78" sqref="I78"/>
    </sheetView>
  </sheetViews>
  <sheetFormatPr defaultRowHeight="12.75" outlineLevelRow="1" x14ac:dyDescent="0.2"/>
  <cols>
    <col min="1" max="1" width="9.140625" style="1"/>
    <col min="2" max="2" width="24.28515625" style="1" bestFit="1" customWidth="1"/>
    <col min="3" max="3" width="23.5703125" style="1" customWidth="1"/>
    <col min="4" max="4" width="24" style="1" customWidth="1"/>
    <col min="5" max="5" width="24.42578125" style="1" customWidth="1"/>
    <col min="6" max="6" width="12.7109375" style="1" bestFit="1" customWidth="1"/>
    <col min="7" max="16" width="11.7109375" style="1" bestFit="1" customWidth="1"/>
    <col min="17" max="17" width="12.85546875" style="1" bestFit="1" customWidth="1"/>
    <col min="18" max="18" width="14" style="1" bestFit="1" customWidth="1"/>
    <col min="19" max="19" width="10.140625" style="1" customWidth="1"/>
    <col min="20" max="20" width="11.140625" style="1" customWidth="1"/>
    <col min="21" max="16384" width="9.140625" style="1"/>
  </cols>
  <sheetData>
    <row r="1" spans="1:19" ht="22.5" x14ac:dyDescent="0.3">
      <c r="A1" s="32" t="str">
        <f>Dados!B4</f>
        <v xml:space="preserve">Cia. Demo </v>
      </c>
      <c r="C1" s="174" t="s">
        <v>81</v>
      </c>
    </row>
    <row r="2" spans="1:19" x14ac:dyDescent="0.2">
      <c r="A2" s="33" t="str">
        <f>Dados!B6</f>
        <v>Business Insight</v>
      </c>
      <c r="C2" s="174"/>
    </row>
    <row r="4" spans="1:19" ht="15" x14ac:dyDescent="0.25">
      <c r="B4" s="175" t="s">
        <v>71</v>
      </c>
      <c r="C4" s="175"/>
      <c r="D4" s="172" t="s">
        <v>74</v>
      </c>
      <c r="E4" s="40"/>
      <c r="F4" s="175" t="s">
        <v>91</v>
      </c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</row>
    <row r="5" spans="1:19" ht="15" x14ac:dyDescent="0.25">
      <c r="B5" s="41" t="s">
        <v>75</v>
      </c>
      <c r="C5" s="19" t="s">
        <v>73</v>
      </c>
      <c r="D5" s="173"/>
      <c r="E5" s="41" t="s">
        <v>76</v>
      </c>
      <c r="F5" s="19" t="str">
        <f>'Vendas '!F6</f>
        <v>Mês 1</v>
      </c>
      <c r="G5" s="136" t="str">
        <f>'Vendas '!G6</f>
        <v>Mês 2</v>
      </c>
      <c r="H5" s="136" t="str">
        <f>'Vendas '!H6</f>
        <v>Mês 3</v>
      </c>
      <c r="I5" s="136" t="str">
        <f>'Vendas '!I6</f>
        <v>Mês 4</v>
      </c>
      <c r="J5" s="136" t="str">
        <f>'Vendas '!J6</f>
        <v>Mês 5</v>
      </c>
      <c r="K5" s="136" t="str">
        <f>'Vendas '!K6</f>
        <v>Mês 6</v>
      </c>
      <c r="L5" s="136" t="str">
        <f>'Vendas '!L6</f>
        <v>Mês 7</v>
      </c>
      <c r="M5" s="136" t="str">
        <f>'Vendas '!M6</f>
        <v>Mês 8</v>
      </c>
      <c r="N5" s="136" t="str">
        <f>'Vendas '!N6</f>
        <v>Mês 9</v>
      </c>
      <c r="O5" s="136" t="str">
        <f>'Vendas '!O6</f>
        <v>Mês 10</v>
      </c>
      <c r="P5" s="136" t="str">
        <f>'Vendas '!P6</f>
        <v>Mês 11</v>
      </c>
      <c r="Q5" s="136" t="str">
        <f>'Vendas '!Q6</f>
        <v>Mês 12</v>
      </c>
      <c r="R5" s="19" t="s">
        <v>45</v>
      </c>
    </row>
    <row r="6" spans="1:19" ht="15.75" x14ac:dyDescent="0.25">
      <c r="B6" s="137"/>
      <c r="C6" s="137"/>
      <c r="D6" s="137"/>
      <c r="E6" s="137"/>
      <c r="F6" s="141">
        <f>F8+F14+F20+F26+F32+F38+F44+F50+F56+F62+F68</f>
        <v>19497400</v>
      </c>
      <c r="G6" s="141">
        <f t="shared" ref="G6:Q6" si="0">G8+G14+G20+G26+G32+G38+G44+G50+G56+G62+G68</f>
        <v>9748700</v>
      </c>
      <c r="H6" s="141">
        <f t="shared" si="0"/>
        <v>9748700</v>
      </c>
      <c r="I6" s="141">
        <f t="shared" si="0"/>
        <v>9748700</v>
      </c>
      <c r="J6" s="141">
        <f t="shared" si="0"/>
        <v>9748700</v>
      </c>
      <c r="K6" s="141">
        <f t="shared" si="0"/>
        <v>9748700</v>
      </c>
      <c r="L6" s="141">
        <f t="shared" si="0"/>
        <v>9748700</v>
      </c>
      <c r="M6" s="141">
        <f t="shared" si="0"/>
        <v>9748700</v>
      </c>
      <c r="N6" s="141">
        <f t="shared" si="0"/>
        <v>9748700</v>
      </c>
      <c r="O6" s="141">
        <f t="shared" si="0"/>
        <v>9748700</v>
      </c>
      <c r="P6" s="141">
        <f t="shared" si="0"/>
        <v>9748700</v>
      </c>
      <c r="Q6" s="141">
        <f t="shared" si="0"/>
        <v>9748700</v>
      </c>
      <c r="R6" s="141">
        <f>SUM(F6:Q6)</f>
        <v>126733100</v>
      </c>
    </row>
    <row r="7" spans="1:19" x14ac:dyDescent="0.2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9" ht="15" collapsed="1" x14ac:dyDescent="0.25">
      <c r="A8" s="1">
        <v>1</v>
      </c>
      <c r="B8" s="22">
        <f>Produtos!D6</f>
        <v>11</v>
      </c>
      <c r="C8" s="22" t="str">
        <f>Produtos!E6</f>
        <v>Câmara Digital 3D 18.2 MP</v>
      </c>
      <c r="D8" s="23">
        <f>Produtos!Y6</f>
        <v>30</v>
      </c>
      <c r="E8" s="15"/>
      <c r="F8" s="42">
        <f>F13*Produtos!$AG$6</f>
        <v>2343000</v>
      </c>
      <c r="G8" s="42">
        <f>G13*Produtos!$AG$6</f>
        <v>1171500</v>
      </c>
      <c r="H8" s="42">
        <f>H13*Produtos!$AG$6</f>
        <v>1171500</v>
      </c>
      <c r="I8" s="42">
        <f>I13*Produtos!$AG$6</f>
        <v>1171500</v>
      </c>
      <c r="J8" s="42">
        <f>J13*Produtos!$AG$6</f>
        <v>1171500</v>
      </c>
      <c r="K8" s="42">
        <f>K13*Produtos!$AG$6</f>
        <v>1171500</v>
      </c>
      <c r="L8" s="42">
        <f>L13*Produtos!$AG$6</f>
        <v>1171500</v>
      </c>
      <c r="M8" s="42">
        <f>M13*Produtos!$AG$6</f>
        <v>1171500</v>
      </c>
      <c r="N8" s="42">
        <f>N13*Produtos!$AG$6</f>
        <v>1171500</v>
      </c>
      <c r="O8" s="42">
        <f>O13*Produtos!$AG$6</f>
        <v>1171500</v>
      </c>
      <c r="P8" s="42">
        <f>P13*Produtos!$AG$6</f>
        <v>1171500</v>
      </c>
      <c r="Q8" s="42">
        <f>Q13*Produtos!$AG$6</f>
        <v>1171500</v>
      </c>
      <c r="R8" s="42">
        <f>SUM(F8:Q8)</f>
        <v>15229500</v>
      </c>
      <c r="S8" s="75"/>
    </row>
    <row r="9" spans="1:19" ht="15" hidden="1" outlineLevel="1" x14ac:dyDescent="0.25">
      <c r="B9" s="16"/>
      <c r="C9" s="16"/>
      <c r="D9" s="16"/>
      <c r="E9" s="16" t="s">
        <v>77</v>
      </c>
      <c r="F9" s="39">
        <f>'Vendas '!F8</f>
        <v>1000</v>
      </c>
      <c r="G9" s="39">
        <f>'Vendas '!G8</f>
        <v>1000</v>
      </c>
      <c r="H9" s="39">
        <f>'Vendas '!H8</f>
        <v>1000</v>
      </c>
      <c r="I9" s="39">
        <f>'Vendas '!I8</f>
        <v>1000</v>
      </c>
      <c r="J9" s="39">
        <f>'Vendas '!J8</f>
        <v>1000</v>
      </c>
      <c r="K9" s="39">
        <f>'Vendas '!K8</f>
        <v>1000</v>
      </c>
      <c r="L9" s="39">
        <f>'Vendas '!L8</f>
        <v>1000</v>
      </c>
      <c r="M9" s="39">
        <f>'Vendas '!M8</f>
        <v>1000</v>
      </c>
      <c r="N9" s="39">
        <f>'Vendas '!N8</f>
        <v>1000</v>
      </c>
      <c r="O9" s="39">
        <f>'Vendas '!O8</f>
        <v>1000</v>
      </c>
      <c r="P9" s="39">
        <f>'Vendas '!P8</f>
        <v>1000</v>
      </c>
      <c r="Q9" s="39">
        <f>'Vendas '!Q8</f>
        <v>1000</v>
      </c>
      <c r="R9" s="39">
        <f>SUM(F9:Q9)</f>
        <v>12000</v>
      </c>
    </row>
    <row r="10" spans="1:19" ht="15" hidden="1" outlineLevel="1" x14ac:dyDescent="0.25">
      <c r="B10" s="16"/>
      <c r="C10" s="16"/>
      <c r="D10" s="16"/>
      <c r="E10" s="16" t="s">
        <v>78</v>
      </c>
      <c r="F10" s="39">
        <f>E8/Produtos!$AL$6</f>
        <v>0</v>
      </c>
      <c r="G10" s="39">
        <f>IF(F12&lt;0,-F12,F11)</f>
        <v>1000</v>
      </c>
      <c r="H10" s="39">
        <f t="shared" ref="H10:Q10" si="1">IF(G12&lt;0,-G12,G11)</f>
        <v>1000</v>
      </c>
      <c r="I10" s="39">
        <f t="shared" si="1"/>
        <v>1000</v>
      </c>
      <c r="J10" s="39">
        <f t="shared" si="1"/>
        <v>1000</v>
      </c>
      <c r="K10" s="39">
        <f t="shared" si="1"/>
        <v>1000</v>
      </c>
      <c r="L10" s="39">
        <f t="shared" si="1"/>
        <v>1000</v>
      </c>
      <c r="M10" s="39">
        <f t="shared" si="1"/>
        <v>1000</v>
      </c>
      <c r="N10" s="39">
        <f t="shared" si="1"/>
        <v>1000</v>
      </c>
      <c r="O10" s="39">
        <f t="shared" si="1"/>
        <v>1000</v>
      </c>
      <c r="P10" s="39">
        <f t="shared" si="1"/>
        <v>1000</v>
      </c>
      <c r="Q10" s="39">
        <f t="shared" si="1"/>
        <v>1000</v>
      </c>
      <c r="R10" s="21"/>
    </row>
    <row r="11" spans="1:19" ht="15" hidden="1" outlineLevel="1" x14ac:dyDescent="0.25">
      <c r="B11" s="16"/>
      <c r="C11" s="16"/>
      <c r="D11" s="16"/>
      <c r="E11" s="16" t="s">
        <v>79</v>
      </c>
      <c r="F11" s="39">
        <f>$R$9/12*$D$8/30</f>
        <v>1000</v>
      </c>
      <c r="G11" s="39">
        <f t="shared" ref="G11:Q11" si="2">$R$9/12*$D$8/30</f>
        <v>1000</v>
      </c>
      <c r="H11" s="39">
        <f t="shared" si="2"/>
        <v>1000</v>
      </c>
      <c r="I11" s="39">
        <f t="shared" si="2"/>
        <v>1000</v>
      </c>
      <c r="J11" s="39">
        <f t="shared" si="2"/>
        <v>1000</v>
      </c>
      <c r="K11" s="39">
        <f t="shared" si="2"/>
        <v>1000</v>
      </c>
      <c r="L11" s="39">
        <f t="shared" si="2"/>
        <v>1000</v>
      </c>
      <c r="M11" s="39">
        <f t="shared" si="2"/>
        <v>1000</v>
      </c>
      <c r="N11" s="39">
        <f t="shared" si="2"/>
        <v>1000</v>
      </c>
      <c r="O11" s="39">
        <f t="shared" si="2"/>
        <v>1000</v>
      </c>
      <c r="P11" s="39">
        <f t="shared" si="2"/>
        <v>1000</v>
      </c>
      <c r="Q11" s="39">
        <f t="shared" si="2"/>
        <v>1000</v>
      </c>
      <c r="R11" s="21"/>
    </row>
    <row r="12" spans="1:19" ht="15" hidden="1" outlineLevel="1" x14ac:dyDescent="0.25">
      <c r="B12" s="16"/>
      <c r="C12" s="16"/>
      <c r="D12" s="16"/>
      <c r="E12" s="16" t="s">
        <v>80</v>
      </c>
      <c r="F12" s="39">
        <f>F9-F10+F11</f>
        <v>2000</v>
      </c>
      <c r="G12" s="39">
        <f t="shared" ref="G12:Q12" si="3">G9-G10+G11</f>
        <v>1000</v>
      </c>
      <c r="H12" s="39">
        <f t="shared" si="3"/>
        <v>1000</v>
      </c>
      <c r="I12" s="39">
        <f t="shared" si="3"/>
        <v>1000</v>
      </c>
      <c r="J12" s="39">
        <f t="shared" si="3"/>
        <v>1000</v>
      </c>
      <c r="K12" s="39">
        <f t="shared" si="3"/>
        <v>1000</v>
      </c>
      <c r="L12" s="39">
        <f t="shared" si="3"/>
        <v>1000</v>
      </c>
      <c r="M12" s="39">
        <f t="shared" si="3"/>
        <v>1000</v>
      </c>
      <c r="N12" s="39">
        <f t="shared" si="3"/>
        <v>1000</v>
      </c>
      <c r="O12" s="39">
        <f t="shared" si="3"/>
        <v>1000</v>
      </c>
      <c r="P12" s="39">
        <f t="shared" si="3"/>
        <v>1000</v>
      </c>
      <c r="Q12" s="39">
        <f t="shared" si="3"/>
        <v>1000</v>
      </c>
      <c r="R12" s="21"/>
    </row>
    <row r="13" spans="1:19" ht="15" hidden="1" outlineLevel="1" x14ac:dyDescent="0.25">
      <c r="B13" s="16"/>
      <c r="C13" s="16"/>
      <c r="D13" s="16"/>
      <c r="E13" s="16" t="s">
        <v>81</v>
      </c>
      <c r="F13" s="39">
        <f>IF(F12&lt;0,0,F9-F10+F11)</f>
        <v>2000</v>
      </c>
      <c r="G13" s="39">
        <f t="shared" ref="G13:Q13" si="4">IF(G12&lt;0,0,G9-G10+G11)</f>
        <v>1000</v>
      </c>
      <c r="H13" s="39">
        <f t="shared" si="4"/>
        <v>1000</v>
      </c>
      <c r="I13" s="39">
        <f t="shared" si="4"/>
        <v>1000</v>
      </c>
      <c r="J13" s="39">
        <f t="shared" si="4"/>
        <v>1000</v>
      </c>
      <c r="K13" s="39">
        <f t="shared" si="4"/>
        <v>1000</v>
      </c>
      <c r="L13" s="39">
        <f t="shared" si="4"/>
        <v>1000</v>
      </c>
      <c r="M13" s="39">
        <f t="shared" si="4"/>
        <v>1000</v>
      </c>
      <c r="N13" s="39">
        <f t="shared" si="4"/>
        <v>1000</v>
      </c>
      <c r="O13" s="39">
        <f t="shared" si="4"/>
        <v>1000</v>
      </c>
      <c r="P13" s="39">
        <f t="shared" si="4"/>
        <v>1000</v>
      </c>
      <c r="Q13" s="39">
        <f t="shared" si="4"/>
        <v>1000</v>
      </c>
      <c r="R13" s="21"/>
    </row>
    <row r="14" spans="1:19" ht="15" collapsed="1" x14ac:dyDescent="0.25">
      <c r="A14" s="1">
        <v>2</v>
      </c>
      <c r="B14" s="22">
        <f>Produtos!D7</f>
        <v>21</v>
      </c>
      <c r="C14" s="22" t="str">
        <f>Produtos!E7</f>
        <v>TV 3 D 32"</v>
      </c>
      <c r="D14" s="23">
        <f>Produtos!Y7</f>
        <v>30</v>
      </c>
      <c r="E14" s="15"/>
      <c r="F14" s="42">
        <f>F19*Produtos!$AG$7</f>
        <v>2699000</v>
      </c>
      <c r="G14" s="42">
        <f>G19*Produtos!$AG$7</f>
        <v>1349500</v>
      </c>
      <c r="H14" s="42">
        <f>H19*Produtos!$AG$7</f>
        <v>1349500</v>
      </c>
      <c r="I14" s="42">
        <f>I19*Produtos!$AG$7</f>
        <v>1349500</v>
      </c>
      <c r="J14" s="42">
        <f>J19*Produtos!$AG$7</f>
        <v>1349500</v>
      </c>
      <c r="K14" s="42">
        <f>K19*Produtos!$AG$7</f>
        <v>1349500</v>
      </c>
      <c r="L14" s="42">
        <f>L19*Produtos!$AG$7</f>
        <v>1349500</v>
      </c>
      <c r="M14" s="42">
        <f>M19*Produtos!$AG$7</f>
        <v>1349500</v>
      </c>
      <c r="N14" s="42">
        <f>N19*Produtos!$AG$7</f>
        <v>1349500</v>
      </c>
      <c r="O14" s="42">
        <f>O19*Produtos!$AG$7</f>
        <v>1349500</v>
      </c>
      <c r="P14" s="42">
        <f>P19*Produtos!$AG$7</f>
        <v>1349500</v>
      </c>
      <c r="Q14" s="42">
        <f>Q19*Produtos!$AG$7</f>
        <v>1349500</v>
      </c>
      <c r="R14" s="42">
        <f>SUM(F14:Q14)</f>
        <v>17543500</v>
      </c>
      <c r="S14" s="75"/>
    </row>
    <row r="15" spans="1:19" ht="15" hidden="1" outlineLevel="1" x14ac:dyDescent="0.25">
      <c r="E15" s="16" t="s">
        <v>77</v>
      </c>
      <c r="F15" s="39">
        <f>'Vendas '!F9</f>
        <v>1000</v>
      </c>
      <c r="G15" s="39">
        <f>'Vendas '!G9</f>
        <v>1000</v>
      </c>
      <c r="H15" s="39">
        <f>'Vendas '!H9</f>
        <v>1000</v>
      </c>
      <c r="I15" s="39">
        <f>'Vendas '!I9</f>
        <v>1000</v>
      </c>
      <c r="J15" s="39">
        <f>'Vendas '!J9</f>
        <v>1000</v>
      </c>
      <c r="K15" s="39">
        <f>'Vendas '!K9</f>
        <v>1000</v>
      </c>
      <c r="L15" s="39">
        <f>'Vendas '!L9</f>
        <v>1000</v>
      </c>
      <c r="M15" s="39">
        <f>'Vendas '!M9</f>
        <v>1000</v>
      </c>
      <c r="N15" s="39">
        <f>'Vendas '!N9</f>
        <v>1000</v>
      </c>
      <c r="O15" s="39">
        <f>'Vendas '!O9</f>
        <v>1000</v>
      </c>
      <c r="P15" s="39">
        <f>'Vendas '!P9</f>
        <v>1000</v>
      </c>
      <c r="Q15" s="39">
        <f>'Vendas '!Q9</f>
        <v>1000</v>
      </c>
      <c r="R15" s="39">
        <f>SUM(F15:Q15)</f>
        <v>12000</v>
      </c>
    </row>
    <row r="16" spans="1:19" ht="15" hidden="1" outlineLevel="1" x14ac:dyDescent="0.25">
      <c r="E16" s="16" t="s">
        <v>78</v>
      </c>
      <c r="F16" s="39">
        <f>E14/Produtos!$AL$7</f>
        <v>0</v>
      </c>
      <c r="G16" s="39">
        <f>IF(F18&lt;0,-F18,F17)</f>
        <v>1000</v>
      </c>
      <c r="H16" s="39">
        <f t="shared" ref="H16:Q16" si="5">IF(G18&lt;0,-G18,G17)</f>
        <v>1000</v>
      </c>
      <c r="I16" s="39">
        <f t="shared" si="5"/>
        <v>1000</v>
      </c>
      <c r="J16" s="39">
        <f t="shared" si="5"/>
        <v>1000</v>
      </c>
      <c r="K16" s="39">
        <f t="shared" si="5"/>
        <v>1000</v>
      </c>
      <c r="L16" s="39">
        <f t="shared" si="5"/>
        <v>1000</v>
      </c>
      <c r="M16" s="39">
        <f t="shared" si="5"/>
        <v>1000</v>
      </c>
      <c r="N16" s="39">
        <f t="shared" si="5"/>
        <v>1000</v>
      </c>
      <c r="O16" s="39">
        <f t="shared" si="5"/>
        <v>1000</v>
      </c>
      <c r="P16" s="39">
        <f t="shared" si="5"/>
        <v>1000</v>
      </c>
      <c r="Q16" s="39">
        <f t="shared" si="5"/>
        <v>1000</v>
      </c>
      <c r="R16" s="21"/>
    </row>
    <row r="17" spans="1:18" ht="15" hidden="1" outlineLevel="1" x14ac:dyDescent="0.25">
      <c r="E17" s="16" t="s">
        <v>79</v>
      </c>
      <c r="F17" s="39">
        <f>$R$15/12*$D$14/30</f>
        <v>1000</v>
      </c>
      <c r="G17" s="39">
        <f t="shared" ref="G17:Q17" si="6">$R$15/12*$D$14/30</f>
        <v>1000</v>
      </c>
      <c r="H17" s="39">
        <f t="shared" si="6"/>
        <v>1000</v>
      </c>
      <c r="I17" s="39">
        <f t="shared" si="6"/>
        <v>1000</v>
      </c>
      <c r="J17" s="39">
        <f t="shared" si="6"/>
        <v>1000</v>
      </c>
      <c r="K17" s="39">
        <f t="shared" si="6"/>
        <v>1000</v>
      </c>
      <c r="L17" s="39">
        <f t="shared" si="6"/>
        <v>1000</v>
      </c>
      <c r="M17" s="39">
        <f t="shared" si="6"/>
        <v>1000</v>
      </c>
      <c r="N17" s="39">
        <f t="shared" si="6"/>
        <v>1000</v>
      </c>
      <c r="O17" s="39">
        <f t="shared" si="6"/>
        <v>1000</v>
      </c>
      <c r="P17" s="39">
        <f t="shared" si="6"/>
        <v>1000</v>
      </c>
      <c r="Q17" s="39">
        <f t="shared" si="6"/>
        <v>1000</v>
      </c>
      <c r="R17" s="21"/>
    </row>
    <row r="18" spans="1:18" ht="15" hidden="1" outlineLevel="1" x14ac:dyDescent="0.25">
      <c r="E18" s="16" t="s">
        <v>80</v>
      </c>
      <c r="F18" s="39">
        <f>F15-F16+F17</f>
        <v>2000</v>
      </c>
      <c r="G18" s="39">
        <f t="shared" ref="G18:Q18" si="7">G15-G16+G17</f>
        <v>1000</v>
      </c>
      <c r="H18" s="39">
        <f t="shared" si="7"/>
        <v>1000</v>
      </c>
      <c r="I18" s="39">
        <f t="shared" si="7"/>
        <v>1000</v>
      </c>
      <c r="J18" s="39">
        <f t="shared" si="7"/>
        <v>1000</v>
      </c>
      <c r="K18" s="39">
        <f t="shared" si="7"/>
        <v>1000</v>
      </c>
      <c r="L18" s="39">
        <f t="shared" si="7"/>
        <v>1000</v>
      </c>
      <c r="M18" s="39">
        <f t="shared" si="7"/>
        <v>1000</v>
      </c>
      <c r="N18" s="39">
        <f t="shared" si="7"/>
        <v>1000</v>
      </c>
      <c r="O18" s="39">
        <f t="shared" si="7"/>
        <v>1000</v>
      </c>
      <c r="P18" s="39">
        <f t="shared" si="7"/>
        <v>1000</v>
      </c>
      <c r="Q18" s="39">
        <f t="shared" si="7"/>
        <v>1000</v>
      </c>
      <c r="R18" s="21"/>
    </row>
    <row r="19" spans="1:18" ht="15" hidden="1" outlineLevel="1" x14ac:dyDescent="0.25">
      <c r="E19" s="16" t="s">
        <v>81</v>
      </c>
      <c r="F19" s="39">
        <f>IF(F18&lt;0,0,F15-F16+F17)</f>
        <v>2000</v>
      </c>
      <c r="G19" s="39">
        <f t="shared" ref="G19:Q19" si="8">IF(G18&lt;0,0,G15-G16+G17)</f>
        <v>1000</v>
      </c>
      <c r="H19" s="39">
        <f t="shared" si="8"/>
        <v>1000</v>
      </c>
      <c r="I19" s="39">
        <f t="shared" si="8"/>
        <v>1000</v>
      </c>
      <c r="J19" s="39">
        <f t="shared" si="8"/>
        <v>1000</v>
      </c>
      <c r="K19" s="39">
        <f t="shared" si="8"/>
        <v>1000</v>
      </c>
      <c r="L19" s="39">
        <f t="shared" si="8"/>
        <v>1000</v>
      </c>
      <c r="M19" s="39">
        <f t="shared" si="8"/>
        <v>1000</v>
      </c>
      <c r="N19" s="39">
        <f t="shared" si="8"/>
        <v>1000</v>
      </c>
      <c r="O19" s="39">
        <f t="shared" si="8"/>
        <v>1000</v>
      </c>
      <c r="P19" s="39">
        <f t="shared" si="8"/>
        <v>1000</v>
      </c>
      <c r="Q19" s="39">
        <f t="shared" si="8"/>
        <v>1000</v>
      </c>
      <c r="R19" s="21"/>
    </row>
    <row r="20" spans="1:18" ht="15" collapsed="1" x14ac:dyDescent="0.25">
      <c r="A20" s="1">
        <v>3</v>
      </c>
      <c r="B20" s="22">
        <f>Produtos!D8</f>
        <v>31</v>
      </c>
      <c r="C20" s="22" t="str">
        <f>Produtos!E8</f>
        <v>Desktop Dual Core 2GB</v>
      </c>
      <c r="D20" s="23">
        <f>Produtos!Y8</f>
        <v>30</v>
      </c>
      <c r="E20" s="15"/>
      <c r="F20" s="43">
        <f>F25*Produtos!$AG$8</f>
        <v>1610600</v>
      </c>
      <c r="G20" s="43">
        <f>G25*Produtos!$AG$8</f>
        <v>805300</v>
      </c>
      <c r="H20" s="43">
        <f>H25*Produtos!$AG$8</f>
        <v>805300</v>
      </c>
      <c r="I20" s="43">
        <f>I25*Produtos!$AG$8</f>
        <v>805300</v>
      </c>
      <c r="J20" s="43">
        <f>J25*Produtos!$AG$8</f>
        <v>805300</v>
      </c>
      <c r="K20" s="43">
        <f>K25*Produtos!$AG$8</f>
        <v>805300</v>
      </c>
      <c r="L20" s="43">
        <f>L25*Produtos!$AG$8</f>
        <v>805300</v>
      </c>
      <c r="M20" s="43">
        <f>M25*Produtos!$AG$8</f>
        <v>805300</v>
      </c>
      <c r="N20" s="43">
        <f>N25*Produtos!$AG$8</f>
        <v>805300</v>
      </c>
      <c r="O20" s="43">
        <f>O25*Produtos!$AG$8</f>
        <v>805300</v>
      </c>
      <c r="P20" s="43">
        <f>P25*Produtos!$AG$8</f>
        <v>805300</v>
      </c>
      <c r="Q20" s="43">
        <f>Q25*Produtos!$AG$8</f>
        <v>805300</v>
      </c>
      <c r="R20" s="43">
        <f>SUM(F20:Q20)</f>
        <v>10468900</v>
      </c>
    </row>
    <row r="21" spans="1:18" ht="15" hidden="1" outlineLevel="1" x14ac:dyDescent="0.25">
      <c r="E21" s="16" t="s">
        <v>77</v>
      </c>
      <c r="F21" s="39">
        <f>'Vendas '!F10</f>
        <v>1000</v>
      </c>
      <c r="G21" s="39">
        <f>'Vendas '!G10</f>
        <v>1000</v>
      </c>
      <c r="H21" s="39">
        <f>'Vendas '!H10</f>
        <v>1000</v>
      </c>
      <c r="I21" s="39">
        <f>'Vendas '!I10</f>
        <v>1000</v>
      </c>
      <c r="J21" s="39">
        <f>'Vendas '!J10</f>
        <v>1000</v>
      </c>
      <c r="K21" s="39">
        <f>'Vendas '!K10</f>
        <v>1000</v>
      </c>
      <c r="L21" s="39">
        <f>'Vendas '!L10</f>
        <v>1000</v>
      </c>
      <c r="M21" s="39">
        <f>'Vendas '!M10</f>
        <v>1000</v>
      </c>
      <c r="N21" s="39">
        <f>'Vendas '!N10</f>
        <v>1000</v>
      </c>
      <c r="O21" s="39">
        <f>'Vendas '!O10</f>
        <v>1000</v>
      </c>
      <c r="P21" s="39">
        <f>'Vendas '!P10</f>
        <v>1000</v>
      </c>
      <c r="Q21" s="39">
        <f>'Vendas '!Q10</f>
        <v>1000</v>
      </c>
      <c r="R21" s="39">
        <f>SUM(F21:Q21)</f>
        <v>12000</v>
      </c>
    </row>
    <row r="22" spans="1:18" ht="15" hidden="1" outlineLevel="1" x14ac:dyDescent="0.25">
      <c r="E22" s="16" t="s">
        <v>78</v>
      </c>
      <c r="F22" s="39">
        <f>E20/Produtos!$AL$8</f>
        <v>0</v>
      </c>
      <c r="G22" s="39">
        <f>IF(F24&lt;0,-F24,F23)</f>
        <v>1000</v>
      </c>
      <c r="H22" s="39">
        <f t="shared" ref="H22:Q22" si="9">IF(G24&lt;0,-G24,G23)</f>
        <v>1000</v>
      </c>
      <c r="I22" s="39">
        <f t="shared" si="9"/>
        <v>1000</v>
      </c>
      <c r="J22" s="39">
        <f t="shared" si="9"/>
        <v>1000</v>
      </c>
      <c r="K22" s="39">
        <f t="shared" si="9"/>
        <v>1000</v>
      </c>
      <c r="L22" s="39">
        <f t="shared" si="9"/>
        <v>1000</v>
      </c>
      <c r="M22" s="39">
        <f t="shared" si="9"/>
        <v>1000</v>
      </c>
      <c r="N22" s="39">
        <f t="shared" si="9"/>
        <v>1000</v>
      </c>
      <c r="O22" s="39">
        <f t="shared" si="9"/>
        <v>1000</v>
      </c>
      <c r="P22" s="39">
        <f t="shared" si="9"/>
        <v>1000</v>
      </c>
      <c r="Q22" s="39">
        <f t="shared" si="9"/>
        <v>1000</v>
      </c>
      <c r="R22" s="21"/>
    </row>
    <row r="23" spans="1:18" ht="15" hidden="1" outlineLevel="1" x14ac:dyDescent="0.25">
      <c r="E23" s="16" t="s">
        <v>79</v>
      </c>
      <c r="F23" s="39">
        <f>$R$21/12*$D$20/30</f>
        <v>1000</v>
      </c>
      <c r="G23" s="39">
        <f>$R$21/12*$D$20/30</f>
        <v>1000</v>
      </c>
      <c r="H23" s="39">
        <f t="shared" ref="H23:Q23" si="10">$R$21/12*$D$20/30</f>
        <v>1000</v>
      </c>
      <c r="I23" s="39">
        <f t="shared" si="10"/>
        <v>1000</v>
      </c>
      <c r="J23" s="39">
        <f t="shared" si="10"/>
        <v>1000</v>
      </c>
      <c r="K23" s="39">
        <f t="shared" si="10"/>
        <v>1000</v>
      </c>
      <c r="L23" s="39">
        <f t="shared" si="10"/>
        <v>1000</v>
      </c>
      <c r="M23" s="39">
        <f t="shared" si="10"/>
        <v>1000</v>
      </c>
      <c r="N23" s="39">
        <f t="shared" si="10"/>
        <v>1000</v>
      </c>
      <c r="O23" s="39">
        <f t="shared" si="10"/>
        <v>1000</v>
      </c>
      <c r="P23" s="39">
        <f t="shared" si="10"/>
        <v>1000</v>
      </c>
      <c r="Q23" s="39">
        <f t="shared" si="10"/>
        <v>1000</v>
      </c>
      <c r="R23" s="21"/>
    </row>
    <row r="24" spans="1:18" ht="15" hidden="1" outlineLevel="1" x14ac:dyDescent="0.25">
      <c r="E24" s="16" t="s">
        <v>80</v>
      </c>
      <c r="F24" s="39">
        <f>F21-F22+F23</f>
        <v>2000</v>
      </c>
      <c r="G24" s="39">
        <f t="shared" ref="G24:Q24" si="11">G21-G22+G23</f>
        <v>1000</v>
      </c>
      <c r="H24" s="39">
        <f t="shared" si="11"/>
        <v>1000</v>
      </c>
      <c r="I24" s="39">
        <f t="shared" si="11"/>
        <v>1000</v>
      </c>
      <c r="J24" s="39">
        <f t="shared" si="11"/>
        <v>1000</v>
      </c>
      <c r="K24" s="39">
        <f t="shared" si="11"/>
        <v>1000</v>
      </c>
      <c r="L24" s="39">
        <f t="shared" si="11"/>
        <v>1000</v>
      </c>
      <c r="M24" s="39">
        <f t="shared" si="11"/>
        <v>1000</v>
      </c>
      <c r="N24" s="39">
        <f t="shared" si="11"/>
        <v>1000</v>
      </c>
      <c r="O24" s="39">
        <f t="shared" si="11"/>
        <v>1000</v>
      </c>
      <c r="P24" s="39">
        <f t="shared" si="11"/>
        <v>1000</v>
      </c>
      <c r="Q24" s="39">
        <f t="shared" si="11"/>
        <v>1000</v>
      </c>
      <c r="R24" s="21"/>
    </row>
    <row r="25" spans="1:18" ht="15" hidden="1" outlineLevel="1" x14ac:dyDescent="0.25">
      <c r="E25" s="16" t="s">
        <v>81</v>
      </c>
      <c r="F25" s="39">
        <f>IF(F24&lt;0,0,F21-F22+F23)</f>
        <v>2000</v>
      </c>
      <c r="G25" s="39">
        <f t="shared" ref="G25:Q25" si="12">IF(G24&lt;0,0,G21-G22+G23)</f>
        <v>1000</v>
      </c>
      <c r="H25" s="39">
        <f t="shared" si="12"/>
        <v>1000</v>
      </c>
      <c r="I25" s="39">
        <f t="shared" si="12"/>
        <v>1000</v>
      </c>
      <c r="J25" s="39">
        <f t="shared" si="12"/>
        <v>1000</v>
      </c>
      <c r="K25" s="39">
        <f t="shared" si="12"/>
        <v>1000</v>
      </c>
      <c r="L25" s="39">
        <f t="shared" si="12"/>
        <v>1000</v>
      </c>
      <c r="M25" s="39">
        <f t="shared" si="12"/>
        <v>1000</v>
      </c>
      <c r="N25" s="39">
        <f t="shared" si="12"/>
        <v>1000</v>
      </c>
      <c r="O25" s="39">
        <f t="shared" si="12"/>
        <v>1000</v>
      </c>
      <c r="P25" s="39">
        <f t="shared" si="12"/>
        <v>1000</v>
      </c>
      <c r="Q25" s="39">
        <f t="shared" si="12"/>
        <v>1000</v>
      </c>
      <c r="R25" s="21"/>
    </row>
    <row r="26" spans="1:18" ht="15" collapsed="1" x14ac:dyDescent="0.25">
      <c r="A26" s="1">
        <v>4</v>
      </c>
      <c r="B26" s="22">
        <f>Produtos!D9</f>
        <v>32</v>
      </c>
      <c r="C26" s="22" t="str">
        <f>Produtos!E9</f>
        <v>Desktop 1</v>
      </c>
      <c r="D26" s="23">
        <f>Produtos!Y9</f>
        <v>30</v>
      </c>
      <c r="E26" s="15"/>
      <c r="F26" s="43">
        <f>F31*Produtos!$AG$9</f>
        <v>1610600</v>
      </c>
      <c r="G26" s="43">
        <f>G31*Produtos!$AG$9</f>
        <v>805300</v>
      </c>
      <c r="H26" s="43">
        <f>H31*Produtos!$AG$9</f>
        <v>805300</v>
      </c>
      <c r="I26" s="43">
        <f>I31*Produtos!$AG$9</f>
        <v>805300</v>
      </c>
      <c r="J26" s="43">
        <f>J31*Produtos!$AG$9</f>
        <v>805300</v>
      </c>
      <c r="K26" s="43">
        <f>K31*Produtos!$AG$9</f>
        <v>805300</v>
      </c>
      <c r="L26" s="43">
        <f>L31*Produtos!$AG$9</f>
        <v>805300</v>
      </c>
      <c r="M26" s="43">
        <f>M31*Produtos!$AG$9</f>
        <v>805300</v>
      </c>
      <c r="N26" s="43">
        <f>N31*Produtos!$AG$9</f>
        <v>805300</v>
      </c>
      <c r="O26" s="43">
        <f>O31*Produtos!$AG$9</f>
        <v>805300</v>
      </c>
      <c r="P26" s="43">
        <f>P31*Produtos!$AG$9</f>
        <v>805300</v>
      </c>
      <c r="Q26" s="43">
        <f>Q31*Produtos!$AG$9</f>
        <v>805300</v>
      </c>
      <c r="R26" s="43">
        <f>SUM(F26:Q26)</f>
        <v>10468900</v>
      </c>
    </row>
    <row r="27" spans="1:18" ht="15" hidden="1" outlineLevel="1" x14ac:dyDescent="0.25">
      <c r="E27" s="16" t="s">
        <v>77</v>
      </c>
      <c r="F27" s="39">
        <f>'Vendas '!F11</f>
        <v>1000</v>
      </c>
      <c r="G27" s="39">
        <f>'Vendas '!G11</f>
        <v>1000</v>
      </c>
      <c r="H27" s="39">
        <f>'Vendas '!H11</f>
        <v>1000</v>
      </c>
      <c r="I27" s="39">
        <f>'Vendas '!I11</f>
        <v>1000</v>
      </c>
      <c r="J27" s="39">
        <f>'Vendas '!J11</f>
        <v>1000</v>
      </c>
      <c r="K27" s="39">
        <f>'Vendas '!K11</f>
        <v>1000</v>
      </c>
      <c r="L27" s="39">
        <f>'Vendas '!L11</f>
        <v>1000</v>
      </c>
      <c r="M27" s="39">
        <f>'Vendas '!M11</f>
        <v>1000</v>
      </c>
      <c r="N27" s="39">
        <f>'Vendas '!N11</f>
        <v>1000</v>
      </c>
      <c r="O27" s="39">
        <f>'Vendas '!O11</f>
        <v>1000</v>
      </c>
      <c r="P27" s="39">
        <f>'Vendas '!P11</f>
        <v>1000</v>
      </c>
      <c r="Q27" s="39">
        <f>'Vendas '!Q11</f>
        <v>1000</v>
      </c>
      <c r="R27" s="39">
        <f>SUM(F27:Q27)</f>
        <v>12000</v>
      </c>
    </row>
    <row r="28" spans="1:18" ht="15" hidden="1" outlineLevel="1" x14ac:dyDescent="0.25">
      <c r="E28" s="16" t="s">
        <v>78</v>
      </c>
      <c r="F28" s="39">
        <f>E26/Produtos!$AL$9</f>
        <v>0</v>
      </c>
      <c r="G28" s="39">
        <f>IF(F30&lt;0,-F30,F29)</f>
        <v>1000</v>
      </c>
      <c r="H28" s="39">
        <f t="shared" ref="H28:Q28" si="13">IF(G30&lt;0,-G30,G29)</f>
        <v>1000</v>
      </c>
      <c r="I28" s="39">
        <f t="shared" si="13"/>
        <v>1000</v>
      </c>
      <c r="J28" s="39">
        <f t="shared" si="13"/>
        <v>1000</v>
      </c>
      <c r="K28" s="39">
        <f t="shared" si="13"/>
        <v>1000</v>
      </c>
      <c r="L28" s="39">
        <f t="shared" si="13"/>
        <v>1000</v>
      </c>
      <c r="M28" s="39">
        <f t="shared" si="13"/>
        <v>1000</v>
      </c>
      <c r="N28" s="39">
        <f t="shared" si="13"/>
        <v>1000</v>
      </c>
      <c r="O28" s="39">
        <f t="shared" si="13"/>
        <v>1000</v>
      </c>
      <c r="P28" s="39">
        <f t="shared" si="13"/>
        <v>1000</v>
      </c>
      <c r="Q28" s="39">
        <f t="shared" si="13"/>
        <v>1000</v>
      </c>
      <c r="R28" s="39"/>
    </row>
    <row r="29" spans="1:18" ht="15" hidden="1" outlineLevel="1" x14ac:dyDescent="0.25">
      <c r="E29" s="16" t="s">
        <v>79</v>
      </c>
      <c r="F29" s="39">
        <f>$R$27/12*$D$26/30</f>
        <v>1000</v>
      </c>
      <c r="G29" s="39">
        <f>$R$27/12*$D$26/30</f>
        <v>1000</v>
      </c>
      <c r="H29" s="39">
        <f t="shared" ref="H29:Q29" si="14">$R$27/12*$D$26/30</f>
        <v>1000</v>
      </c>
      <c r="I29" s="39">
        <f t="shared" si="14"/>
        <v>1000</v>
      </c>
      <c r="J29" s="39">
        <f t="shared" si="14"/>
        <v>1000</v>
      </c>
      <c r="K29" s="39">
        <f t="shared" si="14"/>
        <v>1000</v>
      </c>
      <c r="L29" s="39">
        <f t="shared" si="14"/>
        <v>1000</v>
      </c>
      <c r="M29" s="39">
        <f t="shared" si="14"/>
        <v>1000</v>
      </c>
      <c r="N29" s="39">
        <f t="shared" si="14"/>
        <v>1000</v>
      </c>
      <c r="O29" s="39">
        <f t="shared" si="14"/>
        <v>1000</v>
      </c>
      <c r="P29" s="39">
        <f t="shared" si="14"/>
        <v>1000</v>
      </c>
      <c r="Q29" s="39">
        <f t="shared" si="14"/>
        <v>1000</v>
      </c>
      <c r="R29" s="21"/>
    </row>
    <row r="30" spans="1:18" ht="15" hidden="1" outlineLevel="1" x14ac:dyDescent="0.25">
      <c r="E30" s="16" t="s">
        <v>80</v>
      </c>
      <c r="F30" s="39">
        <f>F27-F28+F29</f>
        <v>2000</v>
      </c>
      <c r="G30" s="39">
        <f t="shared" ref="G30:Q30" si="15">G27-G28+G29</f>
        <v>1000</v>
      </c>
      <c r="H30" s="39">
        <f t="shared" si="15"/>
        <v>1000</v>
      </c>
      <c r="I30" s="39">
        <f t="shared" si="15"/>
        <v>1000</v>
      </c>
      <c r="J30" s="39">
        <f t="shared" si="15"/>
        <v>1000</v>
      </c>
      <c r="K30" s="39">
        <f t="shared" si="15"/>
        <v>1000</v>
      </c>
      <c r="L30" s="39">
        <f t="shared" si="15"/>
        <v>1000</v>
      </c>
      <c r="M30" s="39">
        <f t="shared" si="15"/>
        <v>1000</v>
      </c>
      <c r="N30" s="39">
        <f t="shared" si="15"/>
        <v>1000</v>
      </c>
      <c r="O30" s="39">
        <f t="shared" si="15"/>
        <v>1000</v>
      </c>
      <c r="P30" s="39">
        <f t="shared" si="15"/>
        <v>1000</v>
      </c>
      <c r="Q30" s="39">
        <f t="shared" si="15"/>
        <v>1000</v>
      </c>
      <c r="R30" s="21"/>
    </row>
    <row r="31" spans="1:18" ht="15" hidden="1" outlineLevel="1" x14ac:dyDescent="0.25">
      <c r="E31" s="16" t="s">
        <v>81</v>
      </c>
      <c r="F31" s="39">
        <f>IF(F30&lt;0,0,F27-F28+F29)</f>
        <v>2000</v>
      </c>
      <c r="G31" s="39">
        <f t="shared" ref="G31:Q31" si="16">IF(G30&lt;0,0,G27-G28+G29)</f>
        <v>1000</v>
      </c>
      <c r="H31" s="39">
        <f t="shared" si="16"/>
        <v>1000</v>
      </c>
      <c r="I31" s="39">
        <f t="shared" si="16"/>
        <v>1000</v>
      </c>
      <c r="J31" s="39">
        <f t="shared" si="16"/>
        <v>1000</v>
      </c>
      <c r="K31" s="39">
        <f t="shared" si="16"/>
        <v>1000</v>
      </c>
      <c r="L31" s="39">
        <f t="shared" si="16"/>
        <v>1000</v>
      </c>
      <c r="M31" s="39">
        <f t="shared" si="16"/>
        <v>1000</v>
      </c>
      <c r="N31" s="39">
        <f t="shared" si="16"/>
        <v>1000</v>
      </c>
      <c r="O31" s="39">
        <f t="shared" si="16"/>
        <v>1000</v>
      </c>
      <c r="P31" s="39">
        <f t="shared" si="16"/>
        <v>1000</v>
      </c>
      <c r="Q31" s="39">
        <f t="shared" si="16"/>
        <v>1000</v>
      </c>
      <c r="R31" s="21"/>
    </row>
    <row r="32" spans="1:18" ht="15" collapsed="1" x14ac:dyDescent="0.25">
      <c r="A32" s="1">
        <v>5</v>
      </c>
      <c r="B32" s="22">
        <f>Produtos!D10</f>
        <v>33</v>
      </c>
      <c r="C32" s="22" t="str">
        <f>Produtos!E10</f>
        <v>Desktop 2</v>
      </c>
      <c r="D32" s="23">
        <f>Produtos!Y10</f>
        <v>30</v>
      </c>
      <c r="E32" s="15"/>
      <c r="F32" s="43">
        <f>F37*Produtos!$AG$10</f>
        <v>1570600</v>
      </c>
      <c r="G32" s="43">
        <f>G37*Produtos!$AG$10</f>
        <v>785300</v>
      </c>
      <c r="H32" s="43">
        <f>H37*Produtos!$AG$10</f>
        <v>785300</v>
      </c>
      <c r="I32" s="43">
        <f>I37*Produtos!$AG$10</f>
        <v>785300</v>
      </c>
      <c r="J32" s="43">
        <f>J37*Produtos!$AG$10</f>
        <v>785300</v>
      </c>
      <c r="K32" s="43">
        <f>K37*Produtos!$AG$10</f>
        <v>785300</v>
      </c>
      <c r="L32" s="43">
        <f>L37*Produtos!$AG$10</f>
        <v>785300</v>
      </c>
      <c r="M32" s="43">
        <f>M37*Produtos!$AG$10</f>
        <v>785300</v>
      </c>
      <c r="N32" s="43">
        <f>N37*Produtos!$AG$10</f>
        <v>785300</v>
      </c>
      <c r="O32" s="43">
        <f>O37*Produtos!$AG$10</f>
        <v>785300</v>
      </c>
      <c r="P32" s="43">
        <f>P37*Produtos!$AG$10</f>
        <v>785300</v>
      </c>
      <c r="Q32" s="43">
        <f>Q37*Produtos!$AG$10</f>
        <v>785300</v>
      </c>
      <c r="R32" s="43">
        <f>SUM(F32:Q32)</f>
        <v>10208900</v>
      </c>
    </row>
    <row r="33" spans="1:18" ht="15" hidden="1" outlineLevel="1" x14ac:dyDescent="0.25">
      <c r="E33" s="16" t="s">
        <v>77</v>
      </c>
      <c r="F33" s="39">
        <f>'Vendas '!F12</f>
        <v>1000</v>
      </c>
      <c r="G33" s="39">
        <f>'Vendas '!G12</f>
        <v>1000</v>
      </c>
      <c r="H33" s="39">
        <f>'Vendas '!H12</f>
        <v>1000</v>
      </c>
      <c r="I33" s="39">
        <f>'Vendas '!I12</f>
        <v>1000</v>
      </c>
      <c r="J33" s="39">
        <f>'Vendas '!J12</f>
        <v>1000</v>
      </c>
      <c r="K33" s="39">
        <f>'Vendas '!K12</f>
        <v>1000</v>
      </c>
      <c r="L33" s="39">
        <f>'Vendas '!L12</f>
        <v>1000</v>
      </c>
      <c r="M33" s="39">
        <f>'Vendas '!M12</f>
        <v>1000</v>
      </c>
      <c r="N33" s="39">
        <f>'Vendas '!N12</f>
        <v>1000</v>
      </c>
      <c r="O33" s="39">
        <f>'Vendas '!O12</f>
        <v>1000</v>
      </c>
      <c r="P33" s="39">
        <f>'Vendas '!P12</f>
        <v>1000</v>
      </c>
      <c r="Q33" s="39">
        <f>'Vendas '!Q12</f>
        <v>1000</v>
      </c>
      <c r="R33" s="39">
        <f>SUM(F33:Q33)</f>
        <v>12000</v>
      </c>
    </row>
    <row r="34" spans="1:18" ht="15" hidden="1" outlineLevel="1" x14ac:dyDescent="0.25">
      <c r="E34" s="16" t="s">
        <v>78</v>
      </c>
      <c r="F34" s="39">
        <f>E32/Produtos!$AL$10</f>
        <v>0</v>
      </c>
      <c r="G34" s="39">
        <f>IF(F36&lt;0,-F36,F35)</f>
        <v>1000</v>
      </c>
      <c r="H34" s="39">
        <f t="shared" ref="H34:Q34" si="17">IF(G36&lt;0,-G36,G35)</f>
        <v>1000</v>
      </c>
      <c r="I34" s="39">
        <f t="shared" si="17"/>
        <v>1000</v>
      </c>
      <c r="J34" s="39">
        <f t="shared" si="17"/>
        <v>1000</v>
      </c>
      <c r="K34" s="39">
        <f t="shared" si="17"/>
        <v>1000</v>
      </c>
      <c r="L34" s="39">
        <f t="shared" si="17"/>
        <v>1000</v>
      </c>
      <c r="M34" s="39">
        <f t="shared" si="17"/>
        <v>1000</v>
      </c>
      <c r="N34" s="39">
        <f t="shared" si="17"/>
        <v>1000</v>
      </c>
      <c r="O34" s="39">
        <f t="shared" si="17"/>
        <v>1000</v>
      </c>
      <c r="P34" s="39">
        <f t="shared" si="17"/>
        <v>1000</v>
      </c>
      <c r="Q34" s="39">
        <f t="shared" si="17"/>
        <v>1000</v>
      </c>
      <c r="R34" s="39"/>
    </row>
    <row r="35" spans="1:18" ht="15" hidden="1" outlineLevel="1" x14ac:dyDescent="0.25">
      <c r="E35" s="16" t="s">
        <v>79</v>
      </c>
      <c r="F35" s="39">
        <f>$R$33/12*$D$32/30</f>
        <v>1000</v>
      </c>
      <c r="G35" s="39">
        <f t="shared" ref="G35:Q35" si="18">$R$33/12*$D$32/30</f>
        <v>1000</v>
      </c>
      <c r="H35" s="39">
        <f t="shared" si="18"/>
        <v>1000</v>
      </c>
      <c r="I35" s="39">
        <f t="shared" si="18"/>
        <v>1000</v>
      </c>
      <c r="J35" s="39">
        <f t="shared" si="18"/>
        <v>1000</v>
      </c>
      <c r="K35" s="39">
        <f t="shared" si="18"/>
        <v>1000</v>
      </c>
      <c r="L35" s="39">
        <f t="shared" si="18"/>
        <v>1000</v>
      </c>
      <c r="M35" s="39">
        <f t="shared" si="18"/>
        <v>1000</v>
      </c>
      <c r="N35" s="39">
        <f t="shared" si="18"/>
        <v>1000</v>
      </c>
      <c r="O35" s="39">
        <f t="shared" si="18"/>
        <v>1000</v>
      </c>
      <c r="P35" s="39">
        <f t="shared" si="18"/>
        <v>1000</v>
      </c>
      <c r="Q35" s="39">
        <f t="shared" si="18"/>
        <v>1000</v>
      </c>
      <c r="R35" s="21"/>
    </row>
    <row r="36" spans="1:18" ht="15" hidden="1" outlineLevel="1" x14ac:dyDescent="0.25">
      <c r="E36" s="16" t="s">
        <v>80</v>
      </c>
      <c r="F36" s="39">
        <f>F33-F34+F35</f>
        <v>2000</v>
      </c>
      <c r="G36" s="39">
        <f t="shared" ref="G36:Q36" si="19">G33-G34+G35</f>
        <v>1000</v>
      </c>
      <c r="H36" s="39">
        <f t="shared" si="19"/>
        <v>1000</v>
      </c>
      <c r="I36" s="39">
        <f t="shared" si="19"/>
        <v>1000</v>
      </c>
      <c r="J36" s="39">
        <f t="shared" si="19"/>
        <v>1000</v>
      </c>
      <c r="K36" s="39">
        <f t="shared" si="19"/>
        <v>1000</v>
      </c>
      <c r="L36" s="39">
        <f t="shared" si="19"/>
        <v>1000</v>
      </c>
      <c r="M36" s="39">
        <f t="shared" si="19"/>
        <v>1000</v>
      </c>
      <c r="N36" s="39">
        <f t="shared" si="19"/>
        <v>1000</v>
      </c>
      <c r="O36" s="39">
        <f t="shared" si="19"/>
        <v>1000</v>
      </c>
      <c r="P36" s="39">
        <f t="shared" si="19"/>
        <v>1000</v>
      </c>
      <c r="Q36" s="39">
        <f t="shared" si="19"/>
        <v>1000</v>
      </c>
      <c r="R36" s="21"/>
    </row>
    <row r="37" spans="1:18" ht="15" hidden="1" outlineLevel="1" x14ac:dyDescent="0.25">
      <c r="E37" s="16" t="s">
        <v>81</v>
      </c>
      <c r="F37" s="39">
        <f>IF(F36&lt;0,0,F33-F34+F35)</f>
        <v>2000</v>
      </c>
      <c r="G37" s="39">
        <f t="shared" ref="G37:Q37" si="20">IF(G36&lt;0,0,G33-G34+G35)</f>
        <v>1000</v>
      </c>
      <c r="H37" s="39">
        <f t="shared" si="20"/>
        <v>1000</v>
      </c>
      <c r="I37" s="39">
        <f t="shared" si="20"/>
        <v>1000</v>
      </c>
      <c r="J37" s="39">
        <f t="shared" si="20"/>
        <v>1000</v>
      </c>
      <c r="K37" s="39">
        <f t="shared" si="20"/>
        <v>1000</v>
      </c>
      <c r="L37" s="39">
        <f t="shared" si="20"/>
        <v>1000</v>
      </c>
      <c r="M37" s="39">
        <f t="shared" si="20"/>
        <v>1000</v>
      </c>
      <c r="N37" s="39">
        <f t="shared" si="20"/>
        <v>1000</v>
      </c>
      <c r="O37" s="39">
        <f t="shared" si="20"/>
        <v>1000</v>
      </c>
      <c r="P37" s="39">
        <f t="shared" si="20"/>
        <v>1000</v>
      </c>
      <c r="Q37" s="39">
        <f t="shared" si="20"/>
        <v>1000</v>
      </c>
      <c r="R37" s="21"/>
    </row>
    <row r="38" spans="1:18" ht="15" collapsed="1" x14ac:dyDescent="0.25">
      <c r="A38" s="1">
        <v>6</v>
      </c>
      <c r="B38" s="22">
        <f>Produtos!D11</f>
        <v>34</v>
      </c>
      <c r="C38" s="22" t="str">
        <f>Produtos!E11</f>
        <v>Desktop 3</v>
      </c>
      <c r="D38" s="23">
        <f>Produtos!Y11</f>
        <v>30</v>
      </c>
      <c r="E38" s="15"/>
      <c r="F38" s="43">
        <f>F43*Produtos!$AG$11</f>
        <v>1610600</v>
      </c>
      <c r="G38" s="43">
        <f>G43*Produtos!$AG$11</f>
        <v>805300</v>
      </c>
      <c r="H38" s="43">
        <f>H43*Produtos!$AG$11</f>
        <v>805300</v>
      </c>
      <c r="I38" s="43">
        <f>I43*Produtos!$AG$11</f>
        <v>805300</v>
      </c>
      <c r="J38" s="43">
        <f>J43*Produtos!$AG$11</f>
        <v>805300</v>
      </c>
      <c r="K38" s="43">
        <f>K43*Produtos!$AG$11</f>
        <v>805300</v>
      </c>
      <c r="L38" s="43">
        <f>L43*Produtos!$AG$11</f>
        <v>805300</v>
      </c>
      <c r="M38" s="43">
        <f>M43*Produtos!$AG$11</f>
        <v>805300</v>
      </c>
      <c r="N38" s="43">
        <f>N43*Produtos!$AG$11</f>
        <v>805300</v>
      </c>
      <c r="O38" s="43">
        <f>O43*Produtos!$AG$11</f>
        <v>805300</v>
      </c>
      <c r="P38" s="43">
        <f>P43*Produtos!$AG$11</f>
        <v>805300</v>
      </c>
      <c r="Q38" s="43">
        <f>Q43*Produtos!$AG$11</f>
        <v>805300</v>
      </c>
      <c r="R38" s="43">
        <f>SUM(F38:Q38)</f>
        <v>10468900</v>
      </c>
    </row>
    <row r="39" spans="1:18" ht="15" hidden="1" outlineLevel="1" x14ac:dyDescent="0.25">
      <c r="E39" s="16" t="s">
        <v>77</v>
      </c>
      <c r="F39" s="39">
        <f>'Vendas '!F13</f>
        <v>1000</v>
      </c>
      <c r="G39" s="39">
        <f>'Vendas '!G13</f>
        <v>1000</v>
      </c>
      <c r="H39" s="39">
        <f>'Vendas '!H13</f>
        <v>1000</v>
      </c>
      <c r="I39" s="39">
        <f>'Vendas '!I13</f>
        <v>1000</v>
      </c>
      <c r="J39" s="39">
        <f>'Vendas '!J13</f>
        <v>1000</v>
      </c>
      <c r="K39" s="39">
        <f>'Vendas '!K13</f>
        <v>1000</v>
      </c>
      <c r="L39" s="39">
        <f>'Vendas '!L13</f>
        <v>1000</v>
      </c>
      <c r="M39" s="39">
        <f>'Vendas '!M13</f>
        <v>1000</v>
      </c>
      <c r="N39" s="39">
        <f>'Vendas '!N13</f>
        <v>1000</v>
      </c>
      <c r="O39" s="39">
        <f>'Vendas '!O13</f>
        <v>1000</v>
      </c>
      <c r="P39" s="39">
        <f>'Vendas '!P13</f>
        <v>1000</v>
      </c>
      <c r="Q39" s="39">
        <f>'Vendas '!Q13</f>
        <v>1000</v>
      </c>
      <c r="R39" s="39">
        <f>SUM(F39:Q39)</f>
        <v>12000</v>
      </c>
    </row>
    <row r="40" spans="1:18" ht="15" hidden="1" outlineLevel="1" x14ac:dyDescent="0.25">
      <c r="E40" s="16" t="s">
        <v>78</v>
      </c>
      <c r="F40" s="39">
        <f>E38/Produtos!$AL$11</f>
        <v>0</v>
      </c>
      <c r="G40" s="39">
        <f>IF(F42&lt;0,-F42,F41)</f>
        <v>1000</v>
      </c>
      <c r="H40" s="39">
        <f t="shared" ref="H40:Q40" si="21">IF(G42&lt;0,-G42,G41)</f>
        <v>1000</v>
      </c>
      <c r="I40" s="39">
        <f t="shared" si="21"/>
        <v>1000</v>
      </c>
      <c r="J40" s="39">
        <f t="shared" si="21"/>
        <v>1000</v>
      </c>
      <c r="K40" s="39">
        <f t="shared" si="21"/>
        <v>1000</v>
      </c>
      <c r="L40" s="39">
        <f t="shared" si="21"/>
        <v>1000</v>
      </c>
      <c r="M40" s="39">
        <f t="shared" si="21"/>
        <v>1000</v>
      </c>
      <c r="N40" s="39">
        <f t="shared" si="21"/>
        <v>1000</v>
      </c>
      <c r="O40" s="39">
        <f t="shared" si="21"/>
        <v>1000</v>
      </c>
      <c r="P40" s="39">
        <f t="shared" si="21"/>
        <v>1000</v>
      </c>
      <c r="Q40" s="39">
        <f t="shared" si="21"/>
        <v>1000</v>
      </c>
      <c r="R40" s="21"/>
    </row>
    <row r="41" spans="1:18" ht="15" hidden="1" outlineLevel="1" x14ac:dyDescent="0.25">
      <c r="E41" s="16" t="s">
        <v>79</v>
      </c>
      <c r="F41" s="39">
        <f>$R$39/12*$D$38/30</f>
        <v>1000</v>
      </c>
      <c r="G41" s="39">
        <f t="shared" ref="G41:Q41" si="22">$R$39/12*$D$38/30</f>
        <v>1000</v>
      </c>
      <c r="H41" s="39">
        <f t="shared" si="22"/>
        <v>1000</v>
      </c>
      <c r="I41" s="39">
        <f t="shared" si="22"/>
        <v>1000</v>
      </c>
      <c r="J41" s="39">
        <f t="shared" si="22"/>
        <v>1000</v>
      </c>
      <c r="K41" s="39">
        <f t="shared" si="22"/>
        <v>1000</v>
      </c>
      <c r="L41" s="39">
        <f t="shared" si="22"/>
        <v>1000</v>
      </c>
      <c r="M41" s="39">
        <f t="shared" si="22"/>
        <v>1000</v>
      </c>
      <c r="N41" s="39">
        <f t="shared" si="22"/>
        <v>1000</v>
      </c>
      <c r="O41" s="39">
        <f t="shared" si="22"/>
        <v>1000</v>
      </c>
      <c r="P41" s="39">
        <f t="shared" si="22"/>
        <v>1000</v>
      </c>
      <c r="Q41" s="39">
        <f t="shared" si="22"/>
        <v>1000</v>
      </c>
      <c r="R41" s="21"/>
    </row>
    <row r="42" spans="1:18" ht="15" hidden="1" outlineLevel="1" x14ac:dyDescent="0.25">
      <c r="E42" s="16" t="s">
        <v>80</v>
      </c>
      <c r="F42" s="39">
        <f>F39-F40+F41</f>
        <v>2000</v>
      </c>
      <c r="G42" s="39">
        <f t="shared" ref="G42:Q42" si="23">G39-G40+G41</f>
        <v>1000</v>
      </c>
      <c r="H42" s="39">
        <f t="shared" si="23"/>
        <v>1000</v>
      </c>
      <c r="I42" s="39">
        <f t="shared" si="23"/>
        <v>1000</v>
      </c>
      <c r="J42" s="39">
        <f t="shared" si="23"/>
        <v>1000</v>
      </c>
      <c r="K42" s="39">
        <f t="shared" si="23"/>
        <v>1000</v>
      </c>
      <c r="L42" s="39">
        <f t="shared" si="23"/>
        <v>1000</v>
      </c>
      <c r="M42" s="39">
        <f t="shared" si="23"/>
        <v>1000</v>
      </c>
      <c r="N42" s="39">
        <f t="shared" si="23"/>
        <v>1000</v>
      </c>
      <c r="O42" s="39">
        <f t="shared" si="23"/>
        <v>1000</v>
      </c>
      <c r="P42" s="39">
        <f t="shared" si="23"/>
        <v>1000</v>
      </c>
      <c r="Q42" s="39">
        <f t="shared" si="23"/>
        <v>1000</v>
      </c>
      <c r="R42" s="21"/>
    </row>
    <row r="43" spans="1:18" ht="15" hidden="1" outlineLevel="1" x14ac:dyDescent="0.25">
      <c r="E43" s="16" t="s">
        <v>81</v>
      </c>
      <c r="F43" s="39">
        <f>IF(F42&lt;0,0,F39-F40+F41)</f>
        <v>2000</v>
      </c>
      <c r="G43" s="39">
        <f t="shared" ref="G43:Q43" si="24">IF(G42&lt;0,0,G39-G40+G41)</f>
        <v>1000</v>
      </c>
      <c r="H43" s="39">
        <f t="shared" si="24"/>
        <v>1000</v>
      </c>
      <c r="I43" s="39">
        <f t="shared" si="24"/>
        <v>1000</v>
      </c>
      <c r="J43" s="39">
        <f t="shared" si="24"/>
        <v>1000</v>
      </c>
      <c r="K43" s="39">
        <f t="shared" si="24"/>
        <v>1000</v>
      </c>
      <c r="L43" s="39">
        <f t="shared" si="24"/>
        <v>1000</v>
      </c>
      <c r="M43" s="39">
        <f t="shared" si="24"/>
        <v>1000</v>
      </c>
      <c r="N43" s="39">
        <f t="shared" si="24"/>
        <v>1000</v>
      </c>
      <c r="O43" s="39">
        <f t="shared" si="24"/>
        <v>1000</v>
      </c>
      <c r="P43" s="39">
        <f t="shared" si="24"/>
        <v>1000</v>
      </c>
      <c r="Q43" s="39">
        <f t="shared" si="24"/>
        <v>1000</v>
      </c>
      <c r="R43" s="21"/>
    </row>
    <row r="44" spans="1:18" ht="15" collapsed="1" x14ac:dyDescent="0.25">
      <c r="A44" s="1">
        <v>7</v>
      </c>
      <c r="B44" s="22">
        <f>Produtos!D12</f>
        <v>35</v>
      </c>
      <c r="C44" s="22" t="str">
        <f>Produtos!E12</f>
        <v>Desktop 4</v>
      </c>
      <c r="D44" s="23">
        <f>Produtos!Y12</f>
        <v>30</v>
      </c>
      <c r="E44" s="15"/>
      <c r="F44" s="43">
        <f>F49*Produtos!$AG$12</f>
        <v>1610600</v>
      </c>
      <c r="G44" s="43">
        <f>G49*Produtos!$AG$12</f>
        <v>805300</v>
      </c>
      <c r="H44" s="43">
        <f>H49*Produtos!$AG$12</f>
        <v>805300</v>
      </c>
      <c r="I44" s="43">
        <f>I49*Produtos!$AG$12</f>
        <v>805300</v>
      </c>
      <c r="J44" s="43">
        <f>J49*Produtos!$AG$12</f>
        <v>805300</v>
      </c>
      <c r="K44" s="43">
        <f>K49*Produtos!$AG$12</f>
        <v>805300</v>
      </c>
      <c r="L44" s="43">
        <f>L49*Produtos!$AG$12</f>
        <v>805300</v>
      </c>
      <c r="M44" s="43">
        <f>M49*Produtos!$AG$12</f>
        <v>805300</v>
      </c>
      <c r="N44" s="43">
        <f>N49*Produtos!$AG$12</f>
        <v>805300</v>
      </c>
      <c r="O44" s="43">
        <f>O49*Produtos!$AG$12</f>
        <v>805300</v>
      </c>
      <c r="P44" s="43">
        <f>P49*Produtos!$AG$12</f>
        <v>805300</v>
      </c>
      <c r="Q44" s="43">
        <f>Q49*Produtos!$AG$12</f>
        <v>805300</v>
      </c>
      <c r="R44" s="43">
        <f>SUM(F44:Q44)</f>
        <v>10468900</v>
      </c>
    </row>
    <row r="45" spans="1:18" ht="15" hidden="1" outlineLevel="1" x14ac:dyDescent="0.25">
      <c r="E45" s="16" t="s">
        <v>77</v>
      </c>
      <c r="F45" s="39">
        <f>'Vendas '!F14</f>
        <v>1000</v>
      </c>
      <c r="G45" s="39">
        <f>'Vendas '!G14</f>
        <v>1000</v>
      </c>
      <c r="H45" s="39">
        <f>'Vendas '!H14</f>
        <v>1000</v>
      </c>
      <c r="I45" s="39">
        <f>'Vendas '!I14</f>
        <v>1000</v>
      </c>
      <c r="J45" s="39">
        <f>'Vendas '!J14</f>
        <v>1000</v>
      </c>
      <c r="K45" s="39">
        <f>'Vendas '!K14</f>
        <v>1000</v>
      </c>
      <c r="L45" s="39">
        <f>'Vendas '!L14</f>
        <v>1000</v>
      </c>
      <c r="M45" s="39">
        <f>'Vendas '!M14</f>
        <v>1000</v>
      </c>
      <c r="N45" s="39">
        <f>'Vendas '!N14</f>
        <v>1000</v>
      </c>
      <c r="O45" s="39">
        <f>'Vendas '!O14</f>
        <v>1000</v>
      </c>
      <c r="P45" s="39">
        <f>'Vendas '!P14</f>
        <v>1000</v>
      </c>
      <c r="Q45" s="39">
        <f>'Vendas '!Q14</f>
        <v>1000</v>
      </c>
      <c r="R45" s="39">
        <f>SUM(F45:Q45)</f>
        <v>12000</v>
      </c>
    </row>
    <row r="46" spans="1:18" ht="15" hidden="1" outlineLevel="1" x14ac:dyDescent="0.25">
      <c r="E46" s="16" t="s">
        <v>78</v>
      </c>
      <c r="F46" s="39">
        <f>E44/Produtos!$AL$12</f>
        <v>0</v>
      </c>
      <c r="G46" s="39">
        <f>IF(F48&lt;0,-F48,F47)</f>
        <v>1000</v>
      </c>
      <c r="H46" s="39">
        <f t="shared" ref="H46:Q46" si="25">IF(G48&lt;0,-G48,G47)</f>
        <v>1000</v>
      </c>
      <c r="I46" s="39">
        <f t="shared" si="25"/>
        <v>1000</v>
      </c>
      <c r="J46" s="39">
        <f t="shared" si="25"/>
        <v>1000</v>
      </c>
      <c r="K46" s="39">
        <f t="shared" si="25"/>
        <v>1000</v>
      </c>
      <c r="L46" s="39">
        <f t="shared" si="25"/>
        <v>1000</v>
      </c>
      <c r="M46" s="39">
        <f t="shared" si="25"/>
        <v>1000</v>
      </c>
      <c r="N46" s="39">
        <f t="shared" si="25"/>
        <v>1000</v>
      </c>
      <c r="O46" s="39">
        <f t="shared" si="25"/>
        <v>1000</v>
      </c>
      <c r="P46" s="39">
        <f t="shared" si="25"/>
        <v>1000</v>
      </c>
      <c r="Q46" s="39">
        <f t="shared" si="25"/>
        <v>1000</v>
      </c>
      <c r="R46" s="21"/>
    </row>
    <row r="47" spans="1:18" ht="15" hidden="1" outlineLevel="1" x14ac:dyDescent="0.25">
      <c r="E47" s="16" t="s">
        <v>79</v>
      </c>
      <c r="F47" s="39">
        <f>$R$45/12*$D$44/30</f>
        <v>1000</v>
      </c>
      <c r="G47" s="39">
        <f t="shared" ref="G47:Q47" si="26">$R$45/12*$D$44/30</f>
        <v>1000</v>
      </c>
      <c r="H47" s="39">
        <f t="shared" si="26"/>
        <v>1000</v>
      </c>
      <c r="I47" s="39">
        <f t="shared" si="26"/>
        <v>1000</v>
      </c>
      <c r="J47" s="39">
        <f t="shared" si="26"/>
        <v>1000</v>
      </c>
      <c r="K47" s="39">
        <f t="shared" si="26"/>
        <v>1000</v>
      </c>
      <c r="L47" s="39">
        <f t="shared" si="26"/>
        <v>1000</v>
      </c>
      <c r="M47" s="39">
        <f t="shared" si="26"/>
        <v>1000</v>
      </c>
      <c r="N47" s="39">
        <f t="shared" si="26"/>
        <v>1000</v>
      </c>
      <c r="O47" s="39">
        <f t="shared" si="26"/>
        <v>1000</v>
      </c>
      <c r="P47" s="39">
        <f t="shared" si="26"/>
        <v>1000</v>
      </c>
      <c r="Q47" s="39">
        <f t="shared" si="26"/>
        <v>1000</v>
      </c>
      <c r="R47" s="21"/>
    </row>
    <row r="48" spans="1:18" ht="15" hidden="1" outlineLevel="1" x14ac:dyDescent="0.25">
      <c r="E48" s="16" t="s">
        <v>80</v>
      </c>
      <c r="F48" s="39">
        <f>F45-F46+F47</f>
        <v>2000</v>
      </c>
      <c r="G48" s="39">
        <f t="shared" ref="G48:Q48" si="27">G45-G46+G47</f>
        <v>1000</v>
      </c>
      <c r="H48" s="39">
        <f t="shared" si="27"/>
        <v>1000</v>
      </c>
      <c r="I48" s="39">
        <f t="shared" si="27"/>
        <v>1000</v>
      </c>
      <c r="J48" s="39">
        <f t="shared" si="27"/>
        <v>1000</v>
      </c>
      <c r="K48" s="39">
        <f t="shared" si="27"/>
        <v>1000</v>
      </c>
      <c r="L48" s="39">
        <f t="shared" si="27"/>
        <v>1000</v>
      </c>
      <c r="M48" s="39">
        <f t="shared" si="27"/>
        <v>1000</v>
      </c>
      <c r="N48" s="39">
        <f t="shared" si="27"/>
        <v>1000</v>
      </c>
      <c r="O48" s="39">
        <f t="shared" si="27"/>
        <v>1000</v>
      </c>
      <c r="P48" s="39">
        <f t="shared" si="27"/>
        <v>1000</v>
      </c>
      <c r="Q48" s="39">
        <f t="shared" si="27"/>
        <v>1000</v>
      </c>
      <c r="R48" s="21"/>
    </row>
    <row r="49" spans="1:18" ht="15" hidden="1" outlineLevel="1" x14ac:dyDescent="0.25">
      <c r="E49" s="16" t="s">
        <v>81</v>
      </c>
      <c r="F49" s="39">
        <f>IF(F48&lt;0,0,F45-F46+F47)</f>
        <v>2000</v>
      </c>
      <c r="G49" s="39">
        <f t="shared" ref="G49:Q49" si="28">IF(G48&lt;0,0,G45-G46+G47)</f>
        <v>1000</v>
      </c>
      <c r="H49" s="39">
        <f t="shared" si="28"/>
        <v>1000</v>
      </c>
      <c r="I49" s="39">
        <f t="shared" si="28"/>
        <v>1000</v>
      </c>
      <c r="J49" s="39">
        <f t="shared" si="28"/>
        <v>1000</v>
      </c>
      <c r="K49" s="39">
        <f t="shared" si="28"/>
        <v>1000</v>
      </c>
      <c r="L49" s="39">
        <f t="shared" si="28"/>
        <v>1000</v>
      </c>
      <c r="M49" s="39">
        <f t="shared" si="28"/>
        <v>1000</v>
      </c>
      <c r="N49" s="39">
        <f t="shared" si="28"/>
        <v>1000</v>
      </c>
      <c r="O49" s="39">
        <f t="shared" si="28"/>
        <v>1000</v>
      </c>
      <c r="P49" s="39">
        <f t="shared" si="28"/>
        <v>1000</v>
      </c>
      <c r="Q49" s="39">
        <f t="shared" si="28"/>
        <v>1000</v>
      </c>
      <c r="R49" s="21"/>
    </row>
    <row r="50" spans="1:18" ht="15" collapsed="1" x14ac:dyDescent="0.25">
      <c r="A50" s="1">
        <v>8</v>
      </c>
      <c r="B50" s="22">
        <f>Produtos!D13</f>
        <v>36</v>
      </c>
      <c r="C50" s="22" t="str">
        <f>Produtos!E13</f>
        <v>Desktop 5</v>
      </c>
      <c r="D50" s="23">
        <f>Produtos!Y13</f>
        <v>30</v>
      </c>
      <c r="E50" s="15"/>
      <c r="F50" s="43">
        <f>F55*Produtos!$AG$13</f>
        <v>1610600</v>
      </c>
      <c r="G50" s="43">
        <f>G55*Produtos!$AG$13</f>
        <v>805300</v>
      </c>
      <c r="H50" s="43">
        <f>H55*Produtos!$AG$13</f>
        <v>805300</v>
      </c>
      <c r="I50" s="43">
        <f>I55*Produtos!$AG$13</f>
        <v>805300</v>
      </c>
      <c r="J50" s="43">
        <f>J55*Produtos!$AG$13</f>
        <v>805300</v>
      </c>
      <c r="K50" s="43">
        <f>K55*Produtos!$AG$13</f>
        <v>805300</v>
      </c>
      <c r="L50" s="43">
        <f>L55*Produtos!$AG$13</f>
        <v>805300</v>
      </c>
      <c r="M50" s="43">
        <f>M55*Produtos!$AG$13</f>
        <v>805300</v>
      </c>
      <c r="N50" s="43">
        <f>N55*Produtos!$AG$13</f>
        <v>805300</v>
      </c>
      <c r="O50" s="43">
        <f>O55*Produtos!$AG$13</f>
        <v>805300</v>
      </c>
      <c r="P50" s="43">
        <f>P55*Produtos!$AG$13</f>
        <v>805300</v>
      </c>
      <c r="Q50" s="43">
        <f>Q55*Produtos!$AG$13</f>
        <v>805300</v>
      </c>
      <c r="R50" s="43">
        <f>SUM(F50:Q50)</f>
        <v>10468900</v>
      </c>
    </row>
    <row r="51" spans="1:18" ht="15" hidden="1" outlineLevel="1" x14ac:dyDescent="0.25">
      <c r="E51" s="16" t="s">
        <v>77</v>
      </c>
      <c r="F51" s="39">
        <f>'Vendas '!F15</f>
        <v>1000</v>
      </c>
      <c r="G51" s="39">
        <f>'Vendas '!G15</f>
        <v>1000</v>
      </c>
      <c r="H51" s="39">
        <f>'Vendas '!H15</f>
        <v>1000</v>
      </c>
      <c r="I51" s="39">
        <f>'Vendas '!I15</f>
        <v>1000</v>
      </c>
      <c r="J51" s="39">
        <f>'Vendas '!J15</f>
        <v>1000</v>
      </c>
      <c r="K51" s="39">
        <f>'Vendas '!K15</f>
        <v>1000</v>
      </c>
      <c r="L51" s="39">
        <f>'Vendas '!L15</f>
        <v>1000</v>
      </c>
      <c r="M51" s="39">
        <f>'Vendas '!M15</f>
        <v>1000</v>
      </c>
      <c r="N51" s="39">
        <f>'Vendas '!N15</f>
        <v>1000</v>
      </c>
      <c r="O51" s="39">
        <f>'Vendas '!O15</f>
        <v>1000</v>
      </c>
      <c r="P51" s="39">
        <f>'Vendas '!P15</f>
        <v>1000</v>
      </c>
      <c r="Q51" s="39">
        <f>'Vendas '!Q15</f>
        <v>1000</v>
      </c>
      <c r="R51" s="39">
        <f>SUM(F51:Q51)</f>
        <v>12000</v>
      </c>
    </row>
    <row r="52" spans="1:18" ht="15" hidden="1" outlineLevel="1" x14ac:dyDescent="0.25">
      <c r="E52" s="16" t="s">
        <v>78</v>
      </c>
      <c r="F52" s="39">
        <f>E50/Produtos!$AL$13</f>
        <v>0</v>
      </c>
      <c r="G52" s="39">
        <f>IF(F54&lt;0,-F54,F53)</f>
        <v>1000</v>
      </c>
      <c r="H52" s="39">
        <f t="shared" ref="H52:Q52" si="29">IF(G54&lt;0,-G54,G53)</f>
        <v>1000</v>
      </c>
      <c r="I52" s="39">
        <f t="shared" si="29"/>
        <v>1000</v>
      </c>
      <c r="J52" s="39">
        <f t="shared" si="29"/>
        <v>1000</v>
      </c>
      <c r="K52" s="39">
        <f t="shared" si="29"/>
        <v>1000</v>
      </c>
      <c r="L52" s="39">
        <f t="shared" si="29"/>
        <v>1000</v>
      </c>
      <c r="M52" s="39">
        <f t="shared" si="29"/>
        <v>1000</v>
      </c>
      <c r="N52" s="39">
        <f t="shared" si="29"/>
        <v>1000</v>
      </c>
      <c r="O52" s="39">
        <f t="shared" si="29"/>
        <v>1000</v>
      </c>
      <c r="P52" s="39">
        <f t="shared" si="29"/>
        <v>1000</v>
      </c>
      <c r="Q52" s="39">
        <f t="shared" si="29"/>
        <v>1000</v>
      </c>
      <c r="R52" s="21"/>
    </row>
    <row r="53" spans="1:18" ht="15" hidden="1" outlineLevel="1" x14ac:dyDescent="0.25">
      <c r="E53" s="16" t="s">
        <v>79</v>
      </c>
      <c r="F53" s="39">
        <f>$R$51/12*$D$50/30</f>
        <v>1000</v>
      </c>
      <c r="G53" s="39">
        <f t="shared" ref="G53:Q53" si="30">$R$51/12*$D$50/30</f>
        <v>1000</v>
      </c>
      <c r="H53" s="39">
        <f t="shared" si="30"/>
        <v>1000</v>
      </c>
      <c r="I53" s="39">
        <f t="shared" si="30"/>
        <v>1000</v>
      </c>
      <c r="J53" s="39">
        <f t="shared" si="30"/>
        <v>1000</v>
      </c>
      <c r="K53" s="39">
        <f t="shared" si="30"/>
        <v>1000</v>
      </c>
      <c r="L53" s="39">
        <f t="shared" si="30"/>
        <v>1000</v>
      </c>
      <c r="M53" s="39">
        <f t="shared" si="30"/>
        <v>1000</v>
      </c>
      <c r="N53" s="39">
        <f t="shared" si="30"/>
        <v>1000</v>
      </c>
      <c r="O53" s="39">
        <f t="shared" si="30"/>
        <v>1000</v>
      </c>
      <c r="P53" s="39">
        <f t="shared" si="30"/>
        <v>1000</v>
      </c>
      <c r="Q53" s="39">
        <f t="shared" si="30"/>
        <v>1000</v>
      </c>
      <c r="R53" s="21"/>
    </row>
    <row r="54" spans="1:18" ht="15" hidden="1" outlineLevel="1" x14ac:dyDescent="0.25">
      <c r="E54" s="16" t="s">
        <v>80</v>
      </c>
      <c r="F54" s="39">
        <f>F51-F52+F53</f>
        <v>2000</v>
      </c>
      <c r="G54" s="39">
        <f t="shared" ref="G54:Q54" si="31">G51-G52+G53</f>
        <v>1000</v>
      </c>
      <c r="H54" s="39">
        <f t="shared" si="31"/>
        <v>1000</v>
      </c>
      <c r="I54" s="39">
        <f t="shared" si="31"/>
        <v>1000</v>
      </c>
      <c r="J54" s="39">
        <f t="shared" si="31"/>
        <v>1000</v>
      </c>
      <c r="K54" s="39">
        <f t="shared" si="31"/>
        <v>1000</v>
      </c>
      <c r="L54" s="39">
        <f t="shared" si="31"/>
        <v>1000</v>
      </c>
      <c r="M54" s="39">
        <f t="shared" si="31"/>
        <v>1000</v>
      </c>
      <c r="N54" s="39">
        <f t="shared" si="31"/>
        <v>1000</v>
      </c>
      <c r="O54" s="39">
        <f t="shared" si="31"/>
        <v>1000</v>
      </c>
      <c r="P54" s="39">
        <f t="shared" si="31"/>
        <v>1000</v>
      </c>
      <c r="Q54" s="39">
        <f t="shared" si="31"/>
        <v>1000</v>
      </c>
      <c r="R54" s="21"/>
    </row>
    <row r="55" spans="1:18" ht="15" hidden="1" outlineLevel="1" x14ac:dyDescent="0.25">
      <c r="E55" s="16" t="s">
        <v>81</v>
      </c>
      <c r="F55" s="39">
        <f>IF(F54&lt;0,0,F51-F52+F53)</f>
        <v>2000</v>
      </c>
      <c r="G55" s="39">
        <f t="shared" ref="G55:Q55" si="32">IF(G54&lt;0,0,G51-G52+G53)</f>
        <v>1000</v>
      </c>
      <c r="H55" s="39">
        <f t="shared" si="32"/>
        <v>1000</v>
      </c>
      <c r="I55" s="39">
        <f t="shared" si="32"/>
        <v>1000</v>
      </c>
      <c r="J55" s="39">
        <f t="shared" si="32"/>
        <v>1000</v>
      </c>
      <c r="K55" s="39">
        <f t="shared" si="32"/>
        <v>1000</v>
      </c>
      <c r="L55" s="39">
        <f t="shared" si="32"/>
        <v>1000</v>
      </c>
      <c r="M55" s="39">
        <f t="shared" si="32"/>
        <v>1000</v>
      </c>
      <c r="N55" s="39">
        <f t="shared" si="32"/>
        <v>1000</v>
      </c>
      <c r="O55" s="39">
        <f t="shared" si="32"/>
        <v>1000</v>
      </c>
      <c r="P55" s="39">
        <f t="shared" si="32"/>
        <v>1000</v>
      </c>
      <c r="Q55" s="39">
        <f t="shared" si="32"/>
        <v>1000</v>
      </c>
      <c r="R55" s="21"/>
    </row>
    <row r="56" spans="1:18" ht="15" collapsed="1" x14ac:dyDescent="0.25">
      <c r="A56" s="1">
        <v>9</v>
      </c>
      <c r="B56" s="22">
        <f>Produtos!D14</f>
        <v>37</v>
      </c>
      <c r="C56" s="22" t="str">
        <f>Produtos!E14</f>
        <v>Desktop 6</v>
      </c>
      <c r="D56" s="23">
        <f>Produtos!Y14</f>
        <v>30</v>
      </c>
      <c r="E56" s="15"/>
      <c r="F56" s="43">
        <f>F61*Produtos!$AG$14</f>
        <v>1610600</v>
      </c>
      <c r="G56" s="43">
        <f>G61*Produtos!$AG$14</f>
        <v>805300</v>
      </c>
      <c r="H56" s="43">
        <f>H61*Produtos!$AG$14</f>
        <v>805300</v>
      </c>
      <c r="I56" s="43">
        <f>I61*Produtos!$AG$14</f>
        <v>805300</v>
      </c>
      <c r="J56" s="43">
        <f>J61*Produtos!$AG$14</f>
        <v>805300</v>
      </c>
      <c r="K56" s="43">
        <f>K61*Produtos!$AG$14</f>
        <v>805300</v>
      </c>
      <c r="L56" s="43">
        <f>L61*Produtos!$AG$14</f>
        <v>805300</v>
      </c>
      <c r="M56" s="43">
        <f>M61*Produtos!$AG$14</f>
        <v>805300</v>
      </c>
      <c r="N56" s="43">
        <f>N61*Produtos!$AG$14</f>
        <v>805300</v>
      </c>
      <c r="O56" s="43">
        <f>O61*Produtos!$AG$14</f>
        <v>805300</v>
      </c>
      <c r="P56" s="43">
        <f>P61*Produtos!$AG$14</f>
        <v>805300</v>
      </c>
      <c r="Q56" s="43">
        <f>Q61*Produtos!$AG$14</f>
        <v>805300</v>
      </c>
      <c r="R56" s="43">
        <f>SUM(F56:Q56)</f>
        <v>10468900</v>
      </c>
    </row>
    <row r="57" spans="1:18" ht="15" hidden="1" outlineLevel="1" x14ac:dyDescent="0.25">
      <c r="E57" s="16" t="s">
        <v>77</v>
      </c>
      <c r="F57" s="39">
        <f>'Vendas '!F16</f>
        <v>1000</v>
      </c>
      <c r="G57" s="39">
        <f>'Vendas '!G16</f>
        <v>1000</v>
      </c>
      <c r="H57" s="39">
        <f>'Vendas '!H16</f>
        <v>1000</v>
      </c>
      <c r="I57" s="39">
        <f>'Vendas '!I16</f>
        <v>1000</v>
      </c>
      <c r="J57" s="39">
        <f>'Vendas '!J16</f>
        <v>1000</v>
      </c>
      <c r="K57" s="39">
        <f>'Vendas '!K16</f>
        <v>1000</v>
      </c>
      <c r="L57" s="39">
        <f>'Vendas '!L16</f>
        <v>1000</v>
      </c>
      <c r="M57" s="39">
        <f>'Vendas '!M16</f>
        <v>1000</v>
      </c>
      <c r="N57" s="39">
        <f>'Vendas '!N16</f>
        <v>1000</v>
      </c>
      <c r="O57" s="39">
        <f>'Vendas '!O16</f>
        <v>1000</v>
      </c>
      <c r="P57" s="39">
        <f>'Vendas '!P16</f>
        <v>1000</v>
      </c>
      <c r="Q57" s="39">
        <f>'Vendas '!Q16</f>
        <v>1000</v>
      </c>
      <c r="R57" s="39">
        <f>SUM(F57:Q57)</f>
        <v>12000</v>
      </c>
    </row>
    <row r="58" spans="1:18" ht="15" hidden="1" outlineLevel="1" x14ac:dyDescent="0.25">
      <c r="E58" s="16" t="s">
        <v>78</v>
      </c>
      <c r="F58" s="39">
        <f>E56/Produtos!$AL$14</f>
        <v>0</v>
      </c>
      <c r="G58" s="39">
        <f>IF(F60&lt;0,-F60,F59)</f>
        <v>1000</v>
      </c>
      <c r="H58" s="39">
        <f t="shared" ref="H58:Q58" si="33">IF(G60&lt;0,-G60,G59)</f>
        <v>1000</v>
      </c>
      <c r="I58" s="39">
        <f t="shared" si="33"/>
        <v>1000</v>
      </c>
      <c r="J58" s="39">
        <f t="shared" si="33"/>
        <v>1000</v>
      </c>
      <c r="K58" s="39">
        <f t="shared" si="33"/>
        <v>1000</v>
      </c>
      <c r="L58" s="39">
        <f t="shared" si="33"/>
        <v>1000</v>
      </c>
      <c r="M58" s="39">
        <f t="shared" si="33"/>
        <v>1000</v>
      </c>
      <c r="N58" s="39">
        <f t="shared" si="33"/>
        <v>1000</v>
      </c>
      <c r="O58" s="39">
        <f t="shared" si="33"/>
        <v>1000</v>
      </c>
      <c r="P58" s="39">
        <f t="shared" si="33"/>
        <v>1000</v>
      </c>
      <c r="Q58" s="39">
        <f t="shared" si="33"/>
        <v>1000</v>
      </c>
      <c r="R58" s="21"/>
    </row>
    <row r="59" spans="1:18" ht="15" hidden="1" outlineLevel="1" x14ac:dyDescent="0.25">
      <c r="E59" s="16" t="s">
        <v>79</v>
      </c>
      <c r="F59" s="39">
        <f>$R$57/12*$D$56/30</f>
        <v>1000</v>
      </c>
      <c r="G59" s="39">
        <f t="shared" ref="G59:Q59" si="34">$R$57/12*$D$56/30</f>
        <v>1000</v>
      </c>
      <c r="H59" s="39">
        <f t="shared" si="34"/>
        <v>1000</v>
      </c>
      <c r="I59" s="39">
        <f t="shared" si="34"/>
        <v>1000</v>
      </c>
      <c r="J59" s="39">
        <f t="shared" si="34"/>
        <v>1000</v>
      </c>
      <c r="K59" s="39">
        <f t="shared" si="34"/>
        <v>1000</v>
      </c>
      <c r="L59" s="39">
        <f t="shared" si="34"/>
        <v>1000</v>
      </c>
      <c r="M59" s="39">
        <f t="shared" si="34"/>
        <v>1000</v>
      </c>
      <c r="N59" s="39">
        <f t="shared" si="34"/>
        <v>1000</v>
      </c>
      <c r="O59" s="39">
        <f t="shared" si="34"/>
        <v>1000</v>
      </c>
      <c r="P59" s="39">
        <f t="shared" si="34"/>
        <v>1000</v>
      </c>
      <c r="Q59" s="39">
        <f t="shared" si="34"/>
        <v>1000</v>
      </c>
      <c r="R59" s="21"/>
    </row>
    <row r="60" spans="1:18" ht="15" hidden="1" outlineLevel="1" x14ac:dyDescent="0.25">
      <c r="E60" s="16" t="s">
        <v>80</v>
      </c>
      <c r="F60" s="39">
        <f>F57-F58+F59</f>
        <v>2000</v>
      </c>
      <c r="G60" s="39">
        <f t="shared" ref="G60:Q60" si="35">G57-G58+G59</f>
        <v>1000</v>
      </c>
      <c r="H60" s="39">
        <f t="shared" si="35"/>
        <v>1000</v>
      </c>
      <c r="I60" s="39">
        <f t="shared" si="35"/>
        <v>1000</v>
      </c>
      <c r="J60" s="39">
        <f t="shared" si="35"/>
        <v>1000</v>
      </c>
      <c r="K60" s="39">
        <f t="shared" si="35"/>
        <v>1000</v>
      </c>
      <c r="L60" s="39">
        <f t="shared" si="35"/>
        <v>1000</v>
      </c>
      <c r="M60" s="39">
        <f t="shared" si="35"/>
        <v>1000</v>
      </c>
      <c r="N60" s="39">
        <f t="shared" si="35"/>
        <v>1000</v>
      </c>
      <c r="O60" s="39">
        <f t="shared" si="35"/>
        <v>1000</v>
      </c>
      <c r="P60" s="39">
        <f t="shared" si="35"/>
        <v>1000</v>
      </c>
      <c r="Q60" s="39">
        <f t="shared" si="35"/>
        <v>1000</v>
      </c>
      <c r="R60" s="21"/>
    </row>
    <row r="61" spans="1:18" ht="15" hidden="1" outlineLevel="1" x14ac:dyDescent="0.25">
      <c r="E61" s="16" t="s">
        <v>81</v>
      </c>
      <c r="F61" s="39">
        <f>IF(F60&lt;0,0,F57-F58+F59)</f>
        <v>2000</v>
      </c>
      <c r="G61" s="39">
        <f t="shared" ref="G61:Q61" si="36">IF(G60&lt;0,0,G57-G58+G59)</f>
        <v>1000</v>
      </c>
      <c r="H61" s="39">
        <f t="shared" si="36"/>
        <v>1000</v>
      </c>
      <c r="I61" s="39">
        <f t="shared" si="36"/>
        <v>1000</v>
      </c>
      <c r="J61" s="39">
        <f t="shared" si="36"/>
        <v>1000</v>
      </c>
      <c r="K61" s="39">
        <f t="shared" si="36"/>
        <v>1000</v>
      </c>
      <c r="L61" s="39">
        <f t="shared" si="36"/>
        <v>1000</v>
      </c>
      <c r="M61" s="39">
        <f t="shared" si="36"/>
        <v>1000</v>
      </c>
      <c r="N61" s="39">
        <f t="shared" si="36"/>
        <v>1000</v>
      </c>
      <c r="O61" s="39">
        <f t="shared" si="36"/>
        <v>1000</v>
      </c>
      <c r="P61" s="39">
        <f t="shared" si="36"/>
        <v>1000</v>
      </c>
      <c r="Q61" s="39">
        <f t="shared" si="36"/>
        <v>1000</v>
      </c>
      <c r="R61" s="21"/>
    </row>
    <row r="62" spans="1:18" ht="15" collapsed="1" x14ac:dyDescent="0.25">
      <c r="A62" s="1">
        <v>10</v>
      </c>
      <c r="B62" s="22">
        <f>Produtos!D15</f>
        <v>38</v>
      </c>
      <c r="C62" s="22" t="str">
        <f>Produtos!E15</f>
        <v>Desktop 7</v>
      </c>
      <c r="D62" s="23">
        <f>Produtos!Y15</f>
        <v>30</v>
      </c>
      <c r="E62" s="15"/>
      <c r="F62" s="43">
        <f>F67*Produtos!$AG$15</f>
        <v>1610600</v>
      </c>
      <c r="G62" s="43">
        <f>G67*Produtos!$AG$15</f>
        <v>805300</v>
      </c>
      <c r="H62" s="43">
        <f>H67*Produtos!$AG$15</f>
        <v>805300</v>
      </c>
      <c r="I62" s="43">
        <f>I67*Produtos!$AG$15</f>
        <v>805300</v>
      </c>
      <c r="J62" s="43">
        <f>J67*Produtos!$AG$15</f>
        <v>805300</v>
      </c>
      <c r="K62" s="43">
        <f>K67*Produtos!$AG$15</f>
        <v>805300</v>
      </c>
      <c r="L62" s="43">
        <f>L67*Produtos!$AG$15</f>
        <v>805300</v>
      </c>
      <c r="M62" s="43">
        <f>M67*Produtos!$AG$15</f>
        <v>805300</v>
      </c>
      <c r="N62" s="43">
        <f>N67*Produtos!$AG$15</f>
        <v>805300</v>
      </c>
      <c r="O62" s="43">
        <f>O67*Produtos!$AG$15</f>
        <v>805300</v>
      </c>
      <c r="P62" s="43">
        <f>P67*Produtos!$AG$15</f>
        <v>805300</v>
      </c>
      <c r="Q62" s="43">
        <f>Q67*Produtos!$AG$15</f>
        <v>805300</v>
      </c>
      <c r="R62" s="43">
        <f>SUM(F62:Q62)</f>
        <v>10468900</v>
      </c>
    </row>
    <row r="63" spans="1:18" ht="15" hidden="1" outlineLevel="1" x14ac:dyDescent="0.25">
      <c r="E63" s="16" t="s">
        <v>77</v>
      </c>
      <c r="F63" s="39">
        <f>'Vendas '!F17</f>
        <v>1000</v>
      </c>
      <c r="G63" s="39">
        <f>'Vendas '!G17</f>
        <v>1000</v>
      </c>
      <c r="H63" s="39">
        <f>'Vendas '!H17</f>
        <v>1000</v>
      </c>
      <c r="I63" s="39">
        <f>'Vendas '!I17</f>
        <v>1000</v>
      </c>
      <c r="J63" s="39">
        <f>'Vendas '!J17</f>
        <v>1000</v>
      </c>
      <c r="K63" s="39">
        <f>'Vendas '!K17</f>
        <v>1000</v>
      </c>
      <c r="L63" s="39">
        <f>'Vendas '!L17</f>
        <v>1000</v>
      </c>
      <c r="M63" s="39">
        <f>'Vendas '!M17</f>
        <v>1000</v>
      </c>
      <c r="N63" s="39">
        <f>'Vendas '!N17</f>
        <v>1000</v>
      </c>
      <c r="O63" s="39">
        <f>'Vendas '!O17</f>
        <v>1000</v>
      </c>
      <c r="P63" s="39">
        <f>'Vendas '!P17</f>
        <v>1000</v>
      </c>
      <c r="Q63" s="39">
        <f>'Vendas '!Q17</f>
        <v>1000</v>
      </c>
      <c r="R63" s="39">
        <f>SUM(F63:Q63)</f>
        <v>12000</v>
      </c>
    </row>
    <row r="64" spans="1:18" ht="15" hidden="1" outlineLevel="1" x14ac:dyDescent="0.25">
      <c r="E64" s="16" t="s">
        <v>78</v>
      </c>
      <c r="F64" s="39">
        <f>E62/Produtos!$AL$15</f>
        <v>0</v>
      </c>
      <c r="G64" s="39">
        <f>IF(F66&lt;0,-F66,F65)</f>
        <v>1000</v>
      </c>
      <c r="H64" s="39">
        <f t="shared" ref="H64:Q64" si="37">IF(G66&lt;0,-G66,G65)</f>
        <v>1000</v>
      </c>
      <c r="I64" s="39">
        <f t="shared" si="37"/>
        <v>1000</v>
      </c>
      <c r="J64" s="39">
        <f t="shared" si="37"/>
        <v>1000</v>
      </c>
      <c r="K64" s="39">
        <f t="shared" si="37"/>
        <v>1000</v>
      </c>
      <c r="L64" s="39">
        <f t="shared" si="37"/>
        <v>1000</v>
      </c>
      <c r="M64" s="39">
        <f t="shared" si="37"/>
        <v>1000</v>
      </c>
      <c r="N64" s="39">
        <f t="shared" si="37"/>
        <v>1000</v>
      </c>
      <c r="O64" s="39">
        <f t="shared" si="37"/>
        <v>1000</v>
      </c>
      <c r="P64" s="39">
        <f t="shared" si="37"/>
        <v>1000</v>
      </c>
      <c r="Q64" s="39">
        <f t="shared" si="37"/>
        <v>1000</v>
      </c>
      <c r="R64" s="39"/>
    </row>
    <row r="65" spans="1:18" ht="15" hidden="1" outlineLevel="1" x14ac:dyDescent="0.25">
      <c r="E65" s="16" t="s">
        <v>79</v>
      </c>
      <c r="F65" s="39">
        <f>$R$63/12*$D$62/30</f>
        <v>1000</v>
      </c>
      <c r="G65" s="39">
        <f t="shared" ref="G65:Q65" si="38">$R$63/12*$D$62/30</f>
        <v>1000</v>
      </c>
      <c r="H65" s="39">
        <f t="shared" si="38"/>
        <v>1000</v>
      </c>
      <c r="I65" s="39">
        <f t="shared" si="38"/>
        <v>1000</v>
      </c>
      <c r="J65" s="39">
        <f t="shared" si="38"/>
        <v>1000</v>
      </c>
      <c r="K65" s="39">
        <f t="shared" si="38"/>
        <v>1000</v>
      </c>
      <c r="L65" s="39">
        <f t="shared" si="38"/>
        <v>1000</v>
      </c>
      <c r="M65" s="39">
        <f t="shared" si="38"/>
        <v>1000</v>
      </c>
      <c r="N65" s="39">
        <f t="shared" si="38"/>
        <v>1000</v>
      </c>
      <c r="O65" s="39">
        <f t="shared" si="38"/>
        <v>1000</v>
      </c>
      <c r="P65" s="39">
        <f t="shared" si="38"/>
        <v>1000</v>
      </c>
      <c r="Q65" s="39">
        <f t="shared" si="38"/>
        <v>1000</v>
      </c>
      <c r="R65" s="21"/>
    </row>
    <row r="66" spans="1:18" ht="15" hidden="1" outlineLevel="1" x14ac:dyDescent="0.25">
      <c r="E66" s="16" t="s">
        <v>80</v>
      </c>
      <c r="F66" s="39">
        <f>F63-F64+F65</f>
        <v>2000</v>
      </c>
      <c r="G66" s="39">
        <f t="shared" ref="G66:Q66" si="39">G63-G64+G65</f>
        <v>1000</v>
      </c>
      <c r="H66" s="39">
        <f t="shared" si="39"/>
        <v>1000</v>
      </c>
      <c r="I66" s="39">
        <f t="shared" si="39"/>
        <v>1000</v>
      </c>
      <c r="J66" s="39">
        <f t="shared" si="39"/>
        <v>1000</v>
      </c>
      <c r="K66" s="39">
        <f t="shared" si="39"/>
        <v>1000</v>
      </c>
      <c r="L66" s="39">
        <f t="shared" si="39"/>
        <v>1000</v>
      </c>
      <c r="M66" s="39">
        <f t="shared" si="39"/>
        <v>1000</v>
      </c>
      <c r="N66" s="39">
        <f t="shared" si="39"/>
        <v>1000</v>
      </c>
      <c r="O66" s="39">
        <f t="shared" si="39"/>
        <v>1000</v>
      </c>
      <c r="P66" s="39">
        <f t="shared" si="39"/>
        <v>1000</v>
      </c>
      <c r="Q66" s="39">
        <f t="shared" si="39"/>
        <v>1000</v>
      </c>
      <c r="R66" s="21"/>
    </row>
    <row r="67" spans="1:18" ht="15" hidden="1" outlineLevel="1" x14ac:dyDescent="0.25">
      <c r="E67" s="16" t="s">
        <v>81</v>
      </c>
      <c r="F67" s="39">
        <f>IF(F66&lt;0,0,F63-F64+F65)</f>
        <v>2000</v>
      </c>
      <c r="G67" s="39">
        <f t="shared" ref="G67:Q67" si="40">IF(G66&lt;0,0,G63-G64+G65)</f>
        <v>1000</v>
      </c>
      <c r="H67" s="39">
        <f t="shared" si="40"/>
        <v>1000</v>
      </c>
      <c r="I67" s="39">
        <f t="shared" si="40"/>
        <v>1000</v>
      </c>
      <c r="J67" s="39">
        <f t="shared" si="40"/>
        <v>1000</v>
      </c>
      <c r="K67" s="39">
        <f t="shared" si="40"/>
        <v>1000</v>
      </c>
      <c r="L67" s="39">
        <f t="shared" si="40"/>
        <v>1000</v>
      </c>
      <c r="M67" s="39">
        <f t="shared" si="40"/>
        <v>1000</v>
      </c>
      <c r="N67" s="39">
        <f t="shared" si="40"/>
        <v>1000</v>
      </c>
      <c r="O67" s="39">
        <f t="shared" si="40"/>
        <v>1000</v>
      </c>
      <c r="P67" s="39">
        <f t="shared" si="40"/>
        <v>1000</v>
      </c>
      <c r="Q67" s="39">
        <f t="shared" si="40"/>
        <v>1000</v>
      </c>
      <c r="R67" s="21"/>
    </row>
    <row r="68" spans="1:18" ht="15" collapsed="1" x14ac:dyDescent="0.25">
      <c r="A68" s="1">
        <v>11</v>
      </c>
      <c r="B68" s="22">
        <f>Produtos!D16</f>
        <v>39</v>
      </c>
      <c r="C68" s="22" t="str">
        <f>Produtos!E16</f>
        <v>Desktop 8</v>
      </c>
      <c r="D68" s="23">
        <f>Produtos!Y16</f>
        <v>30</v>
      </c>
      <c r="E68" s="15"/>
      <c r="F68" s="43">
        <f>F73*Produtos!$AG$16</f>
        <v>1610600</v>
      </c>
      <c r="G68" s="43">
        <f>G73*Produtos!$AG$16</f>
        <v>805300</v>
      </c>
      <c r="H68" s="43">
        <f>H73*Produtos!$AG$16</f>
        <v>805300</v>
      </c>
      <c r="I68" s="43">
        <f>I73*Produtos!$AG$16</f>
        <v>805300</v>
      </c>
      <c r="J68" s="43">
        <f>J73*Produtos!$AG$16</f>
        <v>805300</v>
      </c>
      <c r="K68" s="43">
        <f>K73*Produtos!$AG$16</f>
        <v>805300</v>
      </c>
      <c r="L68" s="43">
        <f>L73*Produtos!$AG$16</f>
        <v>805300</v>
      </c>
      <c r="M68" s="43">
        <f>M73*Produtos!$AG$16</f>
        <v>805300</v>
      </c>
      <c r="N68" s="43">
        <f>N73*Produtos!$AG$16</f>
        <v>805300</v>
      </c>
      <c r="O68" s="43">
        <f>O73*Produtos!$AG$16</f>
        <v>805300</v>
      </c>
      <c r="P68" s="43">
        <f>P73*Produtos!$AG$16</f>
        <v>805300</v>
      </c>
      <c r="Q68" s="43">
        <f>Q73*Produtos!$AG$16</f>
        <v>805300</v>
      </c>
      <c r="R68" s="43">
        <f>SUM(F68:Q68)</f>
        <v>10468900</v>
      </c>
    </row>
    <row r="69" spans="1:18" ht="15" hidden="1" outlineLevel="1" x14ac:dyDescent="0.25">
      <c r="E69" s="16" t="s">
        <v>77</v>
      </c>
      <c r="F69" s="39">
        <f>'Vendas '!F18</f>
        <v>1000</v>
      </c>
      <c r="G69" s="39">
        <f>'Vendas '!G18</f>
        <v>1000</v>
      </c>
      <c r="H69" s="39">
        <f>'Vendas '!H18</f>
        <v>1000</v>
      </c>
      <c r="I69" s="39">
        <f>'Vendas '!I18</f>
        <v>1000</v>
      </c>
      <c r="J69" s="39">
        <f>'Vendas '!J18</f>
        <v>1000</v>
      </c>
      <c r="K69" s="39">
        <f>'Vendas '!K18</f>
        <v>1000</v>
      </c>
      <c r="L69" s="39">
        <f>'Vendas '!L18</f>
        <v>1000</v>
      </c>
      <c r="M69" s="39">
        <f>'Vendas '!M18</f>
        <v>1000</v>
      </c>
      <c r="N69" s="39">
        <f>'Vendas '!N18</f>
        <v>1000</v>
      </c>
      <c r="O69" s="39">
        <f>'Vendas '!O18</f>
        <v>1000</v>
      </c>
      <c r="P69" s="39">
        <f>'Vendas '!P18</f>
        <v>1000</v>
      </c>
      <c r="Q69" s="39">
        <f>'Vendas '!Q18</f>
        <v>1000</v>
      </c>
      <c r="R69" s="39">
        <f>SUM(F69:Q69)</f>
        <v>12000</v>
      </c>
    </row>
    <row r="70" spans="1:18" ht="15" hidden="1" outlineLevel="1" x14ac:dyDescent="0.25">
      <c r="E70" s="16" t="s">
        <v>78</v>
      </c>
      <c r="F70" s="39">
        <f>E68/Produtos!$AL$16</f>
        <v>0</v>
      </c>
      <c r="G70" s="39">
        <f>IF(F72&lt;0,-F72,F71)</f>
        <v>1000</v>
      </c>
      <c r="H70" s="39">
        <f t="shared" ref="H70:Q70" si="41">IF(G72&lt;0,-G72,G71)</f>
        <v>1000</v>
      </c>
      <c r="I70" s="39">
        <f t="shared" si="41"/>
        <v>1000</v>
      </c>
      <c r="J70" s="39">
        <f t="shared" si="41"/>
        <v>1000</v>
      </c>
      <c r="K70" s="39">
        <f t="shared" si="41"/>
        <v>1000</v>
      </c>
      <c r="L70" s="39">
        <f t="shared" si="41"/>
        <v>1000</v>
      </c>
      <c r="M70" s="39">
        <f t="shared" si="41"/>
        <v>1000</v>
      </c>
      <c r="N70" s="39">
        <f t="shared" si="41"/>
        <v>1000</v>
      </c>
      <c r="O70" s="39">
        <f t="shared" si="41"/>
        <v>1000</v>
      </c>
      <c r="P70" s="39">
        <f t="shared" si="41"/>
        <v>1000</v>
      </c>
      <c r="Q70" s="39">
        <f t="shared" si="41"/>
        <v>1000</v>
      </c>
      <c r="R70" s="21"/>
    </row>
    <row r="71" spans="1:18" ht="15" hidden="1" outlineLevel="1" x14ac:dyDescent="0.25">
      <c r="E71" s="16" t="s">
        <v>79</v>
      </c>
      <c r="F71" s="39">
        <f>$R$69/12*$D$68/30</f>
        <v>1000</v>
      </c>
      <c r="G71" s="39">
        <f t="shared" ref="G71:Q71" si="42">$R$69/12*$D$68/30</f>
        <v>1000</v>
      </c>
      <c r="H71" s="39">
        <f t="shared" si="42"/>
        <v>1000</v>
      </c>
      <c r="I71" s="39">
        <f t="shared" si="42"/>
        <v>1000</v>
      </c>
      <c r="J71" s="39">
        <f t="shared" si="42"/>
        <v>1000</v>
      </c>
      <c r="K71" s="39">
        <f t="shared" si="42"/>
        <v>1000</v>
      </c>
      <c r="L71" s="39">
        <f t="shared" si="42"/>
        <v>1000</v>
      </c>
      <c r="M71" s="39">
        <f t="shared" si="42"/>
        <v>1000</v>
      </c>
      <c r="N71" s="39">
        <f t="shared" si="42"/>
        <v>1000</v>
      </c>
      <c r="O71" s="39">
        <f t="shared" si="42"/>
        <v>1000</v>
      </c>
      <c r="P71" s="39">
        <f t="shared" si="42"/>
        <v>1000</v>
      </c>
      <c r="Q71" s="39">
        <f t="shared" si="42"/>
        <v>1000</v>
      </c>
      <c r="R71" s="21"/>
    </row>
    <row r="72" spans="1:18" ht="15" hidden="1" outlineLevel="1" x14ac:dyDescent="0.25">
      <c r="E72" s="16" t="s">
        <v>80</v>
      </c>
      <c r="F72" s="39">
        <f>F69-F70+F71</f>
        <v>2000</v>
      </c>
      <c r="G72" s="39">
        <f t="shared" ref="G72:Q72" si="43">G69-G70+G71</f>
        <v>1000</v>
      </c>
      <c r="H72" s="39">
        <f t="shared" si="43"/>
        <v>1000</v>
      </c>
      <c r="I72" s="39">
        <f t="shared" si="43"/>
        <v>1000</v>
      </c>
      <c r="J72" s="39">
        <f t="shared" si="43"/>
        <v>1000</v>
      </c>
      <c r="K72" s="39">
        <f t="shared" si="43"/>
        <v>1000</v>
      </c>
      <c r="L72" s="39">
        <f t="shared" si="43"/>
        <v>1000</v>
      </c>
      <c r="M72" s="39">
        <f t="shared" si="43"/>
        <v>1000</v>
      </c>
      <c r="N72" s="39">
        <f t="shared" si="43"/>
        <v>1000</v>
      </c>
      <c r="O72" s="39">
        <f t="shared" si="43"/>
        <v>1000</v>
      </c>
      <c r="P72" s="39">
        <f t="shared" si="43"/>
        <v>1000</v>
      </c>
      <c r="Q72" s="39">
        <f t="shared" si="43"/>
        <v>1000</v>
      </c>
      <c r="R72" s="21"/>
    </row>
    <row r="73" spans="1:18" ht="15" hidden="1" outlineLevel="1" x14ac:dyDescent="0.25">
      <c r="E73" s="16" t="s">
        <v>81</v>
      </c>
      <c r="F73" s="39">
        <f>IF(F72&lt;0,0,F69-F70+F71)</f>
        <v>2000</v>
      </c>
      <c r="G73" s="39">
        <f t="shared" ref="G73:Q73" si="44">IF(G72&lt;0,0,G69-G70+G71)</f>
        <v>1000</v>
      </c>
      <c r="H73" s="39">
        <f t="shared" si="44"/>
        <v>1000</v>
      </c>
      <c r="I73" s="39">
        <f t="shared" si="44"/>
        <v>1000</v>
      </c>
      <c r="J73" s="39">
        <f t="shared" si="44"/>
        <v>1000</v>
      </c>
      <c r="K73" s="39">
        <f t="shared" si="44"/>
        <v>1000</v>
      </c>
      <c r="L73" s="39">
        <f t="shared" si="44"/>
        <v>1000</v>
      </c>
      <c r="M73" s="39">
        <f t="shared" si="44"/>
        <v>1000</v>
      </c>
      <c r="N73" s="39">
        <f t="shared" si="44"/>
        <v>1000</v>
      </c>
      <c r="O73" s="39">
        <f t="shared" si="44"/>
        <v>1000</v>
      </c>
      <c r="P73" s="39">
        <f t="shared" si="44"/>
        <v>1000</v>
      </c>
      <c r="Q73" s="39">
        <f t="shared" si="44"/>
        <v>1000</v>
      </c>
      <c r="R73" s="21"/>
    </row>
    <row r="74" spans="1:18" ht="15" x14ac:dyDescent="0.25">
      <c r="E74" s="16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44">
        <f>R8+R14+R20+R26+R32+R38+R44+R50+R56+R62+R68</f>
        <v>126733100</v>
      </c>
    </row>
    <row r="75" spans="1:18" ht="15" x14ac:dyDescent="0.25">
      <c r="E75" s="16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</row>
    <row r="76" spans="1:18" ht="15" x14ac:dyDescent="0.25"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spans="1:18" ht="15" x14ac:dyDescent="0.25">
      <c r="A77" s="166" t="s">
        <v>121</v>
      </c>
      <c r="B77" s="166"/>
      <c r="C77" s="166"/>
      <c r="D77" s="16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spans="1:18" ht="15" x14ac:dyDescent="0.25">
      <c r="A78" s="48" t="s">
        <v>75</v>
      </c>
      <c r="B78" s="49" t="s">
        <v>73</v>
      </c>
      <c r="C78" s="50" t="s">
        <v>82</v>
      </c>
      <c r="D78" s="50" t="s">
        <v>83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spans="1:18" ht="15" x14ac:dyDescent="0.25">
      <c r="A79" s="45">
        <f>Produtos!D6</f>
        <v>11</v>
      </c>
      <c r="B79" s="45" t="str">
        <f>Produtos!E6</f>
        <v>Câmara Digital 3D 18.2 MP</v>
      </c>
      <c r="C79" s="46">
        <f>R8</f>
        <v>15229500</v>
      </c>
      <c r="D79" s="47">
        <f>Produtos!AA6</f>
        <v>30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spans="1:18" ht="15" x14ac:dyDescent="0.25">
      <c r="A80" s="21">
        <f>Produtos!D7</f>
        <v>21</v>
      </c>
      <c r="B80" s="21" t="str">
        <f>Produtos!E7</f>
        <v>TV 3 D 32"</v>
      </c>
      <c r="C80" s="39">
        <f>R14</f>
        <v>17543500</v>
      </c>
      <c r="D80" s="47">
        <f>Produtos!AA7</f>
        <v>30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spans="1:18" ht="15" x14ac:dyDescent="0.25">
      <c r="A81" s="21">
        <f>Produtos!D8</f>
        <v>31</v>
      </c>
      <c r="B81" s="21" t="str">
        <f>Produtos!E8</f>
        <v>Desktop Dual Core 2GB</v>
      </c>
      <c r="C81" s="39">
        <f>R20</f>
        <v>10468900</v>
      </c>
      <c r="D81" s="47">
        <f>Produtos!AA8</f>
        <v>30</v>
      </c>
      <c r="R81" s="14"/>
    </row>
    <row r="82" spans="1:18" ht="15" x14ac:dyDescent="0.25">
      <c r="A82" s="21">
        <f>Produtos!D9</f>
        <v>32</v>
      </c>
      <c r="B82" s="21" t="str">
        <f>Produtos!E9</f>
        <v>Desktop 1</v>
      </c>
      <c r="C82" s="39">
        <f>R26</f>
        <v>10468900</v>
      </c>
      <c r="D82" s="47">
        <f>Produtos!AA9</f>
        <v>30</v>
      </c>
    </row>
    <row r="83" spans="1:18" ht="15" x14ac:dyDescent="0.25">
      <c r="A83" s="21">
        <f>Produtos!D10</f>
        <v>33</v>
      </c>
      <c r="B83" s="21" t="str">
        <f>Produtos!E10</f>
        <v>Desktop 2</v>
      </c>
      <c r="C83" s="39">
        <f>R32</f>
        <v>10208900</v>
      </c>
      <c r="D83" s="47">
        <f>Produtos!AA10</f>
        <v>30</v>
      </c>
    </row>
    <row r="84" spans="1:18" ht="15" x14ac:dyDescent="0.25">
      <c r="A84" s="21">
        <f>Produtos!D11</f>
        <v>34</v>
      </c>
      <c r="B84" s="21" t="str">
        <f>Produtos!E11</f>
        <v>Desktop 3</v>
      </c>
      <c r="C84" s="39">
        <f>R38</f>
        <v>10468900</v>
      </c>
      <c r="D84" s="47">
        <f>Produtos!AA11</f>
        <v>30</v>
      </c>
    </row>
    <row r="85" spans="1:18" ht="15" x14ac:dyDescent="0.25">
      <c r="A85" s="21">
        <f>Produtos!D12</f>
        <v>35</v>
      </c>
      <c r="B85" s="21" t="str">
        <f>Produtos!E12</f>
        <v>Desktop 4</v>
      </c>
      <c r="C85" s="39">
        <f>R44</f>
        <v>10468900</v>
      </c>
      <c r="D85" s="47">
        <f>Produtos!AA12</f>
        <v>30</v>
      </c>
    </row>
    <row r="86" spans="1:18" ht="15" x14ac:dyDescent="0.25">
      <c r="A86" s="21">
        <f>Produtos!D13</f>
        <v>36</v>
      </c>
      <c r="B86" s="21" t="str">
        <f>Produtos!E13</f>
        <v>Desktop 5</v>
      </c>
      <c r="C86" s="39">
        <f>R50</f>
        <v>10468900</v>
      </c>
      <c r="D86" s="47">
        <f>Produtos!AA13</f>
        <v>30</v>
      </c>
    </row>
    <row r="87" spans="1:18" ht="15" x14ac:dyDescent="0.25">
      <c r="A87" s="21">
        <f>Produtos!D14</f>
        <v>37</v>
      </c>
      <c r="B87" s="21" t="str">
        <f>Produtos!E14</f>
        <v>Desktop 6</v>
      </c>
      <c r="C87" s="39">
        <f>R56</f>
        <v>10468900</v>
      </c>
      <c r="D87" s="47">
        <f>Produtos!AA14</f>
        <v>30</v>
      </c>
    </row>
    <row r="88" spans="1:18" ht="15" x14ac:dyDescent="0.25">
      <c r="A88" s="21">
        <f>Produtos!D15</f>
        <v>38</v>
      </c>
      <c r="B88" s="21" t="str">
        <f>Produtos!E15</f>
        <v>Desktop 7</v>
      </c>
      <c r="C88" s="39">
        <f>R62</f>
        <v>10468900</v>
      </c>
      <c r="D88" s="47">
        <f>Produtos!AA15</f>
        <v>30</v>
      </c>
    </row>
    <row r="89" spans="1:18" ht="15" x14ac:dyDescent="0.25">
      <c r="A89" s="21">
        <f>Produtos!D16</f>
        <v>39</v>
      </c>
      <c r="B89" s="21" t="str">
        <f>Produtos!E16</f>
        <v>Desktop 8</v>
      </c>
      <c r="C89" s="39">
        <f>R68</f>
        <v>10468900</v>
      </c>
      <c r="D89" s="47">
        <f>Produtos!AA16</f>
        <v>30</v>
      </c>
    </row>
    <row r="90" spans="1:18" ht="15" x14ac:dyDescent="0.25">
      <c r="C90" s="44">
        <f>SUM(C79:C89)</f>
        <v>126733100</v>
      </c>
      <c r="D90" s="38">
        <f>SUMPRODUCT(C79:C89,D79:D89)/C90</f>
        <v>30</v>
      </c>
    </row>
  </sheetData>
  <mergeCells count="5">
    <mergeCell ref="A77:D77"/>
    <mergeCell ref="D4:D5"/>
    <mergeCell ref="C1:C2"/>
    <mergeCell ref="B4:C4"/>
    <mergeCell ref="F4:R4"/>
  </mergeCells>
  <pageMargins left="0.78740157499999996" right="0.78740157499999996" top="0.984251969" bottom="0.984251969" header="0.49212598499999999" footer="0.49212598499999999"/>
  <pageSetup paperSize="9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9"/>
  <sheetViews>
    <sheetView workbookViewId="0">
      <selection activeCell="A29" sqref="A29"/>
    </sheetView>
  </sheetViews>
  <sheetFormatPr defaultColWidth="9.140625" defaultRowHeight="15" outlineLevelRow="1" x14ac:dyDescent="0.25"/>
  <cols>
    <col min="1" max="1" width="39.42578125" style="31" customWidth="1"/>
    <col min="2" max="13" width="13.28515625" style="31" bestFit="1" customWidth="1"/>
    <col min="14" max="14" width="12.5703125" style="31" bestFit="1" customWidth="1"/>
    <col min="15" max="16384" width="9.140625" style="31"/>
  </cols>
  <sheetData>
    <row r="1" spans="1:14" x14ac:dyDescent="0.25">
      <c r="A1" s="64" t="s">
        <v>120</v>
      </c>
    </row>
    <row r="2" spans="1:14" x14ac:dyDescent="0.25">
      <c r="A2" s="13" t="s">
        <v>95</v>
      </c>
      <c r="B2" s="65">
        <f>Dados!B56</f>
        <v>1</v>
      </c>
    </row>
    <row r="3" spans="1:14" x14ac:dyDescent="0.25">
      <c r="A3" s="66" t="s">
        <v>96</v>
      </c>
      <c r="B3" s="67">
        <f>'Vendas '!S35</f>
        <v>30</v>
      </c>
    </row>
    <row r="4" spans="1:14" x14ac:dyDescent="0.25">
      <c r="A4" s="66" t="s">
        <v>97</v>
      </c>
      <c r="B4" s="76"/>
      <c r="C4" s="68">
        <f>B6</f>
        <v>0</v>
      </c>
      <c r="D4" s="68">
        <f t="shared" ref="D4:M4" si="0">C6</f>
        <v>0</v>
      </c>
      <c r="E4" s="68">
        <f t="shared" si="0"/>
        <v>0</v>
      </c>
      <c r="F4" s="68">
        <f t="shared" si="0"/>
        <v>0</v>
      </c>
      <c r="G4" s="68">
        <f t="shared" si="0"/>
        <v>0</v>
      </c>
      <c r="H4" s="68">
        <f t="shared" si="0"/>
        <v>0</v>
      </c>
      <c r="I4" s="68">
        <f t="shared" si="0"/>
        <v>0</v>
      </c>
      <c r="J4" s="68">
        <f t="shared" si="0"/>
        <v>0</v>
      </c>
      <c r="K4" s="68">
        <f t="shared" si="0"/>
        <v>0</v>
      </c>
      <c r="L4" s="68">
        <f t="shared" si="0"/>
        <v>0</v>
      </c>
      <c r="M4" s="68">
        <f t="shared" si="0"/>
        <v>0</v>
      </c>
    </row>
    <row r="5" spans="1:14" x14ac:dyDescent="0.25">
      <c r="A5" s="31" t="s">
        <v>98</v>
      </c>
      <c r="B5" s="69">
        <f>IF($B$3&lt;30,$B$4,0)</f>
        <v>0</v>
      </c>
      <c r="C5" s="69">
        <f>IF(AND($B$3&gt;=30,$B$3&lt;60),$B$4,0)</f>
        <v>0</v>
      </c>
      <c r="D5" s="69">
        <f>IF(AND($B$3&gt;=60,$B$3&lt;90),$B$4,0)</f>
        <v>0</v>
      </c>
      <c r="E5" s="69">
        <f>IF(AND($B$3&gt;=90,$B$3&lt;120),$B$4,0)</f>
        <v>0</v>
      </c>
      <c r="F5" s="69">
        <f>IF(AND($B$3&gt;=120,$B$3&lt;150),$B$4,0)</f>
        <v>0</v>
      </c>
      <c r="G5" s="69">
        <f>IF(AND($B$3&gt;=150,$B$3&lt;180),$B$4,0)</f>
        <v>0</v>
      </c>
      <c r="H5" s="69">
        <f>IF(AND($B$3&gt;=180,$B$3&lt;210),$B$4,0)</f>
        <v>0</v>
      </c>
      <c r="I5" s="69">
        <f>IF(AND($B$3&gt;=210,$B$3&lt;240),$B$4,0)</f>
        <v>0</v>
      </c>
      <c r="J5" s="69">
        <f>IF(AND($B$3&gt;=240,$B$3&lt;270),$B$4,0)</f>
        <v>0</v>
      </c>
      <c r="K5" s="69">
        <f>IF(AND($B$3&gt;=270,$B$3&lt;300),$B$4,0)</f>
        <v>0</v>
      </c>
      <c r="L5" s="69">
        <f>IF(AND($B$3&gt;=300,$B$3&lt;330),$B$4,0)</f>
        <v>0</v>
      </c>
      <c r="M5" s="69">
        <f>IF(AND($B$3&gt;=330,$B$3&lt;360),$B$4,0)</f>
        <v>0</v>
      </c>
    </row>
    <row r="6" spans="1:14" x14ac:dyDescent="0.25">
      <c r="A6" s="66" t="s">
        <v>99</v>
      </c>
      <c r="B6" s="69">
        <f>B4-B5</f>
        <v>0</v>
      </c>
      <c r="C6" s="69">
        <f t="shared" ref="C6:M6" si="1">C4-C5</f>
        <v>0</v>
      </c>
      <c r="D6" s="69">
        <f t="shared" si="1"/>
        <v>0</v>
      </c>
      <c r="E6" s="69">
        <f t="shared" si="1"/>
        <v>0</v>
      </c>
      <c r="F6" s="69">
        <f t="shared" si="1"/>
        <v>0</v>
      </c>
      <c r="G6" s="69">
        <f t="shared" si="1"/>
        <v>0</v>
      </c>
      <c r="H6" s="69">
        <f t="shared" si="1"/>
        <v>0</v>
      </c>
      <c r="I6" s="69">
        <f t="shared" si="1"/>
        <v>0</v>
      </c>
      <c r="J6" s="69">
        <f t="shared" si="1"/>
        <v>0</v>
      </c>
      <c r="K6" s="69">
        <f t="shared" si="1"/>
        <v>0</v>
      </c>
      <c r="L6" s="69">
        <f t="shared" si="1"/>
        <v>0</v>
      </c>
      <c r="M6" s="69">
        <f t="shared" si="1"/>
        <v>0</v>
      </c>
    </row>
    <row r="7" spans="1:14" x14ac:dyDescent="0.25"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4" x14ac:dyDescent="0.25">
      <c r="A8" s="31" t="s">
        <v>100</v>
      </c>
      <c r="B8" s="70">
        <v>0</v>
      </c>
      <c r="C8" s="70">
        <f>B23</f>
        <v>13841000</v>
      </c>
      <c r="D8" s="70">
        <f t="shared" ref="D8:M8" si="2">C23</f>
        <v>13841000</v>
      </c>
      <c r="E8" s="70">
        <f t="shared" si="2"/>
        <v>13841000</v>
      </c>
      <c r="F8" s="70">
        <f t="shared" si="2"/>
        <v>13841000</v>
      </c>
      <c r="G8" s="70">
        <f t="shared" si="2"/>
        <v>13841000</v>
      </c>
      <c r="H8" s="70">
        <f t="shared" si="2"/>
        <v>13841000</v>
      </c>
      <c r="I8" s="70">
        <f t="shared" si="2"/>
        <v>13841000</v>
      </c>
      <c r="J8" s="70">
        <f t="shared" si="2"/>
        <v>13841000</v>
      </c>
      <c r="K8" s="70">
        <f t="shared" si="2"/>
        <v>13841000</v>
      </c>
      <c r="L8" s="70">
        <f t="shared" si="2"/>
        <v>13841000</v>
      </c>
      <c r="M8" s="70">
        <f t="shared" si="2"/>
        <v>13841000</v>
      </c>
    </row>
    <row r="9" spans="1:14" x14ac:dyDescent="0.25">
      <c r="A9" s="66" t="s">
        <v>101</v>
      </c>
      <c r="B9" s="69">
        <f>'Vendas '!F55*$B$2</f>
        <v>13841000</v>
      </c>
      <c r="C9" s="69">
        <f>'Vendas '!G55*$B$2</f>
        <v>13841000</v>
      </c>
      <c r="D9" s="69">
        <f>'Vendas '!H55*$B$2</f>
        <v>13841000</v>
      </c>
      <c r="E9" s="69">
        <f>'Vendas '!I55*$B$2</f>
        <v>13841000</v>
      </c>
      <c r="F9" s="69">
        <f>'Vendas '!J55*$B$2</f>
        <v>13841000</v>
      </c>
      <c r="G9" s="69">
        <f>'Vendas '!K55*$B$2</f>
        <v>13841000</v>
      </c>
      <c r="H9" s="69">
        <f>'Vendas '!L55*$B$2</f>
        <v>13841000</v>
      </c>
      <c r="I9" s="69">
        <f>'Vendas '!M55*$B$2</f>
        <v>13841000</v>
      </c>
      <c r="J9" s="69">
        <f>'Vendas '!N55*$B$2</f>
        <v>13841000</v>
      </c>
      <c r="K9" s="69">
        <f>'Vendas '!O55*$B$2</f>
        <v>13841000</v>
      </c>
      <c r="L9" s="69">
        <f>'Vendas '!P55*$B$2</f>
        <v>13841000</v>
      </c>
      <c r="M9" s="69">
        <f>'Vendas '!Q55*$B$2</f>
        <v>13841000</v>
      </c>
      <c r="N9" s="68"/>
    </row>
    <row r="10" spans="1:14" collapsed="1" x14ac:dyDescent="0.25">
      <c r="A10" s="31" t="s">
        <v>102</v>
      </c>
      <c r="B10" s="71">
        <f>SUM(B11:B22)</f>
        <v>0</v>
      </c>
      <c r="C10" s="71">
        <f t="shared" ref="C10:M10" si="3">SUM(C11:C22)</f>
        <v>13841000</v>
      </c>
      <c r="D10" s="71">
        <f t="shared" si="3"/>
        <v>13841000</v>
      </c>
      <c r="E10" s="71">
        <f t="shared" si="3"/>
        <v>13841000</v>
      </c>
      <c r="F10" s="71">
        <f t="shared" si="3"/>
        <v>13841000</v>
      </c>
      <c r="G10" s="71">
        <f t="shared" si="3"/>
        <v>13841000</v>
      </c>
      <c r="H10" s="71">
        <f t="shared" si="3"/>
        <v>13841000</v>
      </c>
      <c r="I10" s="71">
        <f t="shared" si="3"/>
        <v>13841000</v>
      </c>
      <c r="J10" s="71">
        <f t="shared" si="3"/>
        <v>13841000</v>
      </c>
      <c r="K10" s="71">
        <f t="shared" si="3"/>
        <v>13841000</v>
      </c>
      <c r="L10" s="71">
        <f t="shared" si="3"/>
        <v>13841000</v>
      </c>
      <c r="M10" s="71">
        <f t="shared" si="3"/>
        <v>13841000</v>
      </c>
    </row>
    <row r="11" spans="1:14" hidden="1" outlineLevel="1" x14ac:dyDescent="0.25">
      <c r="A11" s="31" t="s">
        <v>103</v>
      </c>
      <c r="B11" s="69">
        <f>IF($B$3&lt;30,$B9,0)</f>
        <v>0</v>
      </c>
      <c r="C11" s="69">
        <f>IF(AND($B$3&gt;=30,$B$3&lt;60),$B$9,0)</f>
        <v>13841000</v>
      </c>
      <c r="D11" s="69">
        <f>IF(AND($B$3&gt;=60,$B$3&lt;90),$B$9,0)</f>
        <v>0</v>
      </c>
      <c r="E11" s="69">
        <f>IF(AND($B$3&gt;=90,$B$3&lt;120),$B$9,0)</f>
        <v>0</v>
      </c>
      <c r="F11" s="69">
        <f>IF(AND($B$3&gt;=120,$B$3&lt;150),$B$9,0)</f>
        <v>0</v>
      </c>
      <c r="G11" s="69">
        <f>IF(AND($B$3&gt;=150,$B$3&lt;180),$B$9,0)</f>
        <v>0</v>
      </c>
      <c r="H11" s="69">
        <f>IF(AND($B$3&gt;=180,$B$3&lt;210),$B$9,0)</f>
        <v>0</v>
      </c>
      <c r="I11" s="69">
        <f>IF(AND($B$3&gt;=210,$B$3&lt;240),$B$9,0)</f>
        <v>0</v>
      </c>
      <c r="J11" s="69">
        <f>IF(AND($B$3&gt;=240,$B$3&lt;270),$B$9,0)</f>
        <v>0</v>
      </c>
      <c r="K11" s="69">
        <f>IF(AND($B$3&gt;=270,$B$3&lt;300),$B$9,0)</f>
        <v>0</v>
      </c>
      <c r="L11" s="69">
        <f>IF(AND($B$3&gt;=300,$B$3&lt;330),$B$9,0)</f>
        <v>0</v>
      </c>
      <c r="M11" s="69">
        <f>IF(AND($B$3&gt;=330,$B$3&lt;360),$B$9,0)</f>
        <v>0</v>
      </c>
    </row>
    <row r="12" spans="1:14" hidden="1" outlineLevel="1" x14ac:dyDescent="0.25">
      <c r="A12" s="31" t="s">
        <v>104</v>
      </c>
      <c r="B12" s="178"/>
      <c r="C12" s="69">
        <f>IF($B$3&lt;30,C$9,0)</f>
        <v>0</v>
      </c>
      <c r="D12" s="69">
        <f>IF(AND($B$3&gt;=30,$B$3&lt;60),$C$9,0)</f>
        <v>13841000</v>
      </c>
      <c r="E12" s="69">
        <f>IF(AND($B$3&gt;=60,$B$3&lt;90),$C$9,0)</f>
        <v>0</v>
      </c>
      <c r="F12" s="69">
        <f>IF(AND($B$3&gt;=90,$B$3&lt;120),$C$9,0)</f>
        <v>0</v>
      </c>
      <c r="G12" s="69">
        <f>IF(AND($B$3&gt;=120,$B$3&lt;150),$C$9,0)</f>
        <v>0</v>
      </c>
      <c r="H12" s="69">
        <f>IF(AND($B$3&gt;=150,$B$3&lt;180),$C$9,0)</f>
        <v>0</v>
      </c>
      <c r="I12" s="69">
        <f>IF(AND($B$3&gt;=180,$B$3&lt;210),$C$9,0)</f>
        <v>0</v>
      </c>
      <c r="J12" s="69">
        <f>IF(AND($B$3&gt;=210,$B$3&lt;240),$C$9,0)</f>
        <v>0</v>
      </c>
      <c r="K12" s="69">
        <f>IF(AND($B$3&gt;=240,$B$3&lt;270),$C$9,0)</f>
        <v>0</v>
      </c>
      <c r="L12" s="69">
        <f>IF(AND($B$3&gt;=270,$B$3&lt;300),$C$9,0)</f>
        <v>0</v>
      </c>
      <c r="M12" s="69">
        <f>IF(AND($B$3&gt;=300,$B$3&lt;330),$C$9,0)</f>
        <v>0</v>
      </c>
    </row>
    <row r="13" spans="1:14" hidden="1" outlineLevel="1" x14ac:dyDescent="0.25">
      <c r="A13" s="31" t="s">
        <v>105</v>
      </c>
      <c r="B13" s="178"/>
      <c r="C13" s="178"/>
      <c r="D13" s="69">
        <f>IF($B$3&lt;30,D$9,0)</f>
        <v>0</v>
      </c>
      <c r="E13" s="69">
        <f>IF(AND($B$3&gt;=30,$B$3&lt;60),$D$9,0)</f>
        <v>13841000</v>
      </c>
      <c r="F13" s="69">
        <f>IF(AND($B$3&gt;=60,$B$3&lt;90),$D$9,0)</f>
        <v>0</v>
      </c>
      <c r="G13" s="69">
        <f>IF(AND($B$3&gt;=90,$B$3&lt;120),$D$9,0)</f>
        <v>0</v>
      </c>
      <c r="H13" s="69">
        <f>IF(AND($B$3&gt;=120,$B$3&lt;150),$D$9,0)</f>
        <v>0</v>
      </c>
      <c r="I13" s="69">
        <f>IF(AND($B$3&gt;=150,$B$3&lt;180),$D$9,0)</f>
        <v>0</v>
      </c>
      <c r="J13" s="69">
        <f>IF(AND($B$3&gt;=180,$B$3&lt;210),$D$9,0)</f>
        <v>0</v>
      </c>
      <c r="K13" s="69">
        <f>IF(AND($B$3&gt;=210,$B$3&lt;240),$D$9,0)</f>
        <v>0</v>
      </c>
      <c r="L13" s="69">
        <f>IF(AND($B$3&gt;=240,$B$3&lt;270),$D$9,0)</f>
        <v>0</v>
      </c>
      <c r="M13" s="69">
        <f>IF(AND($B$3&gt;=270,$B$3&lt;300),$D$9,0)</f>
        <v>0</v>
      </c>
    </row>
    <row r="14" spans="1:14" hidden="1" outlineLevel="1" x14ac:dyDescent="0.25">
      <c r="A14" s="31" t="s">
        <v>106</v>
      </c>
      <c r="B14" s="178"/>
      <c r="C14" s="178"/>
      <c r="D14" s="178"/>
      <c r="E14" s="69">
        <f>IF($B$3&lt;30,E$9,0)</f>
        <v>0</v>
      </c>
      <c r="F14" s="69">
        <f>IF(AND($B$3&gt;=30,$B$3&lt;60),$E$9,0)</f>
        <v>13841000</v>
      </c>
      <c r="G14" s="69">
        <f>IF(AND($B$3&gt;=60,$B$3&lt;90),$E$9,0)</f>
        <v>0</v>
      </c>
      <c r="H14" s="69">
        <f>IF(AND($B$3&gt;=90,$B$3&lt;120),$E$9,0)</f>
        <v>0</v>
      </c>
      <c r="I14" s="69">
        <f>IF(AND($B$3&gt;=120,$B$3&lt;150),$E$9,0)</f>
        <v>0</v>
      </c>
      <c r="J14" s="69">
        <f>IF(AND($B$3&gt;=150,$B$3&lt;180),$E$9,0)</f>
        <v>0</v>
      </c>
      <c r="K14" s="69">
        <f>IF(AND($B$3&gt;=180,$B$3&lt;210),$E$9,0)</f>
        <v>0</v>
      </c>
      <c r="L14" s="69">
        <f>IF(AND($B$3&gt;=210,$B$3&lt;240),$E$9,0)</f>
        <v>0</v>
      </c>
      <c r="M14" s="69">
        <f>IF(AND($B$3&gt;=240,$B$3&lt;270),$E$9,0)</f>
        <v>0</v>
      </c>
    </row>
    <row r="15" spans="1:14" hidden="1" outlineLevel="1" x14ac:dyDescent="0.25">
      <c r="A15" s="31" t="s">
        <v>107</v>
      </c>
      <c r="B15" s="178"/>
      <c r="C15" s="178"/>
      <c r="D15" s="178"/>
      <c r="E15" s="178"/>
      <c r="F15" s="69">
        <f>IF($B$3&lt;30,F$9,0)</f>
        <v>0</v>
      </c>
      <c r="G15" s="69">
        <f>IF(AND($B$3&gt;=30,$B$3&lt;60),$F$9,0)</f>
        <v>13841000</v>
      </c>
      <c r="H15" s="69">
        <f>IF(AND($B$3&gt;=60,$B$3&lt;90),$F$9,0)</f>
        <v>0</v>
      </c>
      <c r="I15" s="69">
        <f>IF(AND($B$3&gt;=90,$B$3&lt;120),$F$9,0)</f>
        <v>0</v>
      </c>
      <c r="J15" s="69">
        <f>IF(AND($B$3&gt;=120,$B$3&lt;150),$F$9,0)</f>
        <v>0</v>
      </c>
      <c r="K15" s="69">
        <f>IF(AND($B$3&gt;=150,$B$3&lt;180),$F$9,0)</f>
        <v>0</v>
      </c>
      <c r="L15" s="69">
        <f>IF(AND($B$3&gt;=180,$B$3&lt;210),$F$9,0)</f>
        <v>0</v>
      </c>
      <c r="M15" s="69">
        <f>IF(AND($B$3&gt;=210,$B$3&lt;240),$F$9,0)</f>
        <v>0</v>
      </c>
    </row>
    <row r="16" spans="1:14" hidden="1" outlineLevel="1" x14ac:dyDescent="0.25">
      <c r="A16" s="31" t="s">
        <v>108</v>
      </c>
      <c r="B16" s="178"/>
      <c r="C16" s="178"/>
      <c r="D16" s="178"/>
      <c r="E16" s="178"/>
      <c r="F16" s="178"/>
      <c r="G16" s="69">
        <f>IF($B$3&lt;30,G$9,0)</f>
        <v>0</v>
      </c>
      <c r="H16" s="69">
        <f>IF(AND($B$3&gt;=30,$B$3&lt;60),$G$9,0)</f>
        <v>13841000</v>
      </c>
      <c r="I16" s="69">
        <f>IF(AND($B$3&gt;=60,$B$3&lt;90),$G$9,0)</f>
        <v>0</v>
      </c>
      <c r="J16" s="69">
        <f>IF(AND($B$3&gt;=90,$B$3&lt;120),$G$9,0)</f>
        <v>0</v>
      </c>
      <c r="K16" s="69">
        <f>IF(AND($B$3&gt;=120,$B$3&lt;150),$G$9,0)</f>
        <v>0</v>
      </c>
      <c r="L16" s="69">
        <f>IF(AND($B$3&gt;=150,$B$3&lt;180),$G$9,0)</f>
        <v>0</v>
      </c>
      <c r="M16" s="69">
        <f>IF(AND($B$3&gt;=180,$B$3&lt;210),$G$9,0)</f>
        <v>0</v>
      </c>
    </row>
    <row r="17" spans="1:16" hidden="1" outlineLevel="1" x14ac:dyDescent="0.25">
      <c r="A17" s="31" t="s">
        <v>109</v>
      </c>
      <c r="B17" s="178"/>
      <c r="C17" s="178"/>
      <c r="D17" s="178"/>
      <c r="E17" s="178"/>
      <c r="F17" s="178"/>
      <c r="G17" s="178"/>
      <c r="H17" s="69">
        <f>IF($B$3&lt;30,H$9,0)</f>
        <v>0</v>
      </c>
      <c r="I17" s="69">
        <f>IF(AND($B$3&gt;=30,$B$3&lt;60),$H$9,0)</f>
        <v>13841000</v>
      </c>
      <c r="J17" s="69">
        <f>IF(AND($B$3&gt;=60,$B$3&lt;90),$H$9,0)</f>
        <v>0</v>
      </c>
      <c r="K17" s="69">
        <f>IF(AND($B$3&gt;=90,$B$3&lt;120),$H$9,0)</f>
        <v>0</v>
      </c>
      <c r="L17" s="69">
        <f>IF(AND($B$3&gt;=120,$B$3&lt;150),$H$9,0)</f>
        <v>0</v>
      </c>
      <c r="M17" s="69">
        <f>IF(AND($B$3&gt;=150,$B$3&lt;180),$H$9,0)</f>
        <v>0</v>
      </c>
    </row>
    <row r="18" spans="1:16" hidden="1" outlineLevel="1" x14ac:dyDescent="0.25">
      <c r="A18" s="31" t="s">
        <v>110</v>
      </c>
      <c r="B18" s="178"/>
      <c r="C18" s="178"/>
      <c r="D18" s="178"/>
      <c r="E18" s="178"/>
      <c r="F18" s="178"/>
      <c r="G18" s="178"/>
      <c r="H18" s="178"/>
      <c r="I18" s="69">
        <f>IF($B$3&lt;30,I$9,0)</f>
        <v>0</v>
      </c>
      <c r="J18" s="69">
        <f>IF(AND($B$3&gt;=30,$B$3&lt;60),$I$9,0)</f>
        <v>13841000</v>
      </c>
      <c r="K18" s="69">
        <f>IF(AND($B$3&gt;=60,$B$3&lt;90),$I$9,0)</f>
        <v>0</v>
      </c>
      <c r="L18" s="69">
        <f>IF(AND($B$3&gt;=90,$B$3&lt;120),$I$9,0)</f>
        <v>0</v>
      </c>
      <c r="M18" s="69">
        <f>IF(AND($B$3&gt;=120,$B$3&lt;150),$I$9,0)</f>
        <v>0</v>
      </c>
    </row>
    <row r="19" spans="1:16" hidden="1" outlineLevel="1" x14ac:dyDescent="0.25">
      <c r="A19" s="31" t="s">
        <v>111</v>
      </c>
      <c r="B19" s="178"/>
      <c r="C19" s="178"/>
      <c r="D19" s="178"/>
      <c r="E19" s="178"/>
      <c r="F19" s="178"/>
      <c r="G19" s="178"/>
      <c r="H19" s="178"/>
      <c r="I19" s="178"/>
      <c r="J19" s="69">
        <f>IF($B$3&lt;30,J$9,0)</f>
        <v>0</v>
      </c>
      <c r="K19" s="69">
        <f>IF(AND($B$3&gt;=30,$B$3&lt;60),$J$9,0)</f>
        <v>13841000</v>
      </c>
      <c r="L19" s="69">
        <f>IF(AND($B$3&gt;=60,$B$3&lt;90),$J$9,0)</f>
        <v>0</v>
      </c>
      <c r="M19" s="69">
        <f>IF(AND($B$3&gt;=90,$B$3&lt;120),$J$9,0)</f>
        <v>0</v>
      </c>
    </row>
    <row r="20" spans="1:16" hidden="1" outlineLevel="1" x14ac:dyDescent="0.25">
      <c r="A20" s="31" t="s">
        <v>112</v>
      </c>
      <c r="B20" s="178"/>
      <c r="C20" s="178"/>
      <c r="D20" s="178"/>
      <c r="E20" s="178"/>
      <c r="F20" s="178"/>
      <c r="G20" s="178"/>
      <c r="H20" s="178"/>
      <c r="I20" s="178"/>
      <c r="J20" s="178"/>
      <c r="K20" s="69">
        <f>IF($B$3&lt;30,K$9,0)</f>
        <v>0</v>
      </c>
      <c r="L20" s="69">
        <f>IF(AND($B$3&gt;=30,$B$3&lt;60),$K$9,0)</f>
        <v>13841000</v>
      </c>
      <c r="M20" s="69">
        <f>IF(AND($B$3&gt;=60,$B$3&lt;90),$K$9,0)</f>
        <v>0</v>
      </c>
    </row>
    <row r="21" spans="1:16" hidden="1" outlineLevel="1" x14ac:dyDescent="0.25">
      <c r="A21" s="31" t="s">
        <v>113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69">
        <f>IF($B$3&lt;30,L$9,0)</f>
        <v>0</v>
      </c>
      <c r="M21" s="69">
        <f>IF(AND($B$3&gt;=30,$B$3&lt;60),$L$9,0)</f>
        <v>13841000</v>
      </c>
    </row>
    <row r="22" spans="1:16" hidden="1" outlineLevel="1" x14ac:dyDescent="0.25">
      <c r="A22" s="31" t="s">
        <v>114</v>
      </c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69">
        <f>IF($B$3&lt;30,M$9,0)</f>
        <v>0</v>
      </c>
    </row>
    <row r="23" spans="1:16" x14ac:dyDescent="0.25">
      <c r="A23" s="31" t="s">
        <v>115</v>
      </c>
      <c r="B23" s="68">
        <f>B8+B9-B10</f>
        <v>13841000</v>
      </c>
      <c r="C23" s="68">
        <f t="shared" ref="C23:M23" si="4">C8+C9-C10</f>
        <v>13841000</v>
      </c>
      <c r="D23" s="68">
        <f t="shared" si="4"/>
        <v>13841000</v>
      </c>
      <c r="E23" s="68">
        <f t="shared" si="4"/>
        <v>13841000</v>
      </c>
      <c r="F23" s="68">
        <f t="shared" si="4"/>
        <v>13841000</v>
      </c>
      <c r="G23" s="68">
        <f t="shared" si="4"/>
        <v>13841000</v>
      </c>
      <c r="H23" s="68">
        <f t="shared" si="4"/>
        <v>13841000</v>
      </c>
      <c r="I23" s="68">
        <f t="shared" si="4"/>
        <v>13841000</v>
      </c>
      <c r="J23" s="68">
        <f t="shared" si="4"/>
        <v>13841000</v>
      </c>
      <c r="K23" s="68">
        <f t="shared" si="4"/>
        <v>13841000</v>
      </c>
      <c r="L23" s="68">
        <f t="shared" si="4"/>
        <v>13841000</v>
      </c>
      <c r="M23" s="68">
        <f t="shared" si="4"/>
        <v>13841000</v>
      </c>
    </row>
    <row r="25" spans="1:16" x14ac:dyDescent="0.25">
      <c r="A25" s="31" t="s">
        <v>116</v>
      </c>
      <c r="B25" s="68">
        <f>B4+B8</f>
        <v>0</v>
      </c>
      <c r="C25" s="68">
        <f>B28</f>
        <v>13841000</v>
      </c>
      <c r="D25" s="68">
        <f t="shared" ref="D25:M25" si="5">C28</f>
        <v>13841000</v>
      </c>
      <c r="E25" s="68">
        <f t="shared" si="5"/>
        <v>13841000</v>
      </c>
      <c r="F25" s="68">
        <f t="shared" si="5"/>
        <v>13841000</v>
      </c>
      <c r="G25" s="68">
        <f t="shared" si="5"/>
        <v>13841000</v>
      </c>
      <c r="H25" s="68">
        <f t="shared" si="5"/>
        <v>13841000</v>
      </c>
      <c r="I25" s="68">
        <f t="shared" si="5"/>
        <v>13841000</v>
      </c>
      <c r="J25" s="68">
        <f t="shared" si="5"/>
        <v>13841000</v>
      </c>
      <c r="K25" s="68">
        <f t="shared" si="5"/>
        <v>13841000</v>
      </c>
      <c r="L25" s="68">
        <f t="shared" si="5"/>
        <v>13841000</v>
      </c>
      <c r="M25" s="68">
        <f t="shared" si="5"/>
        <v>13841000</v>
      </c>
      <c r="N25" s="68"/>
      <c r="O25" s="68"/>
      <c r="P25" s="68"/>
    </row>
    <row r="26" spans="1:16" x14ac:dyDescent="0.25">
      <c r="A26" s="31" t="s">
        <v>117</v>
      </c>
      <c r="B26" s="68">
        <f>B9</f>
        <v>13841000</v>
      </c>
      <c r="C26" s="68">
        <f t="shared" ref="C26:M26" si="6">C9</f>
        <v>13841000</v>
      </c>
      <c r="D26" s="68">
        <f t="shared" si="6"/>
        <v>13841000</v>
      </c>
      <c r="E26" s="68">
        <f t="shared" si="6"/>
        <v>13841000</v>
      </c>
      <c r="F26" s="68">
        <f t="shared" si="6"/>
        <v>13841000</v>
      </c>
      <c r="G26" s="68">
        <f t="shared" si="6"/>
        <v>13841000</v>
      </c>
      <c r="H26" s="68">
        <f t="shared" si="6"/>
        <v>13841000</v>
      </c>
      <c r="I26" s="68">
        <f t="shared" si="6"/>
        <v>13841000</v>
      </c>
      <c r="J26" s="68">
        <f t="shared" si="6"/>
        <v>13841000</v>
      </c>
      <c r="K26" s="68">
        <f t="shared" si="6"/>
        <v>13841000</v>
      </c>
      <c r="L26" s="68">
        <f t="shared" si="6"/>
        <v>13841000</v>
      </c>
      <c r="M26" s="68">
        <f t="shared" si="6"/>
        <v>13841000</v>
      </c>
      <c r="N26" s="68"/>
    </row>
    <row r="27" spans="1:16" x14ac:dyDescent="0.25">
      <c r="A27" s="31" t="s">
        <v>118</v>
      </c>
      <c r="B27" s="68">
        <f>B5+B10</f>
        <v>0</v>
      </c>
      <c r="C27" s="68">
        <f t="shared" ref="C27:M27" si="7">C5+C10</f>
        <v>13841000</v>
      </c>
      <c r="D27" s="68">
        <f t="shared" si="7"/>
        <v>13841000</v>
      </c>
      <c r="E27" s="68">
        <f t="shared" si="7"/>
        <v>13841000</v>
      </c>
      <c r="F27" s="68">
        <f t="shared" si="7"/>
        <v>13841000</v>
      </c>
      <c r="G27" s="68">
        <f t="shared" si="7"/>
        <v>13841000</v>
      </c>
      <c r="H27" s="68">
        <f t="shared" si="7"/>
        <v>13841000</v>
      </c>
      <c r="I27" s="68">
        <f t="shared" si="7"/>
        <v>13841000</v>
      </c>
      <c r="J27" s="68">
        <f t="shared" si="7"/>
        <v>13841000</v>
      </c>
      <c r="K27" s="68">
        <f t="shared" si="7"/>
        <v>13841000</v>
      </c>
      <c r="L27" s="68">
        <f t="shared" si="7"/>
        <v>13841000</v>
      </c>
      <c r="M27" s="68">
        <f t="shared" si="7"/>
        <v>13841000</v>
      </c>
      <c r="N27" s="68"/>
    </row>
    <row r="28" spans="1:16" x14ac:dyDescent="0.25">
      <c r="A28" s="31" t="s">
        <v>119</v>
      </c>
      <c r="B28" s="68">
        <f>B25+B26-B27</f>
        <v>13841000</v>
      </c>
      <c r="C28" s="68">
        <f t="shared" ref="C28:M28" si="8">C25+C26-C27</f>
        <v>13841000</v>
      </c>
      <c r="D28" s="68">
        <f t="shared" si="8"/>
        <v>13841000</v>
      </c>
      <c r="E28" s="68">
        <f t="shared" si="8"/>
        <v>13841000</v>
      </c>
      <c r="F28" s="68">
        <f t="shared" si="8"/>
        <v>13841000</v>
      </c>
      <c r="G28" s="68">
        <f t="shared" si="8"/>
        <v>13841000</v>
      </c>
      <c r="H28" s="68">
        <f t="shared" si="8"/>
        <v>13841000</v>
      </c>
      <c r="I28" s="68">
        <f t="shared" si="8"/>
        <v>13841000</v>
      </c>
      <c r="J28" s="68">
        <f t="shared" si="8"/>
        <v>13841000</v>
      </c>
      <c r="K28" s="68">
        <f t="shared" si="8"/>
        <v>13841000</v>
      </c>
      <c r="L28" s="68">
        <f t="shared" si="8"/>
        <v>13841000</v>
      </c>
      <c r="M28" s="68">
        <f t="shared" si="8"/>
        <v>13841000</v>
      </c>
      <c r="N28" s="68"/>
    </row>
    <row r="30" spans="1:16" x14ac:dyDescent="0.25">
      <c r="A30" s="77" t="s">
        <v>208</v>
      </c>
    </row>
    <row r="31" spans="1:16" x14ac:dyDescent="0.25">
      <c r="A31" s="13" t="s">
        <v>126</v>
      </c>
      <c r="B31" s="65">
        <f>Dados!B57</f>
        <v>0</v>
      </c>
    </row>
    <row r="32" spans="1:16" x14ac:dyDescent="0.25">
      <c r="A32" s="13" t="s">
        <v>123</v>
      </c>
      <c r="B32" s="65">
        <f>Dados!B61</f>
        <v>0.5</v>
      </c>
    </row>
    <row r="33" spans="1:14" x14ac:dyDescent="0.25">
      <c r="A33" s="13" t="s">
        <v>124</v>
      </c>
      <c r="B33" s="65">
        <f>Dados!B62</f>
        <v>0.2</v>
      </c>
    </row>
    <row r="34" spans="1:14" x14ac:dyDescent="0.25">
      <c r="A34" s="13" t="s">
        <v>125</v>
      </c>
      <c r="B34" s="65">
        <f>Dados!B63</f>
        <v>0.3</v>
      </c>
    </row>
    <row r="35" spans="1:14" x14ac:dyDescent="0.25">
      <c r="A35" s="78" t="s">
        <v>122</v>
      </c>
      <c r="B35" s="67">
        <f>'Vendas '!S35</f>
        <v>30</v>
      </c>
    </row>
    <row r="36" spans="1:14" x14ac:dyDescent="0.25">
      <c r="A36" s="78"/>
    </row>
    <row r="37" spans="1:14" x14ac:dyDescent="0.25">
      <c r="A37" s="79" t="s">
        <v>127</v>
      </c>
      <c r="B37" s="31">
        <f>'[2]NT1 a NT4'!E74</f>
        <v>0</v>
      </c>
      <c r="C37" s="31">
        <f>'[2]NT1 a NT4'!F74</f>
        <v>0</v>
      </c>
      <c r="D37" s="31">
        <f>'[2]NT1 a NT4'!G74</f>
        <v>0</v>
      </c>
      <c r="E37" s="31">
        <f>'[2]NT1 a NT4'!H74</f>
        <v>0</v>
      </c>
      <c r="F37" s="31">
        <f>'[2]NT1 a NT4'!I74</f>
        <v>0</v>
      </c>
      <c r="G37" s="31">
        <f>'[2]NT1 a NT4'!J74</f>
        <v>0</v>
      </c>
      <c r="H37" s="31">
        <f>'[2]NT1 a NT4'!K74</f>
        <v>0</v>
      </c>
      <c r="I37" s="31">
        <f>'[2]NT1 a NT4'!L74</f>
        <v>0</v>
      </c>
      <c r="J37" s="31">
        <f>'[2]NT1 a NT4'!M74</f>
        <v>0</v>
      </c>
      <c r="K37" s="31">
        <f>'[2]NT1 a NT4'!N74</f>
        <v>0</v>
      </c>
      <c r="L37" s="31">
        <f>'[2]NT1 a NT4'!O74</f>
        <v>0</v>
      </c>
      <c r="M37" s="31">
        <f>'[2]NT1 a NT4'!P74</f>
        <v>0</v>
      </c>
      <c r="N37" s="66" t="s">
        <v>45</v>
      </c>
    </row>
    <row r="38" spans="1:14" x14ac:dyDescent="0.25">
      <c r="A38" s="78" t="s">
        <v>128</v>
      </c>
      <c r="B38" s="80">
        <f>'Vendas '!F35*'Fluxo Vendas '!$B$31*'Fluxo Vendas '!$B$32</f>
        <v>0</v>
      </c>
      <c r="C38" s="80">
        <f>'Vendas '!G35*'Fluxo Vendas '!$B$31*'Fluxo Vendas '!$B$32</f>
        <v>0</v>
      </c>
      <c r="D38" s="80">
        <f>'Vendas '!H35*'Fluxo Vendas '!$B$31*'Fluxo Vendas '!$B$32</f>
        <v>0</v>
      </c>
      <c r="E38" s="80">
        <f>'Vendas '!I35*'Fluxo Vendas '!$B$31*'Fluxo Vendas '!$B$32</f>
        <v>0</v>
      </c>
      <c r="F38" s="80">
        <f>'Vendas '!J35*'Fluxo Vendas '!$B$31*'Fluxo Vendas '!$B$32</f>
        <v>0</v>
      </c>
      <c r="G38" s="80">
        <f>'Vendas '!K35*'Fluxo Vendas '!$B$31*'Fluxo Vendas '!$B$32</f>
        <v>0</v>
      </c>
      <c r="H38" s="80">
        <f>'Vendas '!L35*'Fluxo Vendas '!$B$31*'Fluxo Vendas '!$B$32</f>
        <v>0</v>
      </c>
      <c r="I38" s="80">
        <f>'Vendas '!M35*'Fluxo Vendas '!$B$31*'Fluxo Vendas '!$B$32</f>
        <v>0</v>
      </c>
      <c r="J38" s="80">
        <f>'Vendas '!N35*'Fluxo Vendas '!$B$31*'Fluxo Vendas '!$B$32</f>
        <v>0</v>
      </c>
      <c r="K38" s="80">
        <f>'Vendas '!O35*'Fluxo Vendas '!$B$31*'Fluxo Vendas '!$B$32</f>
        <v>0</v>
      </c>
      <c r="L38" s="80">
        <f>'Vendas '!P35*'Fluxo Vendas '!$B$31*'Fluxo Vendas '!$B$32</f>
        <v>0</v>
      </c>
      <c r="M38" s="80">
        <f>'Vendas '!Q35*'Fluxo Vendas '!$B$31*'Fluxo Vendas '!$B$32</f>
        <v>0</v>
      </c>
      <c r="N38" s="80">
        <f>SUM(B38:M38)</f>
        <v>0</v>
      </c>
    </row>
    <row r="39" spans="1:14" x14ac:dyDescent="0.25">
      <c r="A39" s="78" t="s">
        <v>129</v>
      </c>
      <c r="B39" s="80">
        <f>'Vendas '!F35*'Fluxo Vendas '!$B$31*'Fluxo Vendas '!$B$33</f>
        <v>0</v>
      </c>
      <c r="C39" s="80">
        <f>'Vendas '!G35*'Fluxo Vendas '!$B$31*'Fluxo Vendas '!$B$33</f>
        <v>0</v>
      </c>
      <c r="D39" s="80">
        <f>'Vendas '!H35*'Fluxo Vendas '!$B$31*'Fluxo Vendas '!$B$33</f>
        <v>0</v>
      </c>
      <c r="E39" s="80">
        <f>'Vendas '!I35*'Fluxo Vendas '!$B$31*'Fluxo Vendas '!$B$33</f>
        <v>0</v>
      </c>
      <c r="F39" s="80">
        <f>'Vendas '!J35*'Fluxo Vendas '!$B$31*'Fluxo Vendas '!$B$33</f>
        <v>0</v>
      </c>
      <c r="G39" s="80">
        <f>'Vendas '!K35*'Fluxo Vendas '!$B$31*'Fluxo Vendas '!$B$33</f>
        <v>0</v>
      </c>
      <c r="H39" s="80">
        <f>'Vendas '!L35*'Fluxo Vendas '!$B$31*'Fluxo Vendas '!$B$33</f>
        <v>0</v>
      </c>
      <c r="I39" s="80">
        <f>'Vendas '!M35*'Fluxo Vendas '!$B$31*'Fluxo Vendas '!$B$33</f>
        <v>0</v>
      </c>
      <c r="J39" s="80">
        <f>'Vendas '!N35*'Fluxo Vendas '!$B$31*'Fluxo Vendas '!$B$33</f>
        <v>0</v>
      </c>
      <c r="K39" s="80">
        <f>'Vendas '!O35*'Fluxo Vendas '!$B$31*'Fluxo Vendas '!$B$33</f>
        <v>0</v>
      </c>
      <c r="L39" s="80">
        <f>'Vendas '!P35*'Fluxo Vendas '!$B$31*'Fluxo Vendas '!$B$33</f>
        <v>0</v>
      </c>
      <c r="M39" s="80">
        <f>'Vendas '!Q35*'Fluxo Vendas '!$B$31*'Fluxo Vendas '!$B$33</f>
        <v>0</v>
      </c>
      <c r="N39" s="80">
        <f t="shared" ref="N39:N43" si="9">SUM(B39:M39)</f>
        <v>0</v>
      </c>
    </row>
    <row r="40" spans="1:14" x14ac:dyDescent="0.25">
      <c r="A40" s="78" t="s">
        <v>130</v>
      </c>
      <c r="B40" s="80">
        <f>'Vendas '!F35*'Fluxo Vendas '!$B$31*'Fluxo Vendas '!$B$34</f>
        <v>0</v>
      </c>
      <c r="C40" s="80">
        <f>'Vendas '!G35*'Fluxo Vendas '!$B$31*'Fluxo Vendas '!$B$34</f>
        <v>0</v>
      </c>
      <c r="D40" s="80">
        <f>'Vendas '!H35*'Fluxo Vendas '!$B$31*'Fluxo Vendas '!$B$34</f>
        <v>0</v>
      </c>
      <c r="E40" s="80">
        <f>'Vendas '!I35*'Fluxo Vendas '!$B$31*'Fluxo Vendas '!$B$34</f>
        <v>0</v>
      </c>
      <c r="F40" s="80">
        <f>'Vendas '!J35*'Fluxo Vendas '!$B$31*'Fluxo Vendas '!$B$34</f>
        <v>0</v>
      </c>
      <c r="G40" s="80">
        <f>'Vendas '!K35*'Fluxo Vendas '!$B$31*'Fluxo Vendas '!$B$34</f>
        <v>0</v>
      </c>
      <c r="H40" s="80">
        <f>'Vendas '!L35*'Fluxo Vendas '!$B$31*'Fluxo Vendas '!$B$34</f>
        <v>0</v>
      </c>
      <c r="I40" s="80">
        <f>'Vendas '!M35*'Fluxo Vendas '!$B$31*'Fluxo Vendas '!$B$34</f>
        <v>0</v>
      </c>
      <c r="J40" s="80">
        <f>'Vendas '!N35*'Fluxo Vendas '!$B$31*'Fluxo Vendas '!$B$34</f>
        <v>0</v>
      </c>
      <c r="K40" s="80">
        <f>'Vendas '!O35*'Fluxo Vendas '!$B$31*'Fluxo Vendas '!$B$34</f>
        <v>0</v>
      </c>
      <c r="L40" s="80">
        <f>'Vendas '!P35*'Fluxo Vendas '!$B$31*'Fluxo Vendas '!$B$34</f>
        <v>0</v>
      </c>
      <c r="M40" s="80">
        <f>'Vendas '!Q35*'Fluxo Vendas '!$B$31*'Fluxo Vendas '!$B$34</f>
        <v>0</v>
      </c>
      <c r="N40" s="80">
        <f t="shared" si="9"/>
        <v>0</v>
      </c>
    </row>
    <row r="41" spans="1:14" x14ac:dyDescent="0.25">
      <c r="A41" s="78" t="s">
        <v>131</v>
      </c>
      <c r="B41" s="80">
        <f>SUM(B38:B40)</f>
        <v>0</v>
      </c>
      <c r="C41" s="80">
        <f t="shared" ref="C41:M41" si="10">SUM(C38:C40)</f>
        <v>0</v>
      </c>
      <c r="D41" s="80">
        <f t="shared" si="10"/>
        <v>0</v>
      </c>
      <c r="E41" s="80">
        <f t="shared" si="10"/>
        <v>0</v>
      </c>
      <c r="F41" s="80">
        <f t="shared" si="10"/>
        <v>0</v>
      </c>
      <c r="G41" s="80">
        <f t="shared" si="10"/>
        <v>0</v>
      </c>
      <c r="H41" s="80">
        <f t="shared" si="10"/>
        <v>0</v>
      </c>
      <c r="I41" s="80">
        <f t="shared" si="10"/>
        <v>0</v>
      </c>
      <c r="J41" s="80">
        <f t="shared" si="10"/>
        <v>0</v>
      </c>
      <c r="K41" s="80">
        <f t="shared" si="10"/>
        <v>0</v>
      </c>
      <c r="L41" s="80">
        <f t="shared" si="10"/>
        <v>0</v>
      </c>
      <c r="M41" s="80">
        <f t="shared" si="10"/>
        <v>0</v>
      </c>
      <c r="N41" s="80">
        <f t="shared" si="9"/>
        <v>0</v>
      </c>
    </row>
    <row r="42" spans="1:14" x14ac:dyDescent="0.25">
      <c r="A42" s="78" t="s">
        <v>132</v>
      </c>
      <c r="B42" s="74">
        <f>B9</f>
        <v>13841000</v>
      </c>
      <c r="C42" s="74">
        <f t="shared" ref="C42:M42" si="11">C9</f>
        <v>13841000</v>
      </c>
      <c r="D42" s="74">
        <f t="shared" si="11"/>
        <v>13841000</v>
      </c>
      <c r="E42" s="74">
        <f t="shared" si="11"/>
        <v>13841000</v>
      </c>
      <c r="F42" s="74">
        <f t="shared" si="11"/>
        <v>13841000</v>
      </c>
      <c r="G42" s="74">
        <f t="shared" si="11"/>
        <v>13841000</v>
      </c>
      <c r="H42" s="74">
        <f t="shared" si="11"/>
        <v>13841000</v>
      </c>
      <c r="I42" s="74">
        <f t="shared" si="11"/>
        <v>13841000</v>
      </c>
      <c r="J42" s="74">
        <f t="shared" si="11"/>
        <v>13841000</v>
      </c>
      <c r="K42" s="74">
        <f t="shared" si="11"/>
        <v>13841000</v>
      </c>
      <c r="L42" s="74">
        <f t="shared" si="11"/>
        <v>13841000</v>
      </c>
      <c r="M42" s="74">
        <f t="shared" si="11"/>
        <v>13841000</v>
      </c>
      <c r="N42" s="80">
        <f t="shared" si="9"/>
        <v>166092000</v>
      </c>
    </row>
    <row r="43" spans="1:14" x14ac:dyDescent="0.25">
      <c r="A43" s="78" t="s">
        <v>133</v>
      </c>
      <c r="B43" s="80">
        <f>B41+B42</f>
        <v>13841000</v>
      </c>
      <c r="C43" s="80">
        <f t="shared" ref="C43:M43" si="12">C41+C42</f>
        <v>13841000</v>
      </c>
      <c r="D43" s="80">
        <f t="shared" si="12"/>
        <v>13841000</v>
      </c>
      <c r="E43" s="80">
        <f t="shared" si="12"/>
        <v>13841000</v>
      </c>
      <c r="F43" s="80">
        <f t="shared" si="12"/>
        <v>13841000</v>
      </c>
      <c r="G43" s="80">
        <f t="shared" si="12"/>
        <v>13841000</v>
      </c>
      <c r="H43" s="80">
        <f t="shared" si="12"/>
        <v>13841000</v>
      </c>
      <c r="I43" s="80">
        <f t="shared" si="12"/>
        <v>13841000</v>
      </c>
      <c r="J43" s="80">
        <f t="shared" si="12"/>
        <v>13841000</v>
      </c>
      <c r="K43" s="80">
        <f t="shared" si="12"/>
        <v>13841000</v>
      </c>
      <c r="L43" s="80">
        <f t="shared" si="12"/>
        <v>13841000</v>
      </c>
      <c r="M43" s="80">
        <f t="shared" si="12"/>
        <v>13841000</v>
      </c>
      <c r="N43" s="80">
        <f t="shared" si="9"/>
        <v>166092000</v>
      </c>
    </row>
    <row r="44" spans="1:14" x14ac:dyDescent="0.25">
      <c r="A44" s="8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</row>
    <row r="45" spans="1:14" x14ac:dyDescent="0.25">
      <c r="A45" s="83" t="s">
        <v>134</v>
      </c>
    </row>
    <row r="46" spans="1:14" x14ac:dyDescent="0.25">
      <c r="A46" s="78" t="s">
        <v>135</v>
      </c>
      <c r="B46" s="80">
        <f>(B$38*Dados!$B$36*$B$35/30)+(B$39*Dados!$B$42*$B$35/30)+(B$40*Dados!$B$48*$B$35/30)</f>
        <v>0</v>
      </c>
      <c r="C46" s="80">
        <f>(C$38*Dados!$B$36*$B$35/30)+(C$39*Dados!$B$42*$B$35/30)+(C$40*Dados!$B$48*$B$35/30)</f>
        <v>0</v>
      </c>
      <c r="D46" s="80">
        <f>(D$38*Dados!$B$36*$B$35/30)+(D$39*Dados!$B$42*$B$35/30)+(D$40*Dados!$B$48*$B$35/30)</f>
        <v>0</v>
      </c>
      <c r="E46" s="80">
        <f>(E$38*Dados!$B$36*$B$35/30)+(E$39*Dados!$B$42*$B$35/30)+(E$40*Dados!$B$48*$B$35/30)</f>
        <v>0</v>
      </c>
      <c r="F46" s="80">
        <f>(F$38*Dados!$B$36*$B$35/30)+(F$39*Dados!$B$42*$B$35/30)+(F$40*Dados!$B$48*$B$35/30)</f>
        <v>0</v>
      </c>
      <c r="G46" s="80">
        <f>(G$38*Dados!$B$36*$B$35/30)+(G$39*Dados!$B$42*$B$35/30)+(G$40*Dados!$B$48*$B$35/30)</f>
        <v>0</v>
      </c>
      <c r="H46" s="80">
        <f>(H$38*Dados!$B$36*$B$35/30)+(H$39*Dados!$B$42*$B$35/30)+(H$40*Dados!$B$48*$B$35/30)</f>
        <v>0</v>
      </c>
      <c r="I46" s="80">
        <f>(I$38*Dados!$B$36*$B$35/30)+(I$39*Dados!$B$42*$B$35/30)+(I$40*Dados!$B$48*$B$35/30)</f>
        <v>0</v>
      </c>
      <c r="J46" s="80">
        <f>(J$38*Dados!$B$36*$B$35/30)+(J$39*Dados!$B$42*$B$35/30)+(J$40*Dados!$B$48*$B$35/30)</f>
        <v>0</v>
      </c>
      <c r="K46" s="80">
        <f>(K$38*Dados!$B$36*$B$35/30)+(K$39*Dados!$B$42*$B$35/30)+(K$40*Dados!$B$48*$B$35/30)</f>
        <v>0</v>
      </c>
      <c r="L46" s="80">
        <f>(L$38*Dados!$B$36*$B$35/30)+(L$39*Dados!$B$42*$B$35/30)+(L$40*Dados!$B$48*$B$35/30)</f>
        <v>0</v>
      </c>
      <c r="M46" s="80">
        <f>(M$38*Dados!$B$36*$B$35/30)+(M$39*Dados!$B$42*$B$35/30)+(M$40*Dados!$B$48*$B$35/30)</f>
        <v>0</v>
      </c>
      <c r="N46" s="80">
        <f>SUM(B46:M46)</f>
        <v>0</v>
      </c>
    </row>
    <row r="47" spans="1:14" x14ac:dyDescent="0.25">
      <c r="A47" s="78" t="s">
        <v>136</v>
      </c>
      <c r="B47" s="80">
        <f>((B41-B46)*Dados!$B$51*$B$35)+((B41-B46)*Dados!$B$52)</f>
        <v>0</v>
      </c>
      <c r="C47" s="80">
        <f>((C41-C46)*Dados!$B$51*$B$35)+((C41-C46)*Dados!$B$52)</f>
        <v>0</v>
      </c>
      <c r="D47" s="80">
        <f>((D41-D46)*Dados!$B$51*$B$35)+((D41-D46)*Dados!$B$52)</f>
        <v>0</v>
      </c>
      <c r="E47" s="80">
        <f>((E41-E46)*Dados!$B$51*$B$35)+((E41-E46)*Dados!$B$52)</f>
        <v>0</v>
      </c>
      <c r="F47" s="80">
        <f>((F41-F46)*Dados!$B$51*$B$35)+((F41-F46)*Dados!$B$52)</f>
        <v>0</v>
      </c>
      <c r="G47" s="80">
        <f>((G41-G46)*Dados!$B$51*$B$35)+((G41-G46)*Dados!$B$52)</f>
        <v>0</v>
      </c>
      <c r="H47" s="80">
        <f>((H41-H46)*Dados!$B$51*$B$35)+((H41-H46)*Dados!$B$52)</f>
        <v>0</v>
      </c>
      <c r="I47" s="80">
        <f>((I41-I46)*Dados!$B$51*$B$35)+((I41-I46)*Dados!$B$52)</f>
        <v>0</v>
      </c>
      <c r="J47" s="80">
        <f>((J41-J46)*Dados!$B$51*$B$35)+((J41-J46)*Dados!$B$52)</f>
        <v>0</v>
      </c>
      <c r="K47" s="80">
        <f>((K41-K46)*Dados!$B$51*$B$35)+((K41-K46)*Dados!$B$52)</f>
        <v>0</v>
      </c>
      <c r="L47" s="80">
        <f>((L41-L46)*Dados!$B$51*$B$35)+((L41-L46)*Dados!$B$52)</f>
        <v>0</v>
      </c>
      <c r="M47" s="80">
        <f>((M41-M46)*Dados!$B$51*$B$35)+((M41-M46)*Dados!$B$52)</f>
        <v>0</v>
      </c>
      <c r="N47" s="80">
        <f t="shared" ref="N47:N49" si="13">SUM(B47:M47)</f>
        <v>0</v>
      </c>
    </row>
    <row r="48" spans="1:14" x14ac:dyDescent="0.25">
      <c r="A48" s="78" t="s">
        <v>137</v>
      </c>
      <c r="B48" s="80">
        <f>(B38*Dados!$D$36)+(B39*Dados!$D$42)+(B40*Dados!$D$48)</f>
        <v>0</v>
      </c>
      <c r="C48" s="80">
        <f>(C38*Dados!$D$36)+(C39*Dados!$D$42)+(C40*Dados!$D$48)</f>
        <v>0</v>
      </c>
      <c r="D48" s="80">
        <f>(D38*Dados!$D$36)+(D39*Dados!$D$42)+(D40*Dados!$D$48)</f>
        <v>0</v>
      </c>
      <c r="E48" s="80">
        <f>(E38*Dados!$D$36)+(E39*Dados!$D$42)+(E40*Dados!$D$48)</f>
        <v>0</v>
      </c>
      <c r="F48" s="80">
        <f>(F38*Dados!$D$36)+(F39*Dados!$D$42)+(F40*Dados!$D$48)</f>
        <v>0</v>
      </c>
      <c r="G48" s="80">
        <f>(G38*Dados!$D$36)+(G39*Dados!$D$42)+(G40*Dados!$D$48)</f>
        <v>0</v>
      </c>
      <c r="H48" s="80">
        <f>(H38*Dados!$D$36)+(H39*Dados!$D$42)+(H40*Dados!$D$48)</f>
        <v>0</v>
      </c>
      <c r="I48" s="80">
        <f>(I38*Dados!$D$36)+(I39*Dados!$D$42)+(I40*Dados!$D$48)</f>
        <v>0</v>
      </c>
      <c r="J48" s="80">
        <f>(J38*Dados!$D$36)+(J39*Dados!$D$42)+(J40*Dados!$D$48)</f>
        <v>0</v>
      </c>
      <c r="K48" s="80">
        <f>(K38*Dados!$D$36)+(K39*Dados!$D$42)+(K40*Dados!$D$48)</f>
        <v>0</v>
      </c>
      <c r="L48" s="80">
        <f>(L38*Dados!$D$36)+(L39*Dados!$D$42)+(L40*Dados!$D$48)</f>
        <v>0</v>
      </c>
      <c r="M48" s="80">
        <f>(M38*Dados!$D$36)+(M39*Dados!$D$42)+(M40*Dados!$D$48)</f>
        <v>0</v>
      </c>
      <c r="N48" s="80">
        <f t="shared" si="13"/>
        <v>0</v>
      </c>
    </row>
    <row r="49" spans="1:14" x14ac:dyDescent="0.25">
      <c r="A49" s="78" t="s">
        <v>138</v>
      </c>
      <c r="B49" s="80">
        <f>SUM(B46:B48)</f>
        <v>0</v>
      </c>
      <c r="C49" s="80">
        <f t="shared" ref="C49:M49" si="14">SUM(C46:C48)</f>
        <v>0</v>
      </c>
      <c r="D49" s="80">
        <f t="shared" si="14"/>
        <v>0</v>
      </c>
      <c r="E49" s="80">
        <f t="shared" si="14"/>
        <v>0</v>
      </c>
      <c r="F49" s="80">
        <f t="shared" si="14"/>
        <v>0</v>
      </c>
      <c r="G49" s="80">
        <f t="shared" si="14"/>
        <v>0</v>
      </c>
      <c r="H49" s="80">
        <f t="shared" si="14"/>
        <v>0</v>
      </c>
      <c r="I49" s="80">
        <f t="shared" si="14"/>
        <v>0</v>
      </c>
      <c r="J49" s="80">
        <f t="shared" si="14"/>
        <v>0</v>
      </c>
      <c r="K49" s="80">
        <f t="shared" si="14"/>
        <v>0</v>
      </c>
      <c r="L49" s="80">
        <f t="shared" si="14"/>
        <v>0</v>
      </c>
      <c r="M49" s="80">
        <f t="shared" si="14"/>
        <v>0</v>
      </c>
      <c r="N49" s="80">
        <f t="shared" si="13"/>
        <v>0</v>
      </c>
    </row>
    <row r="50" spans="1:14" x14ac:dyDescent="0.25">
      <c r="A50" s="78" t="s">
        <v>139</v>
      </c>
      <c r="B50" s="84" t="e">
        <f t="shared" ref="B50:N50" si="15">B49/B41</f>
        <v>#DIV/0!</v>
      </c>
      <c r="C50" s="84" t="e">
        <f t="shared" si="15"/>
        <v>#DIV/0!</v>
      </c>
      <c r="D50" s="84" t="e">
        <f t="shared" si="15"/>
        <v>#DIV/0!</v>
      </c>
      <c r="E50" s="84" t="e">
        <f t="shared" si="15"/>
        <v>#DIV/0!</v>
      </c>
      <c r="F50" s="84" t="e">
        <f t="shared" si="15"/>
        <v>#DIV/0!</v>
      </c>
      <c r="G50" s="84" t="e">
        <f t="shared" si="15"/>
        <v>#DIV/0!</v>
      </c>
      <c r="H50" s="84" t="e">
        <f t="shared" si="15"/>
        <v>#DIV/0!</v>
      </c>
      <c r="I50" s="84" t="e">
        <f t="shared" si="15"/>
        <v>#DIV/0!</v>
      </c>
      <c r="J50" s="84" t="e">
        <f t="shared" si="15"/>
        <v>#DIV/0!</v>
      </c>
      <c r="K50" s="84" t="e">
        <f t="shared" si="15"/>
        <v>#DIV/0!</v>
      </c>
      <c r="L50" s="84" t="e">
        <f t="shared" si="15"/>
        <v>#DIV/0!</v>
      </c>
      <c r="M50" s="84" t="e">
        <f t="shared" si="15"/>
        <v>#DIV/0!</v>
      </c>
      <c r="N50" s="84" t="e">
        <f t="shared" si="15"/>
        <v>#DIV/0!</v>
      </c>
    </row>
    <row r="51" spans="1:14" x14ac:dyDescent="0.25">
      <c r="A51" s="78"/>
    </row>
    <row r="52" spans="1:14" x14ac:dyDescent="0.25">
      <c r="A52" s="78" t="s">
        <v>140</v>
      </c>
      <c r="B52" s="80">
        <f>B41-B49</f>
        <v>0</v>
      </c>
      <c r="C52" s="80">
        <f t="shared" ref="C52:N52" si="16">C41-C49</f>
        <v>0</v>
      </c>
      <c r="D52" s="80">
        <f t="shared" si="16"/>
        <v>0</v>
      </c>
      <c r="E52" s="80">
        <f t="shared" si="16"/>
        <v>0</v>
      </c>
      <c r="F52" s="80">
        <f t="shared" si="16"/>
        <v>0</v>
      </c>
      <c r="G52" s="80">
        <f t="shared" si="16"/>
        <v>0</v>
      </c>
      <c r="H52" s="80">
        <f t="shared" si="16"/>
        <v>0</v>
      </c>
      <c r="I52" s="80">
        <f t="shared" si="16"/>
        <v>0</v>
      </c>
      <c r="J52" s="80">
        <f t="shared" si="16"/>
        <v>0</v>
      </c>
      <c r="K52" s="80">
        <f t="shared" si="16"/>
        <v>0</v>
      </c>
      <c r="L52" s="80">
        <f t="shared" si="16"/>
        <v>0</v>
      </c>
      <c r="M52" s="80">
        <f t="shared" si="16"/>
        <v>0</v>
      </c>
      <c r="N52" s="80">
        <f t="shared" si="16"/>
        <v>0</v>
      </c>
    </row>
    <row r="53" spans="1:14" x14ac:dyDescent="0.25">
      <c r="A53" s="78" t="s">
        <v>141</v>
      </c>
      <c r="B53" s="86" t="e">
        <f>B52/B41</f>
        <v>#DIV/0!</v>
      </c>
      <c r="C53" s="86" t="e">
        <f t="shared" ref="C53:N53" si="17">C52/C41</f>
        <v>#DIV/0!</v>
      </c>
      <c r="D53" s="86" t="e">
        <f t="shared" si="17"/>
        <v>#DIV/0!</v>
      </c>
      <c r="E53" s="86" t="e">
        <f t="shared" si="17"/>
        <v>#DIV/0!</v>
      </c>
      <c r="F53" s="86" t="e">
        <f t="shared" si="17"/>
        <v>#DIV/0!</v>
      </c>
      <c r="G53" s="86" t="e">
        <f t="shared" si="17"/>
        <v>#DIV/0!</v>
      </c>
      <c r="H53" s="86" t="e">
        <f t="shared" si="17"/>
        <v>#DIV/0!</v>
      </c>
      <c r="I53" s="86" t="e">
        <f t="shared" si="17"/>
        <v>#DIV/0!</v>
      </c>
      <c r="J53" s="86" t="e">
        <f t="shared" si="17"/>
        <v>#DIV/0!</v>
      </c>
      <c r="K53" s="86" t="e">
        <f t="shared" si="17"/>
        <v>#DIV/0!</v>
      </c>
      <c r="L53" s="86" t="e">
        <f t="shared" si="17"/>
        <v>#DIV/0!</v>
      </c>
      <c r="M53" s="86" t="e">
        <f t="shared" si="17"/>
        <v>#DIV/0!</v>
      </c>
      <c r="N53" s="86" t="e">
        <f t="shared" si="17"/>
        <v>#DIV/0!</v>
      </c>
    </row>
    <row r="54" spans="1:14" x14ac:dyDescent="0.2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</row>
    <row r="55" spans="1:14" x14ac:dyDescent="0.25">
      <c r="A55" s="83" t="s">
        <v>142</v>
      </c>
    </row>
    <row r="56" spans="1:14" x14ac:dyDescent="0.25">
      <c r="A56" s="66" t="s">
        <v>143</v>
      </c>
      <c r="B56" s="68">
        <f>Dados!$C$36+Dados!$C$42+Dados!$C$48</f>
        <v>15000000</v>
      </c>
      <c r="C56" s="68">
        <f>Dados!$C$36+Dados!$C$42+Dados!$C$48</f>
        <v>15000000</v>
      </c>
      <c r="D56" s="68">
        <f>Dados!$C$36+Dados!$C$42+Dados!$C$48</f>
        <v>15000000</v>
      </c>
      <c r="E56" s="68">
        <f>Dados!$C$36+Dados!$C$42+Dados!$C$48</f>
        <v>15000000</v>
      </c>
      <c r="F56" s="68">
        <f>Dados!$C$36+Dados!$C$42+Dados!$C$48</f>
        <v>15000000</v>
      </c>
      <c r="G56" s="68">
        <f>Dados!$C$36+Dados!$C$42+Dados!$C$48</f>
        <v>15000000</v>
      </c>
      <c r="H56" s="68">
        <f>Dados!$C$36+Dados!$C$42+Dados!$C$48</f>
        <v>15000000</v>
      </c>
      <c r="I56" s="68">
        <f>Dados!$C$36+Dados!$C$42+Dados!$C$48</f>
        <v>15000000</v>
      </c>
      <c r="J56" s="68">
        <f>Dados!$C$36+Dados!$C$42+Dados!$C$48</f>
        <v>15000000</v>
      </c>
      <c r="K56" s="68">
        <f>Dados!$C$36+Dados!$C$42+Dados!$C$48</f>
        <v>15000000</v>
      </c>
      <c r="L56" s="68">
        <f>Dados!$C$36+Dados!$C$42+Dados!$C$48</f>
        <v>15000000</v>
      </c>
      <c r="M56" s="68">
        <f>Dados!$C$36+Dados!$C$42+Dados!$C$48</f>
        <v>15000000</v>
      </c>
    </row>
    <row r="57" spans="1:14" x14ac:dyDescent="0.25">
      <c r="A57" s="66" t="s">
        <v>144</v>
      </c>
      <c r="B57" s="68">
        <f>B56*30/$B$35</f>
        <v>15000000</v>
      </c>
      <c r="C57" s="68">
        <f t="shared" ref="C57:M57" si="18">C56*30/$B$35</f>
        <v>15000000</v>
      </c>
      <c r="D57" s="68">
        <f t="shared" si="18"/>
        <v>15000000</v>
      </c>
      <c r="E57" s="68">
        <f t="shared" si="18"/>
        <v>15000000</v>
      </c>
      <c r="F57" s="68">
        <f t="shared" si="18"/>
        <v>15000000</v>
      </c>
      <c r="G57" s="68">
        <f t="shared" si="18"/>
        <v>15000000</v>
      </c>
      <c r="H57" s="68">
        <f t="shared" si="18"/>
        <v>15000000</v>
      </c>
      <c r="I57" s="68">
        <f t="shared" si="18"/>
        <v>15000000</v>
      </c>
      <c r="J57" s="68">
        <f t="shared" si="18"/>
        <v>15000000</v>
      </c>
      <c r="K57" s="68">
        <f t="shared" si="18"/>
        <v>15000000</v>
      </c>
      <c r="L57" s="68">
        <f t="shared" si="18"/>
        <v>15000000</v>
      </c>
      <c r="M57" s="68">
        <f t="shared" si="18"/>
        <v>15000000</v>
      </c>
    </row>
    <row r="58" spans="1:14" x14ac:dyDescent="0.25">
      <c r="A58" s="66" t="s">
        <v>145</v>
      </c>
      <c r="B58" s="87">
        <f>B41</f>
        <v>0</v>
      </c>
      <c r="C58" s="87">
        <f t="shared" ref="C58:M58" si="19">C41</f>
        <v>0</v>
      </c>
      <c r="D58" s="87">
        <f t="shared" si="19"/>
        <v>0</v>
      </c>
      <c r="E58" s="87">
        <f t="shared" si="19"/>
        <v>0</v>
      </c>
      <c r="F58" s="87">
        <f t="shared" si="19"/>
        <v>0</v>
      </c>
      <c r="G58" s="87">
        <f t="shared" si="19"/>
        <v>0</v>
      </c>
      <c r="H58" s="87">
        <f t="shared" si="19"/>
        <v>0</v>
      </c>
      <c r="I58" s="87">
        <f t="shared" si="19"/>
        <v>0</v>
      </c>
      <c r="J58" s="87">
        <f t="shared" si="19"/>
        <v>0</v>
      </c>
      <c r="K58" s="87">
        <f t="shared" si="19"/>
        <v>0</v>
      </c>
      <c r="L58" s="87">
        <f t="shared" si="19"/>
        <v>0</v>
      </c>
      <c r="M58" s="87">
        <f t="shared" si="19"/>
        <v>0</v>
      </c>
    </row>
    <row r="59" spans="1:14" x14ac:dyDescent="0.25">
      <c r="A59" s="66" t="s">
        <v>146</v>
      </c>
      <c r="B59" s="88">
        <f>B58/B57</f>
        <v>0</v>
      </c>
      <c r="C59" s="88">
        <f t="shared" ref="C59:M59" si="20">C58/C57</f>
        <v>0</v>
      </c>
      <c r="D59" s="88">
        <f t="shared" si="20"/>
        <v>0</v>
      </c>
      <c r="E59" s="88">
        <f t="shared" si="20"/>
        <v>0</v>
      </c>
      <c r="F59" s="88">
        <f t="shared" si="20"/>
        <v>0</v>
      </c>
      <c r="G59" s="88">
        <f t="shared" si="20"/>
        <v>0</v>
      </c>
      <c r="H59" s="88">
        <f t="shared" si="20"/>
        <v>0</v>
      </c>
      <c r="I59" s="88">
        <f t="shared" si="20"/>
        <v>0</v>
      </c>
      <c r="J59" s="88">
        <f t="shared" si="20"/>
        <v>0</v>
      </c>
      <c r="K59" s="88">
        <f t="shared" si="20"/>
        <v>0</v>
      </c>
      <c r="L59" s="88">
        <f t="shared" si="20"/>
        <v>0</v>
      </c>
      <c r="M59" s="88">
        <f t="shared" si="20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4"/>
  <sheetViews>
    <sheetView workbookViewId="0">
      <selection activeCell="E39" sqref="E39"/>
    </sheetView>
  </sheetViews>
  <sheetFormatPr defaultColWidth="9.140625" defaultRowHeight="15" outlineLevelRow="1" x14ac:dyDescent="0.25"/>
  <cols>
    <col min="1" max="1" width="39.42578125" style="31" customWidth="1"/>
    <col min="2" max="2" width="11.5703125" style="31" bestFit="1" customWidth="1"/>
    <col min="3" max="3" width="11.28515625" style="31" bestFit="1" customWidth="1"/>
    <col min="4" max="13" width="11.5703125" style="31" bestFit="1" customWidth="1"/>
    <col min="14" max="14" width="12.5703125" style="31" bestFit="1" customWidth="1"/>
    <col min="15" max="16384" width="9.140625" style="31"/>
  </cols>
  <sheetData>
    <row r="1" spans="1:14" x14ac:dyDescent="0.25">
      <c r="A1" s="64" t="s">
        <v>220</v>
      </c>
    </row>
    <row r="2" spans="1:14" x14ac:dyDescent="0.25">
      <c r="A2" s="89" t="s">
        <v>209</v>
      </c>
      <c r="B2" s="67">
        <f>'Vendas '!S35</f>
        <v>30</v>
      </c>
    </row>
    <row r="3" spans="1:14" x14ac:dyDescent="0.25">
      <c r="A3" s="89" t="s">
        <v>210</v>
      </c>
      <c r="B3" s="76"/>
      <c r="C3" s="68">
        <f>B5</f>
        <v>0</v>
      </c>
      <c r="D3" s="68">
        <f t="shared" ref="D3:M3" si="0">C5</f>
        <v>0</v>
      </c>
      <c r="E3" s="68">
        <f t="shared" si="0"/>
        <v>0</v>
      </c>
      <c r="F3" s="68">
        <f t="shared" si="0"/>
        <v>0</v>
      </c>
      <c r="G3" s="68">
        <f t="shared" si="0"/>
        <v>0</v>
      </c>
      <c r="H3" s="68">
        <f t="shared" si="0"/>
        <v>0</v>
      </c>
      <c r="I3" s="68">
        <f t="shared" si="0"/>
        <v>0</v>
      </c>
      <c r="J3" s="68">
        <f t="shared" si="0"/>
        <v>0</v>
      </c>
      <c r="K3" s="68">
        <f t="shared" si="0"/>
        <v>0</v>
      </c>
      <c r="L3" s="68">
        <f t="shared" si="0"/>
        <v>0</v>
      </c>
      <c r="M3" s="68">
        <f t="shared" si="0"/>
        <v>0</v>
      </c>
    </row>
    <row r="4" spans="1:14" x14ac:dyDescent="0.25">
      <c r="A4" s="89" t="s">
        <v>211</v>
      </c>
      <c r="B4" s="69">
        <f>IF($B$2&lt;30,$B$3,0)</f>
        <v>0</v>
      </c>
      <c r="C4" s="69">
        <f>IF(AND($B$2&gt;=30,$B$2&lt;60),$B$3,0)</f>
        <v>0</v>
      </c>
      <c r="D4" s="69">
        <f>IF(AND($B$2&gt;=60,$B$2&lt;90),$B$3,0)</f>
        <v>0</v>
      </c>
      <c r="E4" s="69">
        <f>IF(AND($B$2&gt;=90,$B$2&lt;120),$B$3,0)</f>
        <v>0</v>
      </c>
      <c r="F4" s="69">
        <f>IF(AND($B$2&gt;=120,$B$2&lt;150),$B$3,0)</f>
        <v>0</v>
      </c>
      <c r="G4" s="69">
        <f>IF(AND($B$2&gt;=150,$B$2&lt;180),$B$3,0)</f>
        <v>0</v>
      </c>
      <c r="H4" s="69">
        <f>IF(AND($B$2&gt;=180,$B$2&lt;210),$B$3,0)</f>
        <v>0</v>
      </c>
      <c r="I4" s="69">
        <f>IF(AND($B$2&gt;=210,$B$2&lt;240),$B$3,0)</f>
        <v>0</v>
      </c>
      <c r="J4" s="69">
        <f>IF(AND($B$2&gt;=240,$B$2&lt;270),$B$3,0)</f>
        <v>0</v>
      </c>
      <c r="K4" s="69">
        <f>IF(AND($B$2&gt;=270,$B$2&lt;300),$B$3,0)</f>
        <v>0</v>
      </c>
      <c r="L4" s="69">
        <f>IF(AND($B$2&gt;=300,$B$2&lt;330),$B$3,0)</f>
        <v>0</v>
      </c>
      <c r="M4" s="69">
        <f>IF(AND($B$2&gt;=330,$B$2&lt;360),$B$3,0)</f>
        <v>0</v>
      </c>
    </row>
    <row r="5" spans="1:14" x14ac:dyDescent="0.25">
      <c r="A5" s="89" t="s">
        <v>212</v>
      </c>
      <c r="B5" s="69">
        <f>B3-B4</f>
        <v>0</v>
      </c>
      <c r="C5" s="69">
        <f t="shared" ref="C5:M5" si="1">C3-C4</f>
        <v>0</v>
      </c>
      <c r="D5" s="69">
        <f t="shared" si="1"/>
        <v>0</v>
      </c>
      <c r="E5" s="69">
        <f t="shared" si="1"/>
        <v>0</v>
      </c>
      <c r="F5" s="69">
        <f t="shared" si="1"/>
        <v>0</v>
      </c>
      <c r="G5" s="69">
        <f t="shared" si="1"/>
        <v>0</v>
      </c>
      <c r="H5" s="69">
        <f t="shared" si="1"/>
        <v>0</v>
      </c>
      <c r="I5" s="69">
        <f t="shared" si="1"/>
        <v>0</v>
      </c>
      <c r="J5" s="69">
        <f t="shared" si="1"/>
        <v>0</v>
      </c>
      <c r="K5" s="69">
        <f t="shared" si="1"/>
        <v>0</v>
      </c>
      <c r="L5" s="69">
        <f t="shared" si="1"/>
        <v>0</v>
      </c>
      <c r="M5" s="69">
        <f t="shared" si="1"/>
        <v>0</v>
      </c>
    </row>
    <row r="6" spans="1:14" x14ac:dyDescent="0.25"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</row>
    <row r="7" spans="1:14" x14ac:dyDescent="0.25">
      <c r="A7" s="89" t="s">
        <v>213</v>
      </c>
      <c r="B7" s="70">
        <v>0</v>
      </c>
      <c r="C7" s="70">
        <f>B22</f>
        <v>19497400</v>
      </c>
      <c r="D7" s="70">
        <f t="shared" ref="D7:M7" si="2">C22</f>
        <v>9748700</v>
      </c>
      <c r="E7" s="70">
        <f t="shared" si="2"/>
        <v>9748700</v>
      </c>
      <c r="F7" s="70">
        <f t="shared" si="2"/>
        <v>9748700</v>
      </c>
      <c r="G7" s="70">
        <f t="shared" si="2"/>
        <v>9748700</v>
      </c>
      <c r="H7" s="70">
        <f t="shared" si="2"/>
        <v>9748700</v>
      </c>
      <c r="I7" s="70">
        <f t="shared" si="2"/>
        <v>9748700</v>
      </c>
      <c r="J7" s="70">
        <f t="shared" si="2"/>
        <v>9748700</v>
      </c>
      <c r="K7" s="70">
        <f t="shared" si="2"/>
        <v>9748700</v>
      </c>
      <c r="L7" s="70">
        <f t="shared" si="2"/>
        <v>9748700</v>
      </c>
      <c r="M7" s="70">
        <f t="shared" si="2"/>
        <v>9748700</v>
      </c>
    </row>
    <row r="8" spans="1:14" x14ac:dyDescent="0.25">
      <c r="A8" s="89" t="s">
        <v>214</v>
      </c>
      <c r="B8" s="69">
        <f>Compras!F6</f>
        <v>19497400</v>
      </c>
      <c r="C8" s="69">
        <f>Compras!G6</f>
        <v>9748700</v>
      </c>
      <c r="D8" s="69">
        <f>Compras!H6</f>
        <v>9748700</v>
      </c>
      <c r="E8" s="69">
        <f>Compras!I6</f>
        <v>9748700</v>
      </c>
      <c r="F8" s="69">
        <f>Compras!J6</f>
        <v>9748700</v>
      </c>
      <c r="G8" s="69">
        <f>Compras!K6</f>
        <v>9748700</v>
      </c>
      <c r="H8" s="69">
        <f>Compras!L6</f>
        <v>9748700</v>
      </c>
      <c r="I8" s="69">
        <f>Compras!M6</f>
        <v>9748700</v>
      </c>
      <c r="J8" s="69">
        <f>Compras!N6</f>
        <v>9748700</v>
      </c>
      <c r="K8" s="69">
        <f>Compras!O6</f>
        <v>9748700</v>
      </c>
      <c r="L8" s="69">
        <f>Compras!P6</f>
        <v>9748700</v>
      </c>
      <c r="M8" s="69">
        <f>Compras!Q6</f>
        <v>9748700</v>
      </c>
      <c r="N8" s="68"/>
    </row>
    <row r="9" spans="1:14" x14ac:dyDescent="0.25">
      <c r="A9" s="89" t="s">
        <v>215</v>
      </c>
      <c r="B9" s="71">
        <f>SUM(B10:B21)</f>
        <v>0</v>
      </c>
      <c r="C9" s="71">
        <f t="shared" ref="C9:M9" si="3">SUM(C10:C21)</f>
        <v>19497400</v>
      </c>
      <c r="D9" s="71">
        <f t="shared" si="3"/>
        <v>9748700</v>
      </c>
      <c r="E9" s="71">
        <f t="shared" si="3"/>
        <v>9748700</v>
      </c>
      <c r="F9" s="71">
        <f t="shared" si="3"/>
        <v>9748700</v>
      </c>
      <c r="G9" s="71">
        <f t="shared" si="3"/>
        <v>9748700</v>
      </c>
      <c r="H9" s="71">
        <f t="shared" si="3"/>
        <v>9748700</v>
      </c>
      <c r="I9" s="71">
        <f t="shared" si="3"/>
        <v>9748700</v>
      </c>
      <c r="J9" s="71">
        <f t="shared" si="3"/>
        <v>9748700</v>
      </c>
      <c r="K9" s="71">
        <f t="shared" si="3"/>
        <v>9748700</v>
      </c>
      <c r="L9" s="71">
        <f t="shared" si="3"/>
        <v>9748700</v>
      </c>
      <c r="M9" s="71">
        <f t="shared" si="3"/>
        <v>9748700</v>
      </c>
    </row>
    <row r="10" spans="1:14" outlineLevel="1" x14ac:dyDescent="0.25">
      <c r="A10" s="31" t="s">
        <v>103</v>
      </c>
      <c r="B10" s="72">
        <f>IF($B$2&lt;30,$B8,0)</f>
        <v>0</v>
      </c>
      <c r="C10" s="69">
        <f>IF(AND($B$2&gt;=30,$B$2&lt;60),$B$8,0)</f>
        <v>19497400</v>
      </c>
      <c r="D10" s="69">
        <f>IF(AND($B$2&gt;=60,$B$2&lt;90),$B$8,0)</f>
        <v>0</v>
      </c>
      <c r="E10" s="69">
        <f>IF(AND($B$2&gt;=90,$B$2&lt;120),$B$8,0)</f>
        <v>0</v>
      </c>
      <c r="F10" s="69">
        <f>IF(AND($B$2&gt;=120,$B$2&lt;150),$B$8,0)</f>
        <v>0</v>
      </c>
      <c r="G10" s="69">
        <f>IF(AND($B$2&gt;=150,$B$2&lt;180),$B$8,0)</f>
        <v>0</v>
      </c>
      <c r="H10" s="69">
        <f>IF(AND($B$2&gt;=180,$B$2&lt;210),$B$8,0)</f>
        <v>0</v>
      </c>
      <c r="I10" s="69">
        <f>IF(AND($B$2&gt;=210,$B$2&lt;240),$B$8,0)</f>
        <v>0</v>
      </c>
      <c r="J10" s="69">
        <f>IF(AND($B$2&gt;=240,$B$2&lt;270),$B$8,0)</f>
        <v>0</v>
      </c>
      <c r="K10" s="69">
        <f>IF(AND($B$2&gt;=270,$B$2&lt;300),$B$8,0)</f>
        <v>0</v>
      </c>
      <c r="L10" s="69">
        <f>IF(AND($B$2&gt;=300,$B$2&lt;330),$B$8,0)</f>
        <v>0</v>
      </c>
      <c r="M10" s="69">
        <f>IF(AND($B$2&gt;=330,$B$2&lt;360),$B$8,0)</f>
        <v>0</v>
      </c>
    </row>
    <row r="11" spans="1:14" outlineLevel="1" x14ac:dyDescent="0.25">
      <c r="A11" s="31" t="s">
        <v>104</v>
      </c>
      <c r="B11" s="73"/>
      <c r="C11" s="72">
        <f>IF($B$2&lt;30,C$8,0)</f>
        <v>0</v>
      </c>
      <c r="D11" s="69">
        <f>IF(AND($B$2&gt;=30,$B$2&lt;60),$C$8,0)</f>
        <v>9748700</v>
      </c>
      <c r="E11" s="69">
        <f>IF(AND($B$2&gt;=60,$B$2&lt;90),$C$8,0)</f>
        <v>0</v>
      </c>
      <c r="F11" s="69">
        <f>IF(AND($B$2&gt;=90,$B$2&lt;120),$C$8,0)</f>
        <v>0</v>
      </c>
      <c r="G11" s="69">
        <f>IF(AND($B$2&gt;=120,$B$2&lt;150),$C$8,0)</f>
        <v>0</v>
      </c>
      <c r="H11" s="69">
        <f>IF(AND($B$2&gt;=150,$B$2&lt;180),$C$8,0)</f>
        <v>0</v>
      </c>
      <c r="I11" s="69">
        <f>IF(AND($B$2&gt;=180,$B$2&lt;210),$C$8,0)</f>
        <v>0</v>
      </c>
      <c r="J11" s="69">
        <f>IF(AND($B$2&gt;=210,$B$2&lt;240),$C$8,0)</f>
        <v>0</v>
      </c>
      <c r="K11" s="69">
        <f>IF(AND($B$2&gt;=240,$B$2&lt;270),$C$8,0)</f>
        <v>0</v>
      </c>
      <c r="L11" s="69">
        <f>IF(AND($B$2&gt;=270,$B$2&lt;300),$C$8,0)</f>
        <v>0</v>
      </c>
      <c r="M11" s="69">
        <f>IF(AND($B$2&gt;=300,$B$2&lt;330),$C$8,0)</f>
        <v>0</v>
      </c>
    </row>
    <row r="12" spans="1:14" outlineLevel="1" x14ac:dyDescent="0.25">
      <c r="A12" s="31" t="s">
        <v>105</v>
      </c>
      <c r="B12" s="73"/>
      <c r="C12" s="73"/>
      <c r="D12" s="72">
        <f>IF($B$2&lt;30,D$8,0)</f>
        <v>0</v>
      </c>
      <c r="E12" s="69">
        <f>IF(AND($B$2&gt;=30,$B$2&lt;60),$D$8,0)</f>
        <v>9748700</v>
      </c>
      <c r="F12" s="69">
        <f>IF(AND($B$2&gt;=60,$B$2&lt;90),$D$8,0)</f>
        <v>0</v>
      </c>
      <c r="G12" s="69">
        <f>IF(AND($B$2&gt;=90,$B$2&lt;120),$D$8,0)</f>
        <v>0</v>
      </c>
      <c r="H12" s="69">
        <f>IF(AND($B$2&gt;=120,$B$2&lt;150),$D$8,0)</f>
        <v>0</v>
      </c>
      <c r="I12" s="69">
        <f>IF(AND($B$2&gt;=150,$B$2&lt;180),$D$8,0)</f>
        <v>0</v>
      </c>
      <c r="J12" s="69">
        <f>IF(AND($B$2&gt;=180,$B$2&lt;210),$D$8,0)</f>
        <v>0</v>
      </c>
      <c r="K12" s="69">
        <f>IF(AND($B$2&gt;=210,$B$2&lt;240),$D$8,0)</f>
        <v>0</v>
      </c>
      <c r="L12" s="69">
        <f>IF(AND($B$2&gt;=240,$B$2&lt;270),$D$8,0)</f>
        <v>0</v>
      </c>
      <c r="M12" s="69">
        <f>IF(AND($B$2&gt;=270,$B$2&lt;300),$D$8,0)</f>
        <v>0</v>
      </c>
    </row>
    <row r="13" spans="1:14" outlineLevel="1" x14ac:dyDescent="0.25">
      <c r="A13" s="31" t="s">
        <v>106</v>
      </c>
      <c r="B13" s="73"/>
      <c r="C13" s="73"/>
      <c r="D13" s="73"/>
      <c r="E13" s="72">
        <f>IF($B$2&lt;30,E$8,0)</f>
        <v>0</v>
      </c>
      <c r="F13" s="69">
        <f>IF(AND($B$2&gt;=30,$B$2&lt;60),$E$8,0)</f>
        <v>9748700</v>
      </c>
      <c r="G13" s="69">
        <f>IF(AND($B$2&gt;=60,$B$2&lt;90),$E$8,0)</f>
        <v>0</v>
      </c>
      <c r="H13" s="69">
        <f>IF(AND($B$2&gt;=90,$B$2&lt;120),$E$8,0)</f>
        <v>0</v>
      </c>
      <c r="I13" s="69">
        <f>IF(AND($B$2&gt;=120,$B$2&lt;150),$E$8,0)</f>
        <v>0</v>
      </c>
      <c r="J13" s="69">
        <f>IF(AND($B$2&gt;=150,$B$2&lt;180),$E$8,0)</f>
        <v>0</v>
      </c>
      <c r="K13" s="69">
        <f>IF(AND($B$2&gt;=180,$B$2&lt;210),$E$8,0)</f>
        <v>0</v>
      </c>
      <c r="L13" s="69">
        <f>IF(AND($B$2&gt;=210,$B$2&lt;240),$E$8,0)</f>
        <v>0</v>
      </c>
      <c r="M13" s="69">
        <f>IF(AND($B$2&gt;=240,$B$2&lt;270),$E$8,0)</f>
        <v>0</v>
      </c>
    </row>
    <row r="14" spans="1:14" outlineLevel="1" x14ac:dyDescent="0.25">
      <c r="A14" s="31" t="s">
        <v>107</v>
      </c>
      <c r="B14" s="73"/>
      <c r="C14" s="73"/>
      <c r="D14" s="73"/>
      <c r="E14" s="73"/>
      <c r="F14" s="72">
        <f>IF($B$2&lt;30,F$8,0)</f>
        <v>0</v>
      </c>
      <c r="G14" s="69">
        <f>IF(AND($B$2&gt;=30,$B$2&lt;60),$F$8,0)</f>
        <v>9748700</v>
      </c>
      <c r="H14" s="69">
        <f>IF(AND($B$2&gt;=60,$B$2&lt;90),$F$8,0)</f>
        <v>0</v>
      </c>
      <c r="I14" s="69">
        <f>IF(AND($B$2&gt;=90,$B$2&lt;120),$F$8,0)</f>
        <v>0</v>
      </c>
      <c r="J14" s="69">
        <f>IF(AND($B$2&gt;=120,$B$2&lt;150),$F$8,0)</f>
        <v>0</v>
      </c>
      <c r="K14" s="69">
        <f>IF(AND($B$2&gt;=150,$B$2&lt;180),$F$8,0)</f>
        <v>0</v>
      </c>
      <c r="L14" s="69">
        <f>IF(AND($B$2&gt;=180,$B$2&lt;210),$F$8,0)</f>
        <v>0</v>
      </c>
      <c r="M14" s="69">
        <f>IF(AND($B$2&gt;=210,$B$2&lt;240),$F$8,0)</f>
        <v>0</v>
      </c>
    </row>
    <row r="15" spans="1:14" outlineLevel="1" x14ac:dyDescent="0.25">
      <c r="A15" s="31" t="s">
        <v>108</v>
      </c>
      <c r="B15" s="73"/>
      <c r="C15" s="73"/>
      <c r="D15" s="73"/>
      <c r="E15" s="73"/>
      <c r="F15" s="73"/>
      <c r="G15" s="72">
        <f>IF($B$2&lt;30,G$8,0)</f>
        <v>0</v>
      </c>
      <c r="H15" s="69">
        <f>IF(AND($B$2&gt;=30,$B$2&lt;60),$G$8,0)</f>
        <v>9748700</v>
      </c>
      <c r="I15" s="69">
        <f>IF(AND($B$2&gt;=60,$B$2&lt;90),$G$8,0)</f>
        <v>0</v>
      </c>
      <c r="J15" s="69">
        <f>IF(AND($B$2&gt;=90,$B$2&lt;120),$G$8,0)</f>
        <v>0</v>
      </c>
      <c r="K15" s="69">
        <f>IF(AND($B$2&gt;=120,$B$2&lt;150),$G$8,0)</f>
        <v>0</v>
      </c>
      <c r="L15" s="69">
        <f>IF(AND($B$2&gt;=150,$B$2&lt;180),$G$8,0)</f>
        <v>0</v>
      </c>
      <c r="M15" s="69">
        <f>IF(AND($B$2&gt;=180,$B$2&lt;210),$G$8,0)</f>
        <v>0</v>
      </c>
    </row>
    <row r="16" spans="1:14" outlineLevel="1" x14ac:dyDescent="0.25">
      <c r="A16" s="31" t="s">
        <v>109</v>
      </c>
      <c r="B16" s="73"/>
      <c r="C16" s="73"/>
      <c r="D16" s="73"/>
      <c r="E16" s="73"/>
      <c r="F16" s="73"/>
      <c r="G16" s="73"/>
      <c r="H16" s="72">
        <f>IF($B$2&lt;30,H$8,0)</f>
        <v>0</v>
      </c>
      <c r="I16" s="69">
        <f>IF(AND($B$2&gt;=30,$B$2&lt;60),$H$8,0)</f>
        <v>9748700</v>
      </c>
      <c r="J16" s="69">
        <f>IF(AND($B$2&gt;=60,$B$2&lt;90),$H$8,0)</f>
        <v>0</v>
      </c>
      <c r="K16" s="69">
        <f>IF(AND($B$2&gt;=90,$B$2&lt;120),$H$8,0)</f>
        <v>0</v>
      </c>
      <c r="L16" s="69">
        <f>IF(AND($B$2&gt;=120,$B$2&lt;150),$H$8,0)</f>
        <v>0</v>
      </c>
      <c r="M16" s="69">
        <f>IF(AND($B$2&gt;=150,$B$2&lt;180),$H$8,0)</f>
        <v>0</v>
      </c>
    </row>
    <row r="17" spans="1:16" outlineLevel="1" x14ac:dyDescent="0.25">
      <c r="A17" s="31" t="s">
        <v>110</v>
      </c>
      <c r="B17" s="73"/>
      <c r="C17" s="73"/>
      <c r="D17" s="73"/>
      <c r="E17" s="73"/>
      <c r="F17" s="73"/>
      <c r="G17" s="73"/>
      <c r="H17" s="73"/>
      <c r="I17" s="72">
        <f>IF($B$2&lt;30,I$8,0)</f>
        <v>0</v>
      </c>
      <c r="J17" s="69">
        <f>IF(AND($B$2&gt;=30,$B$2&lt;60),$I$8,0)</f>
        <v>9748700</v>
      </c>
      <c r="K17" s="69">
        <f>IF(AND($B$2&gt;=60,$B$2&lt;90),$I$8,0)</f>
        <v>0</v>
      </c>
      <c r="L17" s="69">
        <f>IF(AND($B$2&gt;=90,$B$2&lt;120),$I$8,0)</f>
        <v>0</v>
      </c>
      <c r="M17" s="69">
        <f>IF(AND($B$2&gt;=120,$B$2&lt;150),$I$8,0)</f>
        <v>0</v>
      </c>
    </row>
    <row r="18" spans="1:16" outlineLevel="1" x14ac:dyDescent="0.25">
      <c r="A18" s="31" t="s">
        <v>111</v>
      </c>
      <c r="B18" s="73"/>
      <c r="C18" s="73"/>
      <c r="D18" s="73"/>
      <c r="E18" s="73"/>
      <c r="F18" s="73"/>
      <c r="G18" s="73"/>
      <c r="H18" s="73"/>
      <c r="I18" s="73"/>
      <c r="J18" s="72">
        <f>IF($B$2&lt;30,J$8,0)</f>
        <v>0</v>
      </c>
      <c r="K18" s="69">
        <f>IF(AND($B$2&gt;=30,$B$2&lt;60),$J$8,0)</f>
        <v>9748700</v>
      </c>
      <c r="L18" s="69">
        <f>IF(AND($B$2&gt;=60,$B$2&lt;90),$J$8,0)</f>
        <v>0</v>
      </c>
      <c r="M18" s="69">
        <f>IF(AND($B$2&gt;=90,$B$2&lt;120),$J$8,0)</f>
        <v>0</v>
      </c>
    </row>
    <row r="19" spans="1:16" outlineLevel="1" x14ac:dyDescent="0.25">
      <c r="A19" s="31" t="s">
        <v>112</v>
      </c>
      <c r="B19" s="73"/>
      <c r="C19" s="73"/>
      <c r="D19" s="73"/>
      <c r="E19" s="73"/>
      <c r="F19" s="73"/>
      <c r="G19" s="73"/>
      <c r="H19" s="73"/>
      <c r="I19" s="73"/>
      <c r="J19" s="73"/>
      <c r="K19" s="72">
        <f>IF($B$2&lt;30,K$8,0)</f>
        <v>0</v>
      </c>
      <c r="L19" s="69">
        <f>IF(AND($B$2&gt;=30,$B$2&lt;60),$K$8,0)</f>
        <v>9748700</v>
      </c>
      <c r="M19" s="69">
        <f>IF(AND($B$2&gt;=60,$B$2&lt;90),$K$8,0)</f>
        <v>0</v>
      </c>
    </row>
    <row r="20" spans="1:16" outlineLevel="1" x14ac:dyDescent="0.25">
      <c r="A20" s="31" t="s">
        <v>113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2">
        <f>IF($B$2&lt;30,L$8,0)</f>
        <v>0</v>
      </c>
      <c r="M20" s="69">
        <f>IF(AND($B$2&gt;=30,$B$2&lt;60),$L$8,0)</f>
        <v>9748700</v>
      </c>
    </row>
    <row r="21" spans="1:16" outlineLevel="1" x14ac:dyDescent="0.25">
      <c r="A21" s="31" t="s">
        <v>114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2">
        <f>IF($B$2&lt;30,M$8,0)</f>
        <v>0</v>
      </c>
    </row>
    <row r="22" spans="1:16" x14ac:dyDescent="0.25">
      <c r="A22" s="89" t="s">
        <v>216</v>
      </c>
      <c r="B22" s="68">
        <f>B7+B8-B9</f>
        <v>19497400</v>
      </c>
      <c r="C22" s="68">
        <f t="shared" ref="C22:M22" si="4">C7+C8-C9</f>
        <v>9748700</v>
      </c>
      <c r="D22" s="68">
        <f t="shared" si="4"/>
        <v>9748700</v>
      </c>
      <c r="E22" s="68">
        <f t="shared" si="4"/>
        <v>9748700</v>
      </c>
      <c r="F22" s="68">
        <f t="shared" si="4"/>
        <v>9748700</v>
      </c>
      <c r="G22" s="68">
        <f t="shared" si="4"/>
        <v>9748700</v>
      </c>
      <c r="H22" s="68">
        <f t="shared" si="4"/>
        <v>9748700</v>
      </c>
      <c r="I22" s="68">
        <f t="shared" si="4"/>
        <v>9748700</v>
      </c>
      <c r="J22" s="68">
        <f t="shared" si="4"/>
        <v>9748700</v>
      </c>
      <c r="K22" s="68">
        <f t="shared" si="4"/>
        <v>9748700</v>
      </c>
      <c r="L22" s="68">
        <f t="shared" si="4"/>
        <v>9748700</v>
      </c>
      <c r="M22" s="68">
        <f t="shared" si="4"/>
        <v>9748700</v>
      </c>
    </row>
    <row r="24" spans="1:16" x14ac:dyDescent="0.25">
      <c r="A24" s="89" t="s">
        <v>217</v>
      </c>
      <c r="B24" s="68">
        <f>B3+B7</f>
        <v>0</v>
      </c>
      <c r="C24" s="68">
        <f>B27</f>
        <v>19497400</v>
      </c>
      <c r="D24" s="68">
        <f t="shared" ref="D24:M24" si="5">C27</f>
        <v>9748700</v>
      </c>
      <c r="E24" s="68">
        <f t="shared" si="5"/>
        <v>9748700</v>
      </c>
      <c r="F24" s="68">
        <f t="shared" si="5"/>
        <v>9748700</v>
      </c>
      <c r="G24" s="68">
        <f t="shared" si="5"/>
        <v>9748700</v>
      </c>
      <c r="H24" s="68">
        <f t="shared" si="5"/>
        <v>9748700</v>
      </c>
      <c r="I24" s="68">
        <f t="shared" si="5"/>
        <v>9748700</v>
      </c>
      <c r="J24" s="68">
        <f t="shared" si="5"/>
        <v>9748700</v>
      </c>
      <c r="K24" s="68">
        <f t="shared" si="5"/>
        <v>9748700</v>
      </c>
      <c r="L24" s="68">
        <f t="shared" si="5"/>
        <v>9748700</v>
      </c>
      <c r="M24" s="68">
        <f t="shared" si="5"/>
        <v>9748700</v>
      </c>
      <c r="N24" s="68"/>
      <c r="O24" s="68"/>
      <c r="P24" s="68"/>
    </row>
    <row r="25" spans="1:16" x14ac:dyDescent="0.25">
      <c r="A25" s="89" t="s">
        <v>218</v>
      </c>
      <c r="B25" s="68">
        <f>B8</f>
        <v>19497400</v>
      </c>
      <c r="C25" s="68">
        <f t="shared" ref="C25:M25" si="6">C8</f>
        <v>9748700</v>
      </c>
      <c r="D25" s="68">
        <f t="shared" si="6"/>
        <v>9748700</v>
      </c>
      <c r="E25" s="68">
        <f t="shared" si="6"/>
        <v>9748700</v>
      </c>
      <c r="F25" s="68">
        <f t="shared" si="6"/>
        <v>9748700</v>
      </c>
      <c r="G25" s="68">
        <f t="shared" si="6"/>
        <v>9748700</v>
      </c>
      <c r="H25" s="68">
        <f t="shared" si="6"/>
        <v>9748700</v>
      </c>
      <c r="I25" s="68">
        <f t="shared" si="6"/>
        <v>9748700</v>
      </c>
      <c r="J25" s="68">
        <f t="shared" si="6"/>
        <v>9748700</v>
      </c>
      <c r="K25" s="68">
        <f t="shared" si="6"/>
        <v>9748700</v>
      </c>
      <c r="L25" s="68">
        <f t="shared" si="6"/>
        <v>9748700</v>
      </c>
      <c r="M25" s="68">
        <f t="shared" si="6"/>
        <v>9748700</v>
      </c>
      <c r="N25" s="68"/>
    </row>
    <row r="26" spans="1:16" x14ac:dyDescent="0.25">
      <c r="A26" s="89" t="s">
        <v>219</v>
      </c>
      <c r="B26" s="68">
        <f>B4+B9</f>
        <v>0</v>
      </c>
      <c r="C26" s="68">
        <f t="shared" ref="C26:M26" si="7">C4+C9</f>
        <v>19497400</v>
      </c>
      <c r="D26" s="68">
        <f t="shared" si="7"/>
        <v>9748700</v>
      </c>
      <c r="E26" s="68">
        <f t="shared" si="7"/>
        <v>9748700</v>
      </c>
      <c r="F26" s="68">
        <f t="shared" si="7"/>
        <v>9748700</v>
      </c>
      <c r="G26" s="68">
        <f t="shared" si="7"/>
        <v>9748700</v>
      </c>
      <c r="H26" s="68">
        <f t="shared" si="7"/>
        <v>9748700</v>
      </c>
      <c r="I26" s="68">
        <f t="shared" si="7"/>
        <v>9748700</v>
      </c>
      <c r="J26" s="68">
        <f t="shared" si="7"/>
        <v>9748700</v>
      </c>
      <c r="K26" s="68">
        <f t="shared" si="7"/>
        <v>9748700</v>
      </c>
      <c r="L26" s="68">
        <f t="shared" si="7"/>
        <v>9748700</v>
      </c>
      <c r="M26" s="68">
        <f t="shared" si="7"/>
        <v>9748700</v>
      </c>
      <c r="N26" s="68"/>
    </row>
    <row r="27" spans="1:16" x14ac:dyDescent="0.25">
      <c r="A27" s="31" t="s">
        <v>119</v>
      </c>
      <c r="B27" s="68">
        <f>B24+B25-B26</f>
        <v>19497400</v>
      </c>
      <c r="C27" s="68">
        <f t="shared" ref="C27:M27" si="8">C24+C25-C26</f>
        <v>9748700</v>
      </c>
      <c r="D27" s="68">
        <f t="shared" si="8"/>
        <v>9748700</v>
      </c>
      <c r="E27" s="68">
        <f t="shared" si="8"/>
        <v>9748700</v>
      </c>
      <c r="F27" s="68">
        <f t="shared" si="8"/>
        <v>9748700</v>
      </c>
      <c r="G27" s="68">
        <f t="shared" si="8"/>
        <v>9748700</v>
      </c>
      <c r="H27" s="68">
        <f t="shared" si="8"/>
        <v>9748700</v>
      </c>
      <c r="I27" s="68">
        <f t="shared" si="8"/>
        <v>9748700</v>
      </c>
      <c r="J27" s="68">
        <f t="shared" si="8"/>
        <v>9748700</v>
      </c>
      <c r="K27" s="68">
        <f t="shared" si="8"/>
        <v>9748700</v>
      </c>
      <c r="L27" s="68">
        <f t="shared" si="8"/>
        <v>9748700</v>
      </c>
      <c r="M27" s="68">
        <f t="shared" si="8"/>
        <v>9748700</v>
      </c>
      <c r="N27" s="68"/>
    </row>
    <row r="29" spans="1:16" x14ac:dyDescent="0.2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</row>
    <row r="30" spans="1:16" x14ac:dyDescent="0.25">
      <c r="A30" s="83" t="s">
        <v>142</v>
      </c>
    </row>
    <row r="31" spans="1:16" x14ac:dyDescent="0.25">
      <c r="A31" s="66" t="s">
        <v>143</v>
      </c>
      <c r="B31" s="68">
        <f>Dados!$D$29</f>
        <v>23000000</v>
      </c>
      <c r="C31" s="68">
        <f>Dados!$D$29</f>
        <v>23000000</v>
      </c>
      <c r="D31" s="68">
        <f>Dados!$D$29</f>
        <v>23000000</v>
      </c>
      <c r="E31" s="68">
        <f>Dados!$D$29</f>
        <v>23000000</v>
      </c>
      <c r="F31" s="68">
        <f>Dados!$D$29</f>
        <v>23000000</v>
      </c>
      <c r="G31" s="68">
        <f>Dados!$D$29</f>
        <v>23000000</v>
      </c>
      <c r="H31" s="68">
        <f>Dados!$D$29</f>
        <v>23000000</v>
      </c>
      <c r="I31" s="68">
        <f>Dados!$D$29</f>
        <v>23000000</v>
      </c>
      <c r="J31" s="68">
        <f>Dados!$D$29</f>
        <v>23000000</v>
      </c>
      <c r="K31" s="68">
        <f>Dados!$D$29</f>
        <v>23000000</v>
      </c>
      <c r="L31" s="68">
        <f>Dados!$D$29</f>
        <v>23000000</v>
      </c>
      <c r="M31" s="68">
        <f>Dados!$D$29</f>
        <v>23000000</v>
      </c>
    </row>
    <row r="32" spans="1:16" x14ac:dyDescent="0.25">
      <c r="A32" s="66" t="s">
        <v>144</v>
      </c>
      <c r="B32" s="68">
        <f>B31*30/$B$2</f>
        <v>23000000</v>
      </c>
      <c r="C32" s="68">
        <f t="shared" ref="C32:M32" si="9">C31*30/$B$2</f>
        <v>23000000</v>
      </c>
      <c r="D32" s="68">
        <f t="shared" si="9"/>
        <v>23000000</v>
      </c>
      <c r="E32" s="68">
        <f t="shared" si="9"/>
        <v>23000000</v>
      </c>
      <c r="F32" s="68">
        <f t="shared" si="9"/>
        <v>23000000</v>
      </c>
      <c r="G32" s="68">
        <f t="shared" si="9"/>
        <v>23000000</v>
      </c>
      <c r="H32" s="68">
        <f t="shared" si="9"/>
        <v>23000000</v>
      </c>
      <c r="I32" s="68">
        <f t="shared" si="9"/>
        <v>23000000</v>
      </c>
      <c r="J32" s="68">
        <f t="shared" si="9"/>
        <v>23000000</v>
      </c>
      <c r="K32" s="68">
        <f t="shared" si="9"/>
        <v>23000000</v>
      </c>
      <c r="L32" s="68">
        <f t="shared" si="9"/>
        <v>23000000</v>
      </c>
      <c r="M32" s="68">
        <f t="shared" si="9"/>
        <v>23000000</v>
      </c>
    </row>
    <row r="33" spans="1:13" x14ac:dyDescent="0.25">
      <c r="A33" s="66" t="s">
        <v>145</v>
      </c>
      <c r="B33" s="87">
        <f>B27</f>
        <v>19497400</v>
      </c>
      <c r="C33" s="87">
        <f t="shared" ref="C33:M33" si="10">C27</f>
        <v>9748700</v>
      </c>
      <c r="D33" s="87">
        <f t="shared" si="10"/>
        <v>9748700</v>
      </c>
      <c r="E33" s="87">
        <f t="shared" si="10"/>
        <v>9748700</v>
      </c>
      <c r="F33" s="87">
        <f t="shared" si="10"/>
        <v>9748700</v>
      </c>
      <c r="G33" s="87">
        <f t="shared" si="10"/>
        <v>9748700</v>
      </c>
      <c r="H33" s="87">
        <f t="shared" si="10"/>
        <v>9748700</v>
      </c>
      <c r="I33" s="87">
        <f t="shared" si="10"/>
        <v>9748700</v>
      </c>
      <c r="J33" s="87">
        <f t="shared" si="10"/>
        <v>9748700</v>
      </c>
      <c r="K33" s="87">
        <f t="shared" si="10"/>
        <v>9748700</v>
      </c>
      <c r="L33" s="87">
        <f t="shared" si="10"/>
        <v>9748700</v>
      </c>
      <c r="M33" s="87">
        <f t="shared" si="10"/>
        <v>9748700</v>
      </c>
    </row>
    <row r="34" spans="1:13" x14ac:dyDescent="0.25">
      <c r="A34" s="66" t="s">
        <v>146</v>
      </c>
      <c r="B34" s="88">
        <f>B33/B32</f>
        <v>0.84771304347826082</v>
      </c>
      <c r="C34" s="88">
        <f t="shared" ref="C34:M34" si="11">C33/C32</f>
        <v>0.42385652173913041</v>
      </c>
      <c r="D34" s="88">
        <f t="shared" si="11"/>
        <v>0.42385652173913041</v>
      </c>
      <c r="E34" s="88">
        <f t="shared" si="11"/>
        <v>0.42385652173913041</v>
      </c>
      <c r="F34" s="88">
        <f t="shared" si="11"/>
        <v>0.42385652173913041</v>
      </c>
      <c r="G34" s="88">
        <f t="shared" si="11"/>
        <v>0.42385652173913041</v>
      </c>
      <c r="H34" s="88">
        <f t="shared" si="11"/>
        <v>0.42385652173913041</v>
      </c>
      <c r="I34" s="88">
        <f t="shared" si="11"/>
        <v>0.42385652173913041</v>
      </c>
      <c r="J34" s="88">
        <f t="shared" si="11"/>
        <v>0.42385652173913041</v>
      </c>
      <c r="K34" s="88">
        <f t="shared" si="11"/>
        <v>0.42385652173913041</v>
      </c>
      <c r="L34" s="88">
        <f t="shared" si="11"/>
        <v>0.42385652173913041</v>
      </c>
      <c r="M34" s="88">
        <f t="shared" si="11"/>
        <v>0.42385652173913041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5" sqref="E3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Dados</vt:lpstr>
      <vt:lpstr>Produtos</vt:lpstr>
      <vt:lpstr>Vendas </vt:lpstr>
      <vt:lpstr>Compras</vt:lpstr>
      <vt:lpstr>Fluxo Vendas </vt:lpstr>
      <vt:lpstr>Fluxo Compras</vt:lpstr>
      <vt:lpstr>Plan1</vt:lpstr>
      <vt:lpstr>Plan2</vt:lpstr>
      <vt:lpstr>Plan3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</dc:creator>
  <cp:lastModifiedBy>fernando</cp:lastModifiedBy>
  <cp:lastPrinted>2012-10-03T23:06:28Z</cp:lastPrinted>
  <dcterms:created xsi:type="dcterms:W3CDTF">2012-10-03T18:13:42Z</dcterms:created>
  <dcterms:modified xsi:type="dcterms:W3CDTF">2012-10-08T23:47:04Z</dcterms:modified>
</cp:coreProperties>
</file>