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4910" windowHeight="5520"/>
  </bookViews>
  <sheets>
    <sheet name="Menu" sheetId="68" r:id="rId1"/>
    <sheet name="Cadastro" sheetId="69" r:id="rId2"/>
    <sheet name="NT1 a NT4" sheetId="84" r:id="rId3"/>
    <sheet name="NT5" sheetId="85" r:id="rId4"/>
    <sheet name="NT 6" sheetId="86" r:id="rId5"/>
    <sheet name="NT 7" sheetId="87" r:id="rId6"/>
    <sheet name="NT7 a NT11" sheetId="45" r:id="rId7"/>
    <sheet name="NT 12" sheetId="38" r:id="rId8"/>
    <sheet name="Cadastro PCP" sheetId="70" r:id="rId9"/>
    <sheet name="Cadastro PCR" sheetId="71" r:id="rId10"/>
    <sheet name="Cadastro PCCG" sheetId="72" r:id="rId11"/>
    <sheet name="Parametriza 1" sheetId="79" r:id="rId12"/>
    <sheet name="Parametriza 2" sheetId="80" r:id="rId13"/>
    <sheet name="Parametriza 3 " sheetId="78" r:id="rId14"/>
    <sheet name="Parametriza 4" sheetId="82" r:id="rId15"/>
    <sheet name="Parametriza 5" sheetId="75" r:id="rId16"/>
    <sheet name="Parametriza 6" sheetId="76" r:id="rId17"/>
    <sheet name="Despesas e Receitas Operac." sheetId="65" r:id="rId18"/>
    <sheet name="Familia e Produtos" sheetId="52" r:id="rId19"/>
    <sheet name="Fluxo de Caixa Projetado" sheetId="46" r:id="rId20"/>
    <sheet name="NCG" sheetId="47" r:id="rId21"/>
    <sheet name="Ponto de Equilibrio" sheetId="48" r:id="rId22"/>
  </sheets>
  <externalReferences>
    <externalReference r:id="rId23"/>
  </externalReferences>
  <definedNames>
    <definedName name="_xlnm._FilterDatabase" localSheetId="19" hidden="1">'Fluxo de Caixa Projetado'!$A$4:$A$52</definedName>
    <definedName name="_xlnm._FilterDatabase" localSheetId="2" hidden="1">'NT1 a NT4'!$A$3:$Q$3</definedName>
    <definedName name="_xlnm.Print_Area" localSheetId="10">'Cadastro PCCG'!$A$3:$B$4</definedName>
    <definedName name="_xlnm.Print_Area" localSheetId="8">'Cadastro PCP'!$A$3:$C$15</definedName>
    <definedName name="_xlnm.Print_Area" localSheetId="7">'NT 12'!$A$1:$I$39</definedName>
    <definedName name="FCI_Ano_1" localSheetId="1">#REF!</definedName>
    <definedName name="FCI_Ano_1" localSheetId="10">#REF!</definedName>
    <definedName name="FCI_Ano_1" localSheetId="8">#REF!</definedName>
    <definedName name="FCI_Ano_1" localSheetId="9">#REF!</definedName>
    <definedName name="FCI_Ano_1" localSheetId="17">#REF!</definedName>
    <definedName name="FCI_Ano_1" localSheetId="19">#REF!</definedName>
    <definedName name="FCI_Ano_1" localSheetId="0">#REF!</definedName>
    <definedName name="FCI_Ano_1" localSheetId="20">#REF!</definedName>
    <definedName name="FCI_Ano_1" localSheetId="4">#REF!</definedName>
    <definedName name="FCI_Ano_1" localSheetId="5">#REF!</definedName>
    <definedName name="FCI_Ano_1" localSheetId="2">#REF!</definedName>
    <definedName name="FCI_Ano_1" localSheetId="11">#REF!</definedName>
    <definedName name="FCI_Ano_1" localSheetId="12">#REF!</definedName>
    <definedName name="FCI_Ano_1" localSheetId="13">#REF!</definedName>
    <definedName name="FCI_Ano_1" localSheetId="14">#REF!</definedName>
    <definedName name="FCI_Ano_1" localSheetId="15">#REF!</definedName>
    <definedName name="FCI_Ano_1" localSheetId="16">#REF!</definedName>
    <definedName name="FCI_Ano_1" localSheetId="21">#REF!</definedName>
    <definedName name="FCI_Ano_1">#REF!</definedName>
    <definedName name="FCI_Ano_2" localSheetId="1">#REF!</definedName>
    <definedName name="FCI_Ano_2" localSheetId="10">#REF!</definedName>
    <definedName name="FCI_Ano_2" localSheetId="8">#REF!</definedName>
    <definedName name="FCI_Ano_2" localSheetId="9">#REF!</definedName>
    <definedName name="FCI_Ano_2" localSheetId="17">#REF!</definedName>
    <definedName name="FCI_Ano_2" localSheetId="18">#REF!</definedName>
    <definedName name="FCI_Ano_2" localSheetId="19">#REF!</definedName>
    <definedName name="FCI_Ano_2" localSheetId="0">#REF!</definedName>
    <definedName name="FCI_Ano_2" localSheetId="20">#REF!</definedName>
    <definedName name="FCI_Ano_2" localSheetId="4">#REF!</definedName>
    <definedName name="FCI_Ano_2" localSheetId="5">#REF!</definedName>
    <definedName name="FCI_Ano_2" localSheetId="2">#REF!</definedName>
    <definedName name="FCI_Ano_2" localSheetId="11">#REF!</definedName>
    <definedName name="FCI_Ano_2" localSheetId="12">#REF!</definedName>
    <definedName name="FCI_Ano_2" localSheetId="13">#REF!</definedName>
    <definedName name="FCI_Ano_2" localSheetId="14">#REF!</definedName>
    <definedName name="FCI_Ano_2" localSheetId="15">#REF!</definedName>
    <definedName name="FCI_Ano_2" localSheetId="16">#REF!</definedName>
    <definedName name="FCI_Ano_2" localSheetId="21">#REF!</definedName>
    <definedName name="FCI_Ano_2">#REF!</definedName>
    <definedName name="FCI_Ano_3" localSheetId="1">#REF!</definedName>
    <definedName name="FCI_Ano_3" localSheetId="10">#REF!</definedName>
    <definedName name="FCI_Ano_3" localSheetId="8">#REF!</definedName>
    <definedName name="FCI_Ano_3" localSheetId="9">#REF!</definedName>
    <definedName name="FCI_Ano_3" localSheetId="17">#REF!</definedName>
    <definedName name="FCI_Ano_3" localSheetId="18">#REF!</definedName>
    <definedName name="FCI_Ano_3" localSheetId="19">#REF!</definedName>
    <definedName name="FCI_Ano_3" localSheetId="0">#REF!</definedName>
    <definedName name="FCI_Ano_3" localSheetId="20">#REF!</definedName>
    <definedName name="FCI_Ano_3" localSheetId="4">#REF!</definedName>
    <definedName name="FCI_Ano_3" localSheetId="5">#REF!</definedName>
    <definedName name="FCI_Ano_3" localSheetId="2">#REF!</definedName>
    <definedName name="FCI_Ano_3" localSheetId="11">#REF!</definedName>
    <definedName name="FCI_Ano_3" localSheetId="12">#REF!</definedName>
    <definedName name="FCI_Ano_3" localSheetId="13">#REF!</definedName>
    <definedName name="FCI_Ano_3" localSheetId="14">#REF!</definedName>
    <definedName name="FCI_Ano_3" localSheetId="15">#REF!</definedName>
    <definedName name="FCI_Ano_3" localSheetId="16">#REF!</definedName>
    <definedName name="FCI_Ano_3" localSheetId="21">#REF!</definedName>
    <definedName name="FCI_Ano_3">#REF!</definedName>
    <definedName name="FCI_Ano_4" localSheetId="1">#REF!</definedName>
    <definedName name="FCI_Ano_4" localSheetId="10">#REF!</definedName>
    <definedName name="FCI_Ano_4" localSheetId="8">#REF!</definedName>
    <definedName name="FCI_Ano_4" localSheetId="9">#REF!</definedName>
    <definedName name="FCI_Ano_4" localSheetId="17">#REF!</definedName>
    <definedName name="FCI_Ano_4" localSheetId="18">#REF!</definedName>
    <definedName name="FCI_Ano_4" localSheetId="19">#REF!</definedName>
    <definedName name="FCI_Ano_4" localSheetId="0">#REF!</definedName>
    <definedName name="FCI_Ano_4" localSheetId="20">#REF!</definedName>
    <definedName name="FCI_Ano_4" localSheetId="4">#REF!</definedName>
    <definedName name="FCI_Ano_4" localSheetId="5">#REF!</definedName>
    <definedName name="FCI_Ano_4" localSheetId="2">#REF!</definedName>
    <definedName name="FCI_Ano_4" localSheetId="11">#REF!</definedName>
    <definedName name="FCI_Ano_4" localSheetId="12">#REF!</definedName>
    <definedName name="FCI_Ano_4" localSheetId="13">#REF!</definedName>
    <definedName name="FCI_Ano_4" localSheetId="14">#REF!</definedName>
    <definedName name="FCI_Ano_4" localSheetId="15">#REF!</definedName>
    <definedName name="FCI_Ano_4" localSheetId="16">#REF!</definedName>
    <definedName name="FCI_Ano_4" localSheetId="21">#REF!</definedName>
    <definedName name="FCI_Ano_4">#REF!</definedName>
    <definedName name="FCI_Ano_5" localSheetId="1">#REF!</definedName>
    <definedName name="FCI_Ano_5" localSheetId="10">#REF!</definedName>
    <definedName name="FCI_Ano_5" localSheetId="8">#REF!</definedName>
    <definedName name="FCI_Ano_5" localSheetId="9">#REF!</definedName>
    <definedName name="FCI_Ano_5" localSheetId="17">#REF!</definedName>
    <definedName name="FCI_Ano_5" localSheetId="18">#REF!</definedName>
    <definedName name="FCI_Ano_5" localSheetId="19">#REF!</definedName>
    <definedName name="FCI_Ano_5" localSheetId="0">#REF!</definedName>
    <definedName name="FCI_Ano_5" localSheetId="20">#REF!</definedName>
    <definedName name="FCI_Ano_5" localSheetId="4">#REF!</definedName>
    <definedName name="FCI_Ano_5" localSheetId="5">#REF!</definedName>
    <definedName name="FCI_Ano_5" localSheetId="2">#REF!</definedName>
    <definedName name="FCI_Ano_5" localSheetId="11">#REF!</definedName>
    <definedName name="FCI_Ano_5" localSheetId="12">#REF!</definedName>
    <definedName name="FCI_Ano_5" localSheetId="13">#REF!</definedName>
    <definedName name="FCI_Ano_5" localSheetId="14">#REF!</definedName>
    <definedName name="FCI_Ano_5" localSheetId="15">#REF!</definedName>
    <definedName name="FCI_Ano_5" localSheetId="16">#REF!</definedName>
    <definedName name="FCI_Ano_5" localSheetId="21">#REF!</definedName>
    <definedName name="FCI_Ano_5">#REF!</definedName>
    <definedName name="precos" localSheetId="1">[1]Receita!#REF!</definedName>
    <definedName name="precos" localSheetId="10">[1]Receita!#REF!</definedName>
    <definedName name="precos" localSheetId="8">[1]Receita!#REF!</definedName>
    <definedName name="precos" localSheetId="9">[1]Receita!#REF!</definedName>
    <definedName name="precos" localSheetId="17">[1]Receita!#REF!</definedName>
    <definedName name="precos" localSheetId="18">[1]Receita!#REF!</definedName>
    <definedName name="precos" localSheetId="0">[1]Receita!#REF!</definedName>
    <definedName name="precos" localSheetId="4">[1]Receita!#REF!</definedName>
    <definedName name="precos" localSheetId="5">[1]Receita!#REF!</definedName>
    <definedName name="precos" localSheetId="2">[1]Receita!#REF!</definedName>
    <definedName name="precos" localSheetId="11">[1]Receita!#REF!</definedName>
    <definedName name="precos" localSheetId="12">[1]Receita!#REF!</definedName>
    <definedName name="precos" localSheetId="13">[1]Receita!#REF!</definedName>
    <definedName name="precos" localSheetId="14">[1]Receita!#REF!</definedName>
    <definedName name="precos" localSheetId="15">[1]Receita!#REF!</definedName>
    <definedName name="precos" localSheetId="16">[1]Receita!#REF!</definedName>
    <definedName name="precos" localSheetId="21">[1]Receita!#REF!</definedName>
    <definedName name="precos">[1]Receita!#REF!</definedName>
  </definedNames>
  <calcPr calcId="145621"/>
</workbook>
</file>

<file path=xl/calcChain.xml><?xml version="1.0" encoding="utf-8"?>
<calcChain xmlns="http://schemas.openxmlformats.org/spreadsheetml/2006/main">
  <c r="B24" i="87" l="1"/>
  <c r="A7" i="52"/>
  <c r="B7" i="52"/>
  <c r="C7" i="52"/>
  <c r="D7" i="52"/>
  <c r="E7" i="52"/>
  <c r="A8" i="52"/>
  <c r="B8" i="52"/>
  <c r="C8" i="52"/>
  <c r="D8" i="52"/>
  <c r="E8" i="52"/>
  <c r="A9" i="52"/>
  <c r="B9" i="52"/>
  <c r="C9" i="52"/>
  <c r="D9" i="52"/>
  <c r="E9" i="52"/>
  <c r="B8" i="80"/>
  <c r="C8" i="80"/>
  <c r="B9" i="80"/>
  <c r="C9" i="80"/>
  <c r="B10" i="80"/>
  <c r="C10" i="80"/>
  <c r="B11" i="80"/>
  <c r="C11" i="80"/>
  <c r="B12" i="80"/>
  <c r="C12" i="80"/>
  <c r="B13" i="80"/>
  <c r="C13" i="80"/>
  <c r="B14" i="80"/>
  <c r="C14" i="80"/>
  <c r="B15" i="80"/>
  <c r="C15" i="80"/>
  <c r="B16" i="80"/>
  <c r="C16" i="80"/>
  <c r="B17" i="80"/>
  <c r="C17" i="80"/>
  <c r="B18" i="80"/>
  <c r="C18" i="80"/>
  <c r="B19" i="80"/>
  <c r="C19" i="80"/>
  <c r="B20" i="80"/>
  <c r="C20" i="80"/>
  <c r="B21" i="80"/>
  <c r="C21" i="80"/>
  <c r="B22" i="80"/>
  <c r="C22" i="80"/>
  <c r="B23" i="80"/>
  <c r="C23" i="80"/>
  <c r="B24" i="80"/>
  <c r="C24" i="80"/>
  <c r="A25" i="80"/>
  <c r="B25" i="80"/>
  <c r="C25" i="80"/>
  <c r="A26" i="80"/>
  <c r="B26" i="80"/>
  <c r="C26" i="80"/>
  <c r="A27" i="80"/>
  <c r="B27" i="80"/>
  <c r="C27" i="80"/>
  <c r="A28" i="80"/>
  <c r="B28" i="80"/>
  <c r="C28" i="80"/>
  <c r="B29" i="80"/>
  <c r="C29" i="80"/>
  <c r="B30" i="80"/>
  <c r="C30" i="80"/>
  <c r="B4" i="79"/>
  <c r="C4" i="79"/>
  <c r="B5" i="79"/>
  <c r="C5" i="79"/>
  <c r="B6" i="79"/>
  <c r="C6" i="79"/>
  <c r="B7" i="79"/>
  <c r="C7" i="79"/>
  <c r="A8" i="79"/>
  <c r="B8" i="79"/>
  <c r="C8" i="79"/>
  <c r="A9" i="79"/>
  <c r="B9" i="79"/>
  <c r="C9" i="79"/>
  <c r="A10" i="79"/>
  <c r="B10" i="79"/>
  <c r="C10" i="79"/>
  <c r="A11" i="79"/>
  <c r="B11" i="79"/>
  <c r="C11" i="79"/>
  <c r="B12" i="79"/>
  <c r="C12" i="79"/>
  <c r="B13" i="79"/>
  <c r="C13" i="79"/>
  <c r="C18" i="72"/>
  <c r="B19" i="72"/>
  <c r="C19" i="72"/>
  <c r="B20" i="72"/>
  <c r="C20" i="72"/>
  <c r="B21" i="72"/>
  <c r="C21" i="72"/>
  <c r="B22" i="72"/>
  <c r="C22" i="72"/>
  <c r="B23" i="72"/>
  <c r="C23" i="72"/>
  <c r="B24" i="72"/>
  <c r="C24" i="72"/>
  <c r="B25" i="72"/>
  <c r="C25" i="72"/>
  <c r="C11" i="72"/>
  <c r="C12" i="72"/>
  <c r="C13" i="72"/>
  <c r="C14" i="72"/>
  <c r="C15" i="72"/>
  <c r="C16" i="72"/>
  <c r="C17" i="72"/>
  <c r="A47" i="84"/>
  <c r="B47" i="84"/>
  <c r="C47" i="84"/>
  <c r="D47" i="84"/>
  <c r="A48" i="84"/>
  <c r="B48" i="84"/>
  <c r="C48" i="84"/>
  <c r="D48" i="84"/>
  <c r="A49" i="84"/>
  <c r="B49" i="84"/>
  <c r="C49" i="84"/>
  <c r="D49" i="84"/>
  <c r="J8" i="86"/>
  <c r="K8" i="86"/>
  <c r="L8" i="86"/>
  <c r="M8" i="86"/>
  <c r="C8" i="86"/>
  <c r="D8" i="86"/>
  <c r="E8" i="86"/>
  <c r="F8" i="86"/>
  <c r="G8" i="86"/>
  <c r="H8" i="86"/>
  <c r="I8" i="86"/>
  <c r="B8" i="86"/>
  <c r="C32" i="76"/>
  <c r="B32" i="76" s="1"/>
  <c r="C26" i="76"/>
  <c r="D26" i="76" s="1"/>
  <c r="D32" i="76" l="1"/>
  <c r="B26" i="76"/>
  <c r="C20" i="76"/>
  <c r="B13" i="76"/>
  <c r="B25" i="85"/>
  <c r="F107" i="82"/>
  <c r="G107" i="82"/>
  <c r="H107" i="82"/>
  <c r="I107" i="82"/>
  <c r="J107" i="82"/>
  <c r="K107" i="82"/>
  <c r="L107" i="82"/>
  <c r="M107" i="82"/>
  <c r="N107" i="82"/>
  <c r="O107" i="82"/>
  <c r="E107" i="82"/>
  <c r="D97" i="82"/>
  <c r="E89" i="82" s="1"/>
  <c r="E97" i="82" s="1"/>
  <c r="F89" i="82" s="1"/>
  <c r="F97" i="82" s="1"/>
  <c r="G89" i="82" s="1"/>
  <c r="G97" i="82" s="1"/>
  <c r="H89" i="82" s="1"/>
  <c r="H97" i="82" s="1"/>
  <c r="I89" i="82" s="1"/>
  <c r="I97" i="82" s="1"/>
  <c r="J89" i="82" s="1"/>
  <c r="J97" i="82" s="1"/>
  <c r="K89" i="82" s="1"/>
  <c r="K97" i="82" s="1"/>
  <c r="L89" i="82" s="1"/>
  <c r="L97" i="82" s="1"/>
  <c r="M89" i="82" s="1"/>
  <c r="M97" i="82" s="1"/>
  <c r="N89" i="82" s="1"/>
  <c r="N97" i="82" s="1"/>
  <c r="O89" i="82" s="1"/>
  <c r="O97" i="82" s="1"/>
  <c r="D86" i="82"/>
  <c r="D40" i="82"/>
  <c r="E30" i="82" s="1"/>
  <c r="E40" i="82" s="1"/>
  <c r="F30" i="82" s="1"/>
  <c r="F40" i="82" s="1"/>
  <c r="G30" i="82" s="1"/>
  <c r="G40" i="82" s="1"/>
  <c r="H30" i="82" s="1"/>
  <c r="H40" i="82" s="1"/>
  <c r="I30" i="82" s="1"/>
  <c r="I40" i="82" s="1"/>
  <c r="J30" i="82" s="1"/>
  <c r="J40" i="82" s="1"/>
  <c r="K30" i="82" s="1"/>
  <c r="K40" i="82" s="1"/>
  <c r="L30" i="82" s="1"/>
  <c r="L40" i="82" s="1"/>
  <c r="M30" i="82" s="1"/>
  <c r="M40" i="82" s="1"/>
  <c r="N30" i="82" s="1"/>
  <c r="N40" i="82" s="1"/>
  <c r="O30" i="82" s="1"/>
  <c r="O40" i="82" s="1"/>
  <c r="D39" i="82"/>
  <c r="E29" i="82" s="1"/>
  <c r="E39" i="82" s="1"/>
  <c r="F29" i="82" s="1"/>
  <c r="O38" i="82"/>
  <c r="N38" i="82"/>
  <c r="M38" i="82"/>
  <c r="L38" i="82"/>
  <c r="K38" i="82"/>
  <c r="J38" i="82"/>
  <c r="I38" i="82"/>
  <c r="H38" i="82"/>
  <c r="G38" i="82"/>
  <c r="F38" i="82"/>
  <c r="E38" i="82"/>
  <c r="D38" i="82"/>
  <c r="D31" i="82"/>
  <c r="D36" i="82" s="1"/>
  <c r="D55" i="82"/>
  <c r="D54" i="82"/>
  <c r="D46" i="82"/>
  <c r="D51" i="82" s="1"/>
  <c r="D26" i="82"/>
  <c r="E18" i="82" s="1"/>
  <c r="E26" i="82" s="1"/>
  <c r="F18" i="82" s="1"/>
  <c r="F26" i="82" s="1"/>
  <c r="G18" i="82" s="1"/>
  <c r="G26" i="82" s="1"/>
  <c r="H18" i="82" s="1"/>
  <c r="H26" i="82" s="1"/>
  <c r="I18" i="82" s="1"/>
  <c r="I26" i="82" s="1"/>
  <c r="J18" i="82" s="1"/>
  <c r="J26" i="82" s="1"/>
  <c r="K18" i="82" s="1"/>
  <c r="K26" i="82" s="1"/>
  <c r="L18" i="82" s="1"/>
  <c r="L26" i="82" s="1"/>
  <c r="M18" i="82" s="1"/>
  <c r="M26" i="82" s="1"/>
  <c r="N18" i="82" s="1"/>
  <c r="N26" i="82" s="1"/>
  <c r="O18" i="82" s="1"/>
  <c r="O26" i="82" s="1"/>
  <c r="B9" i="82"/>
  <c r="B21" i="82" s="1"/>
  <c r="D14" i="82"/>
  <c r="E6" i="82" s="1"/>
  <c r="E14" i="82" s="1"/>
  <c r="F6" i="82" s="1"/>
  <c r="F14" i="82" s="1"/>
  <c r="D7" i="45"/>
  <c r="D39" i="84"/>
  <c r="D40" i="84"/>
  <c r="D38" i="84"/>
  <c r="D9" i="76"/>
  <c r="D10" i="76"/>
  <c r="D11" i="76"/>
  <c r="D8" i="76"/>
  <c r="F29" i="84"/>
  <c r="G29" i="84"/>
  <c r="H29" i="84"/>
  <c r="I29" i="84"/>
  <c r="J29" i="84"/>
  <c r="K29" i="84"/>
  <c r="L29" i="84"/>
  <c r="M29" i="84"/>
  <c r="N29" i="84"/>
  <c r="O29" i="84"/>
  <c r="P29" i="84"/>
  <c r="E29" i="84"/>
  <c r="F23" i="84"/>
  <c r="G23" i="84"/>
  <c r="H23" i="84"/>
  <c r="I23" i="84"/>
  <c r="J23" i="84"/>
  <c r="K23" i="84"/>
  <c r="L23" i="84"/>
  <c r="M23" i="84"/>
  <c r="N23" i="84"/>
  <c r="O23" i="84"/>
  <c r="P23" i="84"/>
  <c r="E23" i="84"/>
  <c r="F17" i="84"/>
  <c r="G17" i="84"/>
  <c r="H17" i="84"/>
  <c r="I17" i="84"/>
  <c r="J17" i="84"/>
  <c r="K17" i="84"/>
  <c r="L17" i="84"/>
  <c r="M17" i="84"/>
  <c r="N17" i="84"/>
  <c r="O17" i="84"/>
  <c r="P17" i="84"/>
  <c r="E17" i="84"/>
  <c r="Q17" i="84"/>
  <c r="E19" i="84" s="1"/>
  <c r="Q50" i="84"/>
  <c r="R49" i="84"/>
  <c r="P49" i="84"/>
  <c r="O49" i="84"/>
  <c r="N49" i="84"/>
  <c r="M49" i="84"/>
  <c r="L49" i="84"/>
  <c r="K49" i="84"/>
  <c r="J49" i="84"/>
  <c r="I49" i="84"/>
  <c r="H49" i="84"/>
  <c r="G49" i="84"/>
  <c r="F49" i="84"/>
  <c r="E49" i="84"/>
  <c r="R48" i="84"/>
  <c r="P48" i="84"/>
  <c r="O48" i="84"/>
  <c r="N48" i="84"/>
  <c r="M48" i="84"/>
  <c r="L48" i="84"/>
  <c r="K48" i="84"/>
  <c r="J48" i="84"/>
  <c r="I48" i="84"/>
  <c r="H48" i="84"/>
  <c r="G48" i="84"/>
  <c r="F48" i="84"/>
  <c r="E48" i="84"/>
  <c r="R47" i="84"/>
  <c r="P47" i="84"/>
  <c r="O47" i="84"/>
  <c r="N47" i="84"/>
  <c r="M47" i="84"/>
  <c r="L47" i="84"/>
  <c r="K47" i="84"/>
  <c r="J47" i="84"/>
  <c r="I47" i="84"/>
  <c r="H47" i="84"/>
  <c r="G47" i="84"/>
  <c r="F47" i="84"/>
  <c r="E47" i="84"/>
  <c r="C28" i="84"/>
  <c r="B28" i="84"/>
  <c r="B40" i="84" s="1"/>
  <c r="A28" i="84"/>
  <c r="A40" i="84" s="1"/>
  <c r="C22" i="84"/>
  <c r="B22" i="84"/>
  <c r="B39" i="84" s="1"/>
  <c r="A22" i="84"/>
  <c r="A39" i="84" s="1"/>
  <c r="B16" i="84"/>
  <c r="B38" i="84" s="1"/>
  <c r="A16" i="84"/>
  <c r="A38" i="84" s="1"/>
  <c r="P8" i="84"/>
  <c r="O8" i="84"/>
  <c r="N8" i="84"/>
  <c r="M8" i="84"/>
  <c r="L8" i="84"/>
  <c r="K8" i="84"/>
  <c r="J8" i="84"/>
  <c r="I8" i="84"/>
  <c r="H8" i="84"/>
  <c r="G8" i="84"/>
  <c r="F8" i="84"/>
  <c r="E8" i="84"/>
  <c r="Q7" i="84"/>
  <c r="Q6" i="84"/>
  <c r="D6" i="84"/>
  <c r="C6" i="84"/>
  <c r="B6" i="84"/>
  <c r="A6" i="84"/>
  <c r="Q5" i="84"/>
  <c r="D5" i="84"/>
  <c r="C5" i="84"/>
  <c r="B5" i="84"/>
  <c r="A5" i="84"/>
  <c r="Q4" i="84"/>
  <c r="D4" i="84"/>
  <c r="C4" i="84"/>
  <c r="B4" i="84"/>
  <c r="A4" i="84"/>
  <c r="B20" i="76" l="1"/>
  <c r="C27" i="86"/>
  <c r="E27" i="86"/>
  <c r="G27" i="86"/>
  <c r="I27" i="86"/>
  <c r="K27" i="86"/>
  <c r="M27" i="86"/>
  <c r="D20" i="76"/>
  <c r="D27" i="86"/>
  <c r="F27" i="86"/>
  <c r="H27" i="86"/>
  <c r="J27" i="86"/>
  <c r="L27" i="86"/>
  <c r="B27" i="86"/>
  <c r="F19" i="84"/>
  <c r="O19" i="84"/>
  <c r="K19" i="84"/>
  <c r="G19" i="84"/>
  <c r="J19" i="84"/>
  <c r="P19" i="84"/>
  <c r="L19" i="84"/>
  <c r="H19" i="84"/>
  <c r="N19" i="84"/>
  <c r="M19" i="84"/>
  <c r="I19" i="84"/>
  <c r="F39" i="82"/>
  <c r="G29" i="82" s="1"/>
  <c r="F31" i="82"/>
  <c r="F36" i="82" s="1"/>
  <c r="E31" i="82"/>
  <c r="E36" i="82" s="1"/>
  <c r="D13" i="76"/>
  <c r="C13" i="76" s="1"/>
  <c r="Q29" i="84"/>
  <c r="Q8" i="84"/>
  <c r="Q23" i="84"/>
  <c r="F51" i="84"/>
  <c r="H51" i="84"/>
  <c r="J51" i="84"/>
  <c r="L51" i="84"/>
  <c r="N51" i="84"/>
  <c r="P51" i="84"/>
  <c r="Q47" i="84"/>
  <c r="G51" i="84"/>
  <c r="I51" i="84"/>
  <c r="K51" i="84"/>
  <c r="M51" i="84"/>
  <c r="O51" i="84"/>
  <c r="Q49" i="84"/>
  <c r="Q48" i="84"/>
  <c r="E51" i="84"/>
  <c r="G108" i="82"/>
  <c r="D105" i="82"/>
  <c r="D112" i="82" s="1"/>
  <c r="E45" i="82"/>
  <c r="E55" i="82" s="1"/>
  <c r="F45" i="82" s="1"/>
  <c r="D65" i="82"/>
  <c r="C40" i="46"/>
  <c r="D40" i="46"/>
  <c r="E40" i="46"/>
  <c r="F40" i="46"/>
  <c r="G40" i="46"/>
  <c r="H40" i="46"/>
  <c r="I40" i="46"/>
  <c r="J40" i="46"/>
  <c r="K40" i="46"/>
  <c r="L40" i="46"/>
  <c r="M40" i="46"/>
  <c r="B40" i="46"/>
  <c r="C36" i="46"/>
  <c r="D36" i="46"/>
  <c r="E36" i="46"/>
  <c r="F36" i="46"/>
  <c r="G36" i="46"/>
  <c r="H36" i="46"/>
  <c r="I36" i="46"/>
  <c r="J36" i="46"/>
  <c r="K36" i="46"/>
  <c r="L36" i="46"/>
  <c r="M36" i="46"/>
  <c r="B36" i="46"/>
  <c r="C29" i="46"/>
  <c r="D29" i="46"/>
  <c r="E29" i="46"/>
  <c r="F29" i="46"/>
  <c r="G29" i="46"/>
  <c r="H29" i="46"/>
  <c r="I29" i="46"/>
  <c r="J29" i="46"/>
  <c r="K29" i="46"/>
  <c r="L29" i="46"/>
  <c r="M29" i="46"/>
  <c r="B29" i="46"/>
  <c r="C24" i="46"/>
  <c r="C23" i="46" s="1"/>
  <c r="D24" i="46"/>
  <c r="D23" i="46" s="1"/>
  <c r="E24" i="46"/>
  <c r="E23" i="46" s="1"/>
  <c r="F24" i="46"/>
  <c r="F23" i="46" s="1"/>
  <c r="G24" i="46"/>
  <c r="G23" i="46" s="1"/>
  <c r="H24" i="46"/>
  <c r="H23" i="46" s="1"/>
  <c r="I24" i="46"/>
  <c r="I23" i="46" s="1"/>
  <c r="J24" i="46"/>
  <c r="J23" i="46" s="1"/>
  <c r="K24" i="46"/>
  <c r="K23" i="46" s="1"/>
  <c r="L24" i="46"/>
  <c r="L23" i="46" s="1"/>
  <c r="M24" i="46"/>
  <c r="M23" i="46" s="1"/>
  <c r="B24" i="46"/>
  <c r="B23" i="46" s="1"/>
  <c r="E73" i="82"/>
  <c r="F73" i="82"/>
  <c r="G73" i="82"/>
  <c r="H73" i="82"/>
  <c r="I73" i="82"/>
  <c r="J73" i="82"/>
  <c r="K73" i="82"/>
  <c r="L73" i="82"/>
  <c r="M73" i="82"/>
  <c r="N73" i="82"/>
  <c r="O73" i="82"/>
  <c r="H13" i="65"/>
  <c r="I13" i="65"/>
  <c r="J13" i="65"/>
  <c r="K13" i="65"/>
  <c r="L13" i="65"/>
  <c r="M13" i="65"/>
  <c r="N13" i="65"/>
  <c r="O13" i="65"/>
  <c r="P13" i="65"/>
  <c r="Q13" i="65"/>
  <c r="R13" i="65"/>
  <c r="G13" i="65"/>
  <c r="E32" i="47"/>
  <c r="E33" i="47"/>
  <c r="E35" i="47"/>
  <c r="E36" i="47"/>
  <c r="B13" i="65"/>
  <c r="C13" i="65"/>
  <c r="D13" i="65"/>
  <c r="E13" i="65"/>
  <c r="D73" i="82"/>
  <c r="E53" i="82"/>
  <c r="F53" i="82"/>
  <c r="G53" i="82"/>
  <c r="H53" i="82"/>
  <c r="I53" i="82"/>
  <c r="J53" i="82"/>
  <c r="K53" i="82"/>
  <c r="L53" i="82"/>
  <c r="M53" i="82"/>
  <c r="N53" i="82"/>
  <c r="O53" i="82"/>
  <c r="E44" i="82"/>
  <c r="D53" i="82"/>
  <c r="C6" i="65"/>
  <c r="C7" i="65"/>
  <c r="B8" i="65"/>
  <c r="C8" i="65"/>
  <c r="D8" i="65"/>
  <c r="E8" i="65"/>
  <c r="B9" i="65"/>
  <c r="C9" i="65"/>
  <c r="D9" i="65"/>
  <c r="E9" i="65"/>
  <c r="B10" i="65"/>
  <c r="C10" i="65"/>
  <c r="D10" i="65"/>
  <c r="E10" i="65"/>
  <c r="B11" i="65"/>
  <c r="C11" i="65"/>
  <c r="D11" i="65"/>
  <c r="E11" i="65"/>
  <c r="B12" i="65"/>
  <c r="C12" i="65"/>
  <c r="D12" i="65"/>
  <c r="E12" i="65"/>
  <c r="C14" i="65"/>
  <c r="B15" i="65"/>
  <c r="C15" i="65"/>
  <c r="D15" i="65"/>
  <c r="E15" i="65"/>
  <c r="B16" i="65"/>
  <c r="C16" i="65"/>
  <c r="D16" i="65"/>
  <c r="E16" i="65"/>
  <c r="B17" i="65"/>
  <c r="C17" i="65"/>
  <c r="D17" i="65"/>
  <c r="E17" i="65"/>
  <c r="B18" i="65"/>
  <c r="C18" i="65"/>
  <c r="D18" i="65"/>
  <c r="E18" i="65"/>
  <c r="B19" i="65"/>
  <c r="C19" i="65"/>
  <c r="D19" i="65"/>
  <c r="E19" i="65"/>
  <c r="B20" i="65"/>
  <c r="C20" i="65"/>
  <c r="D20" i="65"/>
  <c r="E20" i="65"/>
  <c r="B21" i="65"/>
  <c r="C21" i="65"/>
  <c r="D21" i="65"/>
  <c r="E21" i="65"/>
  <c r="C22" i="65"/>
  <c r="A23" i="65"/>
  <c r="C23" i="65"/>
  <c r="A24" i="65"/>
  <c r="B24" i="65"/>
  <c r="C24" i="65"/>
  <c r="D24" i="65"/>
  <c r="E24" i="65"/>
  <c r="A25" i="65"/>
  <c r="C25" i="65"/>
  <c r="A26" i="65"/>
  <c r="B26" i="65"/>
  <c r="C26" i="65"/>
  <c r="D26" i="65"/>
  <c r="E26" i="65"/>
  <c r="C27" i="65"/>
  <c r="B28" i="65"/>
  <c r="C28" i="65"/>
  <c r="D13" i="79"/>
  <c r="C47" i="78"/>
  <c r="B47" i="78"/>
  <c r="A70" i="70"/>
  <c r="A47" i="78" s="1"/>
  <c r="B11" i="78"/>
  <c r="C11" i="78"/>
  <c r="B12" i="78"/>
  <c r="C12" i="78"/>
  <c r="C13" i="78"/>
  <c r="C14" i="78"/>
  <c r="C15" i="78"/>
  <c r="C16" i="78"/>
  <c r="C17" i="78"/>
  <c r="C18" i="78"/>
  <c r="B19" i="78"/>
  <c r="C19" i="78"/>
  <c r="B20" i="78"/>
  <c r="C20" i="78"/>
  <c r="B21" i="78"/>
  <c r="C21" i="78"/>
  <c r="B22" i="78"/>
  <c r="C22" i="78"/>
  <c r="B23" i="78"/>
  <c r="C23" i="78"/>
  <c r="B24" i="78"/>
  <c r="C24" i="78"/>
  <c r="B25" i="78"/>
  <c r="C25" i="78"/>
  <c r="B26" i="78"/>
  <c r="C26" i="78"/>
  <c r="B27" i="78"/>
  <c r="C27" i="78"/>
  <c r="B28" i="78"/>
  <c r="C28" i="78"/>
  <c r="B29" i="78"/>
  <c r="C29" i="78"/>
  <c r="B30" i="78"/>
  <c r="C30" i="78"/>
  <c r="B31" i="78"/>
  <c r="C31" i="78"/>
  <c r="B32" i="78"/>
  <c r="C32" i="78"/>
  <c r="B33" i="78"/>
  <c r="C33" i="78"/>
  <c r="B34" i="78"/>
  <c r="C34" i="78"/>
  <c r="B35" i="78"/>
  <c r="C35" i="78"/>
  <c r="B36" i="78"/>
  <c r="C36" i="78"/>
  <c r="B37" i="78"/>
  <c r="C37" i="78"/>
  <c r="B38" i="78"/>
  <c r="C38" i="78"/>
  <c r="B39" i="78"/>
  <c r="C39" i="78"/>
  <c r="B40" i="78"/>
  <c r="C40" i="78"/>
  <c r="B41" i="78"/>
  <c r="C41" i="78"/>
  <c r="B42" i="78"/>
  <c r="C42" i="78"/>
  <c r="B43" i="78"/>
  <c r="C43" i="78"/>
  <c r="B44" i="78"/>
  <c r="C44" i="78"/>
  <c r="B45" i="78"/>
  <c r="C45" i="78"/>
  <c r="B46" i="78"/>
  <c r="C46" i="78"/>
  <c r="B6" i="68"/>
  <c r="B5" i="68"/>
  <c r="C42" i="72"/>
  <c r="B42" i="72"/>
  <c r="C41" i="72"/>
  <c r="B41" i="72"/>
  <c r="C40" i="72"/>
  <c r="B40" i="72"/>
  <c r="C39" i="72"/>
  <c r="B39" i="72"/>
  <c r="C38" i="72"/>
  <c r="B38" i="72"/>
  <c r="C37" i="72"/>
  <c r="B37" i="72"/>
  <c r="C35" i="72"/>
  <c r="C34" i="72"/>
  <c r="C33" i="72"/>
  <c r="C32" i="72"/>
  <c r="A57" i="71"/>
  <c r="A30" i="80" s="1"/>
  <c r="A28" i="65" s="1"/>
  <c r="A56" i="71"/>
  <c r="A29" i="80" s="1"/>
  <c r="A27" i="65" s="1"/>
  <c r="A51" i="71"/>
  <c r="A24" i="80" s="1"/>
  <c r="A22" i="65" s="1"/>
  <c r="A50" i="71"/>
  <c r="A23" i="80" s="1"/>
  <c r="A21" i="65" s="1"/>
  <c r="A49" i="71"/>
  <c r="A22" i="80" s="1"/>
  <c r="A20" i="65" s="1"/>
  <c r="A48" i="71"/>
  <c r="A21" i="80" s="1"/>
  <c r="A19" i="65" s="1"/>
  <c r="A47" i="71"/>
  <c r="A20" i="80" s="1"/>
  <c r="A18" i="65" s="1"/>
  <c r="A46" i="71"/>
  <c r="A19" i="80" s="1"/>
  <c r="A17" i="65" s="1"/>
  <c r="A45" i="71"/>
  <c r="A18" i="80" s="1"/>
  <c r="A16" i="65" s="1"/>
  <c r="A44" i="71"/>
  <c r="A17" i="80" s="1"/>
  <c r="A15" i="65" s="1"/>
  <c r="A43" i="71"/>
  <c r="A16" i="80" s="1"/>
  <c r="A14" i="65" s="1"/>
  <c r="A42" i="71"/>
  <c r="A15" i="80" s="1"/>
  <c r="A13" i="65" s="1"/>
  <c r="A41" i="71"/>
  <c r="A40" i="71"/>
  <c r="A13" i="80" s="1"/>
  <c r="A11" i="65" s="1"/>
  <c r="A39" i="71"/>
  <c r="A12" i="80" s="1"/>
  <c r="A10" i="65" s="1"/>
  <c r="A38" i="71"/>
  <c r="A11" i="80" s="1"/>
  <c r="A9" i="65" s="1"/>
  <c r="A37" i="71"/>
  <c r="A10" i="80" s="1"/>
  <c r="A8" i="65" s="1"/>
  <c r="A36" i="71"/>
  <c r="A9" i="80" s="1"/>
  <c r="A7" i="65" s="1"/>
  <c r="A35" i="71"/>
  <c r="A8" i="80" s="1"/>
  <c r="A6" i="65" s="1"/>
  <c r="A34" i="71"/>
  <c r="A13" i="79" s="1"/>
  <c r="A33" i="71"/>
  <c r="A12" i="79" s="1"/>
  <c r="A28" i="71"/>
  <c r="A7" i="79" s="1"/>
  <c r="A27" i="71"/>
  <c r="A6" i="79" s="1"/>
  <c r="A26" i="71"/>
  <c r="A5" i="79" s="1"/>
  <c r="A25" i="71"/>
  <c r="A4" i="79" s="1"/>
  <c r="L21" i="71"/>
  <c r="K21" i="71"/>
  <c r="L20" i="71"/>
  <c r="K20" i="71"/>
  <c r="L18" i="71"/>
  <c r="K18" i="71"/>
  <c r="L15" i="71"/>
  <c r="K15" i="71"/>
  <c r="L14" i="71"/>
  <c r="K14" i="71"/>
  <c r="L13" i="71"/>
  <c r="L11" i="71"/>
  <c r="K11" i="71"/>
  <c r="K9" i="71"/>
  <c r="K8" i="71"/>
  <c r="A69" i="70"/>
  <c r="A46" i="78" s="1"/>
  <c r="A68" i="70"/>
  <c r="A45" i="78" s="1"/>
  <c r="A67" i="70"/>
  <c r="A44" i="78" s="1"/>
  <c r="A66" i="70"/>
  <c r="E57" i="80" s="1"/>
  <c r="A65" i="70"/>
  <c r="A42" i="78" s="1"/>
  <c r="A64" i="70"/>
  <c r="A41" i="78" s="1"/>
  <c r="A63" i="70"/>
  <c r="E55" i="80" s="1"/>
  <c r="A62" i="70"/>
  <c r="A39" i="78" s="1"/>
  <c r="A61" i="70"/>
  <c r="A25" i="72" s="1"/>
  <c r="A42" i="72" s="1"/>
  <c r="A60" i="70"/>
  <c r="A59" i="70"/>
  <c r="A23" i="72" s="1"/>
  <c r="A40" i="72" s="1"/>
  <c r="A58" i="70"/>
  <c r="A22" i="72" s="1"/>
  <c r="A39" i="72" s="1"/>
  <c r="A57" i="70"/>
  <c r="A21" i="72" s="1"/>
  <c r="A38" i="72" s="1"/>
  <c r="A56" i="70"/>
  <c r="A20" i="72" s="1"/>
  <c r="A55" i="70"/>
  <c r="A19" i="72" s="1"/>
  <c r="A37" i="72" s="1"/>
  <c r="A54" i="70"/>
  <c r="A18" i="72" s="1"/>
  <c r="A53" i="70"/>
  <c r="A30" i="78" s="1"/>
  <c r="A52" i="70"/>
  <c r="E47" i="80" s="1"/>
  <c r="A51" i="70"/>
  <c r="A28" i="78" s="1"/>
  <c r="A50" i="70"/>
  <c r="A27" i="78" s="1"/>
  <c r="A49" i="70"/>
  <c r="E45" i="80" s="1"/>
  <c r="A48" i="70"/>
  <c r="A25" i="78" s="1"/>
  <c r="A47" i="70"/>
  <c r="E44" i="80" s="1"/>
  <c r="A46" i="70"/>
  <c r="A23" i="78" s="1"/>
  <c r="A45" i="70"/>
  <c r="B8" i="82" s="1"/>
  <c r="B12" i="82" s="1"/>
  <c r="A44" i="70"/>
  <c r="E42" i="80" s="1"/>
  <c r="A43" i="70"/>
  <c r="A20" i="78" s="1"/>
  <c r="A42" i="70"/>
  <c r="A19" i="78" s="1"/>
  <c r="B41" i="70"/>
  <c r="B17" i="72" s="1"/>
  <c r="A41" i="70"/>
  <c r="A17" i="72" s="1"/>
  <c r="B40" i="70"/>
  <c r="B16" i="72" s="1"/>
  <c r="B35" i="72" s="1"/>
  <c r="A40" i="70"/>
  <c r="A16" i="72" s="1"/>
  <c r="A35" i="72" s="1"/>
  <c r="B39" i="70"/>
  <c r="B15" i="72" s="1"/>
  <c r="B34" i="72" s="1"/>
  <c r="A39" i="70"/>
  <c r="A15" i="72" s="1"/>
  <c r="A34" i="72" s="1"/>
  <c r="B38" i="70"/>
  <c r="B14" i="72" s="1"/>
  <c r="B33" i="72" s="1"/>
  <c r="A38" i="70"/>
  <c r="A14" i="72" s="1"/>
  <c r="A33" i="72" s="1"/>
  <c r="B37" i="70"/>
  <c r="B13" i="72" s="1"/>
  <c r="B32" i="72" s="1"/>
  <c r="A37" i="70"/>
  <c r="A13" i="72" s="1"/>
  <c r="A32" i="72" s="1"/>
  <c r="B36" i="70"/>
  <c r="B12" i="72" s="1"/>
  <c r="A36" i="70"/>
  <c r="A12" i="72" s="1"/>
  <c r="A35" i="70"/>
  <c r="A11" i="72" s="1"/>
  <c r="A34" i="70"/>
  <c r="A11" i="78" s="1"/>
  <c r="A26" i="70"/>
  <c r="A25" i="70"/>
  <c r="A24" i="70"/>
  <c r="A23" i="70"/>
  <c r="A22" i="70"/>
  <c r="A21" i="70"/>
  <c r="C20" i="70"/>
  <c r="A20" i="70"/>
  <c r="B18" i="69"/>
  <c r="B17" i="69"/>
  <c r="B16" i="69"/>
  <c r="B15" i="69"/>
  <c r="B14" i="69"/>
  <c r="B13" i="69"/>
  <c r="E27" i="47"/>
  <c r="S17" i="65"/>
  <c r="S18" i="65"/>
  <c r="S19" i="65"/>
  <c r="S20" i="65"/>
  <c r="S22" i="65"/>
  <c r="S23" i="65"/>
  <c r="S10" i="65"/>
  <c r="S11" i="65"/>
  <c r="S12" i="65"/>
  <c r="S14" i="65"/>
  <c r="S9" i="65"/>
  <c r="S8" i="65"/>
  <c r="AN8" i="52"/>
  <c r="AN9" i="52"/>
  <c r="AN7" i="52"/>
  <c r="B22" i="38" s="1"/>
  <c r="D25" i="45"/>
  <c r="A5" i="38"/>
  <c r="AA8" i="52"/>
  <c r="AD8" i="52"/>
  <c r="AF8" i="52" s="1"/>
  <c r="AK8" i="52"/>
  <c r="AA9" i="52"/>
  <c r="AD9" i="52"/>
  <c r="AF9" i="52" s="1"/>
  <c r="AK9" i="52"/>
  <c r="AD7" i="52"/>
  <c r="B11" i="38" s="1"/>
  <c r="AA7" i="52"/>
  <c r="B9" i="38" s="1"/>
  <c r="J8" i="52"/>
  <c r="L8" i="52" s="1"/>
  <c r="AC8" i="52" s="1"/>
  <c r="AH8" i="52" s="1"/>
  <c r="Z8" i="52"/>
  <c r="T8" i="52"/>
  <c r="V8" i="52" s="1"/>
  <c r="J9" i="52"/>
  <c r="K9" i="52" s="1"/>
  <c r="T9" i="52"/>
  <c r="V9" i="52" s="1"/>
  <c r="T7" i="52"/>
  <c r="V7" i="52" s="1"/>
  <c r="J7" i="52"/>
  <c r="L7" i="52" s="1"/>
  <c r="AC7" i="52" s="1"/>
  <c r="AH7" i="52" s="1"/>
  <c r="B14" i="38" s="1"/>
  <c r="AK7" i="52"/>
  <c r="C21" i="48"/>
  <c r="C20" i="48"/>
  <c r="C19" i="48"/>
  <c r="B24" i="48"/>
  <c r="B25" i="48"/>
  <c r="B26" i="48"/>
  <c r="B23" i="48"/>
  <c r="C32" i="47"/>
  <c r="D32" i="47"/>
  <c r="C33" i="47"/>
  <c r="D33" i="47"/>
  <c r="C34" i="47"/>
  <c r="D34" i="47"/>
  <c r="C35" i="47"/>
  <c r="D35" i="47"/>
  <c r="C36" i="47"/>
  <c r="D36" i="47"/>
  <c r="B32" i="47"/>
  <c r="B33" i="47"/>
  <c r="B34" i="47"/>
  <c r="B35" i="47"/>
  <c r="B36" i="47"/>
  <c r="B31" i="47"/>
  <c r="C28" i="47"/>
  <c r="D28" i="47"/>
  <c r="F28" i="47"/>
  <c r="B28" i="47"/>
  <c r="C27" i="47"/>
  <c r="D27" i="47"/>
  <c r="B27" i="47"/>
  <c r="C26" i="47"/>
  <c r="B26" i="47"/>
  <c r="B29" i="47" s="1"/>
  <c r="B10" i="47"/>
  <c r="A1" i="47"/>
  <c r="D26" i="47"/>
  <c r="D29" i="47" s="1"/>
  <c r="C10" i="47"/>
  <c r="E31" i="47"/>
  <c r="E34" i="47"/>
  <c r="E28" i="47"/>
  <c r="E26" i="47"/>
  <c r="Z9" i="52"/>
  <c r="K8" i="52"/>
  <c r="AB8" i="52"/>
  <c r="AF7" i="52"/>
  <c r="AL7" i="52" s="1"/>
  <c r="Q8" i="52"/>
  <c r="F34" i="47"/>
  <c r="F36" i="47"/>
  <c r="F32" i="47"/>
  <c r="F35" i="47"/>
  <c r="F27" i="47"/>
  <c r="F33" i="47"/>
  <c r="A14" i="80" l="1"/>
  <c r="A12" i="65" s="1"/>
  <c r="B13" i="82"/>
  <c r="A7" i="45"/>
  <c r="A40" i="78"/>
  <c r="A38" i="78"/>
  <c r="A36" i="78"/>
  <c r="A34" i="78"/>
  <c r="A32" i="78"/>
  <c r="A26" i="78"/>
  <c r="A24" i="78"/>
  <c r="A22" i="78"/>
  <c r="A18" i="78"/>
  <c r="B17" i="78"/>
  <c r="A16" i="78"/>
  <c r="B15" i="78"/>
  <c r="A14" i="78"/>
  <c r="B13" i="78"/>
  <c r="A12" i="78"/>
  <c r="E41" i="80"/>
  <c r="E39" i="80"/>
  <c r="E37" i="80"/>
  <c r="E43" i="80"/>
  <c r="E56" i="80"/>
  <c r="E54" i="80"/>
  <c r="E52" i="80"/>
  <c r="E50" i="80"/>
  <c r="E48" i="80"/>
  <c r="E46" i="80"/>
  <c r="B7" i="82"/>
  <c r="A24" i="72"/>
  <c r="A41" i="72" s="1"/>
  <c r="B10" i="82"/>
  <c r="B4" i="45"/>
  <c r="A21" i="45"/>
  <c r="A43" i="78"/>
  <c r="A37" i="78"/>
  <c r="A35" i="78"/>
  <c r="A33" i="78"/>
  <c r="A31" i="78"/>
  <c r="A29" i="78"/>
  <c r="A21" i="78"/>
  <c r="B18" i="78"/>
  <c r="A17" i="78"/>
  <c r="B16" i="78"/>
  <c r="A15" i="78"/>
  <c r="B14" i="78"/>
  <c r="A13" i="78"/>
  <c r="E36" i="80"/>
  <c r="E40" i="80"/>
  <c r="E38" i="80"/>
  <c r="E53" i="80"/>
  <c r="E51" i="80"/>
  <c r="E49" i="80"/>
  <c r="C26" i="48"/>
  <c r="C25" i="48"/>
  <c r="C24" i="48"/>
  <c r="AB9" i="52"/>
  <c r="AE9" i="52" s="1"/>
  <c r="AJ9" i="52" s="1"/>
  <c r="Q9" i="52"/>
  <c r="E23" i="45"/>
  <c r="G23" i="45"/>
  <c r="I23" i="45"/>
  <c r="K23" i="45"/>
  <c r="M23" i="45"/>
  <c r="O23" i="45"/>
  <c r="F23" i="45"/>
  <c r="H23" i="45"/>
  <c r="J23" i="45"/>
  <c r="L23" i="45"/>
  <c r="N23" i="45"/>
  <c r="D23" i="45"/>
  <c r="H9" i="86"/>
  <c r="H11" i="86"/>
  <c r="H10" i="86"/>
  <c r="H9" i="85"/>
  <c r="H13" i="86" s="1"/>
  <c r="E10" i="86"/>
  <c r="E9" i="86"/>
  <c r="E11" i="86"/>
  <c r="E9" i="85"/>
  <c r="E13" i="86" s="1"/>
  <c r="L9" i="52"/>
  <c r="AC9" i="52" s="1"/>
  <c r="AH9" i="52" s="1"/>
  <c r="L9" i="86"/>
  <c r="L11" i="86"/>
  <c r="L10" i="86"/>
  <c r="L9" i="85"/>
  <c r="L13" i="86" s="1"/>
  <c r="D9" i="86"/>
  <c r="D11" i="86"/>
  <c r="D10" i="86"/>
  <c r="D9" i="85"/>
  <c r="D13" i="86" s="1"/>
  <c r="M10" i="86"/>
  <c r="M9" i="86"/>
  <c r="M11" i="86"/>
  <c r="M9" i="85"/>
  <c r="M13" i="86" s="1"/>
  <c r="I10" i="86"/>
  <c r="I9" i="86"/>
  <c r="I11" i="86"/>
  <c r="I9" i="85"/>
  <c r="I13" i="86" s="1"/>
  <c r="B11" i="86"/>
  <c r="B9" i="86"/>
  <c r="B10" i="86"/>
  <c r="B9" i="85"/>
  <c r="B13" i="86" s="1"/>
  <c r="J9" i="86"/>
  <c r="J11" i="86"/>
  <c r="J10" i="86"/>
  <c r="J9" i="85"/>
  <c r="J13" i="86" s="1"/>
  <c r="F9" i="86"/>
  <c r="F11" i="86"/>
  <c r="F10" i="86"/>
  <c r="F9" i="85"/>
  <c r="F13" i="86" s="1"/>
  <c r="K10" i="86"/>
  <c r="K9" i="86"/>
  <c r="K11" i="86"/>
  <c r="K9" i="85"/>
  <c r="K13" i="86" s="1"/>
  <c r="G10" i="86"/>
  <c r="G9" i="86"/>
  <c r="G11" i="86"/>
  <c r="G9" i="85"/>
  <c r="G13" i="86" s="1"/>
  <c r="C10" i="86"/>
  <c r="C9" i="86"/>
  <c r="C11" i="86"/>
  <c r="C9" i="85"/>
  <c r="C13" i="86" s="1"/>
  <c r="B18" i="38"/>
  <c r="K7" i="52"/>
  <c r="Z7" i="52"/>
  <c r="AL8" i="52"/>
  <c r="F26" i="85"/>
  <c r="L26" i="85"/>
  <c r="D26" i="85"/>
  <c r="I26" i="85"/>
  <c r="K26" i="85"/>
  <c r="C26" i="85"/>
  <c r="H26" i="85"/>
  <c r="M26" i="85"/>
  <c r="E26" i="85"/>
  <c r="B26" i="85"/>
  <c r="J26" i="85"/>
  <c r="G26" i="85"/>
  <c r="G39" i="82"/>
  <c r="H29" i="82" s="1"/>
  <c r="G31" i="82"/>
  <c r="G36" i="82" s="1"/>
  <c r="B19" i="82"/>
  <c r="G6" i="82"/>
  <c r="G14" i="82" s="1"/>
  <c r="B35" i="46"/>
  <c r="L35" i="46"/>
  <c r="J35" i="46"/>
  <c r="H35" i="46"/>
  <c r="F35" i="46"/>
  <c r="D35" i="46"/>
  <c r="M35" i="46"/>
  <c r="K35" i="46"/>
  <c r="I35" i="46"/>
  <c r="G35" i="46"/>
  <c r="E35" i="46"/>
  <c r="C35" i="46"/>
  <c r="E31" i="84"/>
  <c r="G31" i="84"/>
  <c r="I31" i="84"/>
  <c r="K31" i="84"/>
  <c r="M31" i="84"/>
  <c r="O31" i="84"/>
  <c r="F31" i="84"/>
  <c r="H31" i="84"/>
  <c r="J31" i="84"/>
  <c r="L31" i="84"/>
  <c r="N31" i="84"/>
  <c r="P31" i="84"/>
  <c r="G25" i="84"/>
  <c r="I25" i="84"/>
  <c r="K25" i="84"/>
  <c r="M25" i="84"/>
  <c r="O25" i="84"/>
  <c r="E25" i="84"/>
  <c r="F25" i="84"/>
  <c r="H25" i="84"/>
  <c r="J25" i="84"/>
  <c r="L25" i="84"/>
  <c r="N25" i="84"/>
  <c r="P25" i="84"/>
  <c r="Q51" i="84"/>
  <c r="R51" i="84" s="1"/>
  <c r="B6" i="86" s="1"/>
  <c r="E108" i="82"/>
  <c r="N108" i="82"/>
  <c r="L108" i="82"/>
  <c r="J108" i="82"/>
  <c r="H108" i="82"/>
  <c r="F108" i="82"/>
  <c r="O108" i="82"/>
  <c r="M108" i="82"/>
  <c r="K108" i="82"/>
  <c r="I108" i="82"/>
  <c r="E100" i="82"/>
  <c r="E105" i="82" s="1"/>
  <c r="E112" i="82" s="1"/>
  <c r="E78" i="82"/>
  <c r="AL9" i="52"/>
  <c r="B17" i="38"/>
  <c r="G8" i="38" s="1"/>
  <c r="AE8" i="52"/>
  <c r="AJ8" i="52" s="1"/>
  <c r="S13" i="65"/>
  <c r="B11" i="82"/>
  <c r="B23" i="82" s="1"/>
  <c r="E59" i="82"/>
  <c r="E65" i="82" s="1"/>
  <c r="D74" i="82"/>
  <c r="E54" i="82"/>
  <c r="E46" i="82"/>
  <c r="E51" i="82" s="1"/>
  <c r="F55" i="82"/>
  <c r="E29" i="47"/>
  <c r="E10" i="47"/>
  <c r="E38" i="47"/>
  <c r="E20" i="47"/>
  <c r="B20" i="47"/>
  <c r="B22" i="47" s="1"/>
  <c r="D31" i="47"/>
  <c r="D38" i="47" s="1"/>
  <c r="D40" i="47" s="1"/>
  <c r="D20" i="47"/>
  <c r="C31" i="47"/>
  <c r="C38" i="47" s="1"/>
  <c r="C20" i="47"/>
  <c r="C22" i="47" s="1"/>
  <c r="B20" i="38"/>
  <c r="B21" i="38" s="1"/>
  <c r="G16" i="38" s="1"/>
  <c r="G25" i="38" s="1"/>
  <c r="F20" i="47"/>
  <c r="F31" i="47"/>
  <c r="F38" i="47" s="1"/>
  <c r="C29" i="47"/>
  <c r="B38" i="47"/>
  <c r="B40" i="47"/>
  <c r="G19" i="38"/>
  <c r="D10" i="47"/>
  <c r="E15" i="45" l="1"/>
  <c r="B19" i="38"/>
  <c r="E30" i="84"/>
  <c r="E24" i="84"/>
  <c r="K28" i="86"/>
  <c r="G28" i="86"/>
  <c r="C28" i="86"/>
  <c r="L28" i="86"/>
  <c r="H28" i="86"/>
  <c r="D28" i="86"/>
  <c r="M28" i="86"/>
  <c r="I28" i="86"/>
  <c r="E28" i="86"/>
  <c r="B28" i="86"/>
  <c r="J28" i="86"/>
  <c r="F28" i="86"/>
  <c r="B8" i="38"/>
  <c r="F19" i="86"/>
  <c r="F12" i="86"/>
  <c r="F17" i="86"/>
  <c r="J19" i="86"/>
  <c r="J12" i="86"/>
  <c r="J17" i="86"/>
  <c r="D19" i="86"/>
  <c r="D12" i="86"/>
  <c r="D17" i="86"/>
  <c r="L19" i="86"/>
  <c r="L12" i="86"/>
  <c r="L17" i="86"/>
  <c r="E19" i="86"/>
  <c r="E12" i="86"/>
  <c r="E17" i="86"/>
  <c r="N10" i="86"/>
  <c r="N11" i="86"/>
  <c r="D15" i="45"/>
  <c r="L15" i="45"/>
  <c r="H15" i="45"/>
  <c r="O15" i="45"/>
  <c r="K15" i="45"/>
  <c r="G15" i="45"/>
  <c r="AB7" i="52"/>
  <c r="B10" i="38" s="1"/>
  <c r="Q7" i="52"/>
  <c r="C19" i="86"/>
  <c r="C12" i="86"/>
  <c r="C17" i="86"/>
  <c r="G19" i="86"/>
  <c r="G12" i="86"/>
  <c r="G17" i="86"/>
  <c r="K19" i="86"/>
  <c r="K12" i="86"/>
  <c r="K17" i="86"/>
  <c r="B19" i="86"/>
  <c r="N9" i="86"/>
  <c r="B12" i="86"/>
  <c r="B17" i="86"/>
  <c r="I19" i="86"/>
  <c r="I12" i="86"/>
  <c r="I17" i="86"/>
  <c r="M19" i="86"/>
  <c r="M12" i="86"/>
  <c r="M17" i="86"/>
  <c r="H19" i="86"/>
  <c r="H12" i="86"/>
  <c r="H17" i="86"/>
  <c r="E32" i="84"/>
  <c r="N13" i="86"/>
  <c r="N15" i="45"/>
  <c r="J15" i="45"/>
  <c r="F15" i="45"/>
  <c r="M15" i="45"/>
  <c r="I15" i="45"/>
  <c r="B3" i="85"/>
  <c r="H39" i="82"/>
  <c r="I29" i="82" s="1"/>
  <c r="H31" i="82"/>
  <c r="H36" i="82" s="1"/>
  <c r="H6" i="82"/>
  <c r="H14" i="82" s="1"/>
  <c r="E26" i="84"/>
  <c r="F100" i="82"/>
  <c r="F105" i="82" s="1"/>
  <c r="F112" i="82" s="1"/>
  <c r="F59" i="82"/>
  <c r="F65" i="82" s="1"/>
  <c r="G59" i="82" s="1"/>
  <c r="G65" i="82" s="1"/>
  <c r="D33" i="38"/>
  <c r="G10" i="38"/>
  <c r="G14" i="38"/>
  <c r="G23" i="38" s="1"/>
  <c r="G17" i="38"/>
  <c r="G26" i="38" s="1"/>
  <c r="G15" i="38"/>
  <c r="G24" i="38" s="1"/>
  <c r="G18" i="38"/>
  <c r="G27" i="38" s="1"/>
  <c r="E86" i="82"/>
  <c r="E68" i="82"/>
  <c r="E74" i="82" s="1"/>
  <c r="G45" i="82"/>
  <c r="G55" i="82" s="1"/>
  <c r="F44" i="82"/>
  <c r="B42" i="47"/>
  <c r="E22" i="47"/>
  <c r="E40" i="47"/>
  <c r="C40" i="47"/>
  <c r="C42" i="47" s="1"/>
  <c r="D22" i="47"/>
  <c r="D42" i="47" s="1"/>
  <c r="G28" i="38"/>
  <c r="M29" i="86" l="1"/>
  <c r="M30" i="86" s="1"/>
  <c r="M14" i="86"/>
  <c r="M18" i="86"/>
  <c r="M20" i="86" s="1"/>
  <c r="B29" i="86"/>
  <c r="B30" i="86" s="1"/>
  <c r="N12" i="86"/>
  <c r="B14" i="86"/>
  <c r="B18" i="86"/>
  <c r="K29" i="86"/>
  <c r="K30" i="86" s="1"/>
  <c r="K14" i="86"/>
  <c r="C29" i="86"/>
  <c r="C30" i="86" s="1"/>
  <c r="C14" i="86"/>
  <c r="L29" i="86"/>
  <c r="L30" i="86" s="1"/>
  <c r="L14" i="86"/>
  <c r="D18" i="86"/>
  <c r="D20" i="86"/>
  <c r="J29" i="86"/>
  <c r="J30" i="86" s="1"/>
  <c r="J14" i="86"/>
  <c r="J18" i="86"/>
  <c r="J20" i="86" s="1"/>
  <c r="N19" i="86"/>
  <c r="AE7" i="52"/>
  <c r="E33" i="84"/>
  <c r="E28" i="84" s="1"/>
  <c r="F30" i="84"/>
  <c r="F32" i="84" s="1"/>
  <c r="H29" i="86"/>
  <c r="H30" i="86" s="1"/>
  <c r="H14" i="86"/>
  <c r="H18" i="86"/>
  <c r="H20" i="86" s="1"/>
  <c r="I29" i="86"/>
  <c r="I30" i="86" s="1"/>
  <c r="I14" i="86"/>
  <c r="I18" i="86"/>
  <c r="I20" i="86" s="1"/>
  <c r="K18" i="86"/>
  <c r="K20" i="86" s="1"/>
  <c r="G29" i="86"/>
  <c r="G30" i="86" s="1"/>
  <c r="G14" i="86"/>
  <c r="G18" i="86"/>
  <c r="G20" i="86" s="1"/>
  <c r="C18" i="86"/>
  <c r="C20" i="86" s="1"/>
  <c r="E29" i="86"/>
  <c r="E30" i="86" s="1"/>
  <c r="E14" i="86"/>
  <c r="E18" i="86"/>
  <c r="E20" i="86" s="1"/>
  <c r="L18" i="86"/>
  <c r="L20" i="86" s="1"/>
  <c r="D29" i="86"/>
  <c r="D30" i="86" s="1"/>
  <c r="D14" i="86"/>
  <c r="F29" i="86"/>
  <c r="F30" i="86" s="1"/>
  <c r="F14" i="86"/>
  <c r="F18" i="86"/>
  <c r="F20" i="86" s="1"/>
  <c r="N17" i="86"/>
  <c r="B12" i="38"/>
  <c r="K5" i="85"/>
  <c r="G5" i="85"/>
  <c r="C5" i="85"/>
  <c r="L20" i="85"/>
  <c r="M18" i="85"/>
  <c r="M17" i="85"/>
  <c r="I17" i="85"/>
  <c r="J16" i="85"/>
  <c r="L15" i="85"/>
  <c r="H15" i="85"/>
  <c r="K14" i="85"/>
  <c r="G14" i="85"/>
  <c r="K13" i="85"/>
  <c r="G13" i="85"/>
  <c r="L12" i="85"/>
  <c r="H12" i="85"/>
  <c r="D12" i="85"/>
  <c r="J11" i="85"/>
  <c r="F11" i="85"/>
  <c r="B11" i="85"/>
  <c r="B10" i="85" s="1"/>
  <c r="B23" i="85" s="1"/>
  <c r="C8" i="85" s="1"/>
  <c r="J12" i="85"/>
  <c r="B5" i="85"/>
  <c r="L18" i="85"/>
  <c r="M16" i="85"/>
  <c r="K15" i="85"/>
  <c r="J14" i="85"/>
  <c r="J13" i="85"/>
  <c r="K12" i="85"/>
  <c r="M11" i="85"/>
  <c r="E11" i="85"/>
  <c r="L5" i="85"/>
  <c r="H5" i="85"/>
  <c r="D5" i="85"/>
  <c r="M20" i="85"/>
  <c r="K19" i="85"/>
  <c r="J18" i="85"/>
  <c r="J17" i="85"/>
  <c r="K16" i="85"/>
  <c r="M15" i="85"/>
  <c r="I15" i="85"/>
  <c r="L14" i="85"/>
  <c r="H14" i="85"/>
  <c r="L13" i="85"/>
  <c r="H13" i="85"/>
  <c r="M12" i="85"/>
  <c r="I12" i="85"/>
  <c r="E12" i="85"/>
  <c r="K11" i="85"/>
  <c r="G11" i="85"/>
  <c r="C11" i="85"/>
  <c r="M5" i="85"/>
  <c r="I5" i="85"/>
  <c r="E5" i="85"/>
  <c r="M21" i="85"/>
  <c r="L19" i="85"/>
  <c r="K18" i="85"/>
  <c r="K17" i="85"/>
  <c r="L16" i="85"/>
  <c r="H16" i="85"/>
  <c r="J15" i="85"/>
  <c r="M14" i="85"/>
  <c r="I14" i="85"/>
  <c r="M13" i="85"/>
  <c r="I13" i="85"/>
  <c r="E13" i="85"/>
  <c r="F12" i="85"/>
  <c r="L11" i="85"/>
  <c r="H11" i="85"/>
  <c r="D11" i="85"/>
  <c r="J5" i="85"/>
  <c r="F5" i="85"/>
  <c r="M19" i="85"/>
  <c r="L17" i="85"/>
  <c r="I16" i="85"/>
  <c r="G15" i="85"/>
  <c r="F14" i="85"/>
  <c r="F13" i="85"/>
  <c r="G12" i="85"/>
  <c r="I11" i="85"/>
  <c r="M22" i="85"/>
  <c r="J19" i="85"/>
  <c r="H17" i="85"/>
  <c r="F15" i="85"/>
  <c r="C12" i="85"/>
  <c r="L21" i="85"/>
  <c r="G16" i="85"/>
  <c r="E14" i="85"/>
  <c r="D13" i="85"/>
  <c r="I18" i="85"/>
  <c r="K20" i="85"/>
  <c r="I39" i="82"/>
  <c r="J29" i="82" s="1"/>
  <c r="I31" i="82"/>
  <c r="I36" i="82" s="1"/>
  <c r="I6" i="82"/>
  <c r="I14" i="82" s="1"/>
  <c r="E27" i="84"/>
  <c r="F24" i="84"/>
  <c r="F78" i="82"/>
  <c r="G100" i="82"/>
  <c r="G105" i="82" s="1"/>
  <c r="G112" i="82" s="1"/>
  <c r="F68" i="82"/>
  <c r="F74" i="82" s="1"/>
  <c r="H45" i="82"/>
  <c r="H55" i="82" s="1"/>
  <c r="F54" i="82"/>
  <c r="F46" i="82"/>
  <c r="F51" i="82" s="1"/>
  <c r="E42" i="47"/>
  <c r="H59" i="82"/>
  <c r="H65" i="82" s="1"/>
  <c r="K23" i="86" l="1"/>
  <c r="K24" i="86" s="1"/>
  <c r="K21" i="86"/>
  <c r="L23" i="86"/>
  <c r="L24" i="86" s="1"/>
  <c r="L21" i="86"/>
  <c r="F23" i="86"/>
  <c r="F24" i="86" s="1"/>
  <c r="F21" i="86"/>
  <c r="C23" i="86"/>
  <c r="C24" i="86" s="1"/>
  <c r="C21" i="86"/>
  <c r="G23" i="86"/>
  <c r="G24" i="86" s="1"/>
  <c r="G21" i="86"/>
  <c r="H23" i="86"/>
  <c r="H24" i="86" s="1"/>
  <c r="H21" i="86"/>
  <c r="D23" i="86"/>
  <c r="D24" i="86" s="1"/>
  <c r="D21" i="86"/>
  <c r="B20" i="86"/>
  <c r="N18" i="86"/>
  <c r="M23" i="86"/>
  <c r="M24" i="86" s="1"/>
  <c r="M21" i="86"/>
  <c r="E23" i="86"/>
  <c r="E24" i="86" s="1"/>
  <c r="E21" i="86"/>
  <c r="I23" i="86"/>
  <c r="I24" i="86" s="1"/>
  <c r="I21" i="86"/>
  <c r="G30" i="84"/>
  <c r="G32" i="84" s="1"/>
  <c r="F33" i="84"/>
  <c r="F28" i="84" s="1"/>
  <c r="B15" i="38"/>
  <c r="J23" i="86"/>
  <c r="J24" i="86" s="1"/>
  <c r="J21" i="86"/>
  <c r="N14" i="86"/>
  <c r="E22" i="84"/>
  <c r="C10" i="85"/>
  <c r="C27" i="85" s="1"/>
  <c r="E10" i="85"/>
  <c r="E27" i="85" s="1"/>
  <c r="I10" i="85"/>
  <c r="I27" i="85" s="1"/>
  <c r="L10" i="85"/>
  <c r="L27" i="85" s="1"/>
  <c r="F10" i="85"/>
  <c r="F27" i="85" s="1"/>
  <c r="D10" i="85"/>
  <c r="D27" i="85" s="1"/>
  <c r="G10" i="85"/>
  <c r="G27" i="85" s="1"/>
  <c r="M10" i="85"/>
  <c r="M27" i="85" s="1"/>
  <c r="J10" i="85"/>
  <c r="J27" i="85" s="1"/>
  <c r="H10" i="85"/>
  <c r="H27" i="85" s="1"/>
  <c r="K10" i="85"/>
  <c r="K27" i="85" s="1"/>
  <c r="B27" i="85"/>
  <c r="B28" i="85" s="1"/>
  <c r="C25" i="85" s="1"/>
  <c r="B6" i="85"/>
  <c r="J39" i="82"/>
  <c r="K29" i="82" s="1"/>
  <c r="J31" i="82"/>
  <c r="J36" i="82" s="1"/>
  <c r="J6" i="82"/>
  <c r="J14" i="82" s="1"/>
  <c r="F26" i="84"/>
  <c r="F86" i="82"/>
  <c r="G78" i="82" s="1"/>
  <c r="H100" i="82"/>
  <c r="H105" i="82" s="1"/>
  <c r="H112" i="82" s="1"/>
  <c r="G68" i="82"/>
  <c r="G74" i="82" s="1"/>
  <c r="I45" i="82"/>
  <c r="I55" i="82" s="1"/>
  <c r="G44" i="82"/>
  <c r="I59" i="82"/>
  <c r="I65" i="82" s="1"/>
  <c r="F26" i="47"/>
  <c r="F29" i="47" s="1"/>
  <c r="F40" i="47" s="1"/>
  <c r="G33" i="84" l="1"/>
  <c r="G28" i="84" s="1"/>
  <c r="H30" i="84"/>
  <c r="H32" i="84" s="1"/>
  <c r="N20" i="86"/>
  <c r="B23" i="86"/>
  <c r="B21" i="86"/>
  <c r="N21" i="86" s="1"/>
  <c r="AJ7" i="52"/>
  <c r="C23" i="85"/>
  <c r="D8" i="85" s="1"/>
  <c r="D23" i="85" s="1"/>
  <c r="E8" i="85" s="1"/>
  <c r="E23" i="85" s="1"/>
  <c r="F8" i="85" s="1"/>
  <c r="F23" i="85" s="1"/>
  <c r="G8" i="85" s="1"/>
  <c r="G23" i="85" s="1"/>
  <c r="H8" i="85" s="1"/>
  <c r="H23" i="85" s="1"/>
  <c r="I8" i="85" s="1"/>
  <c r="I23" i="85" s="1"/>
  <c r="J8" i="85" s="1"/>
  <c r="J23" i="85" s="1"/>
  <c r="K8" i="85" s="1"/>
  <c r="K23" i="85" s="1"/>
  <c r="L8" i="85" s="1"/>
  <c r="L23" i="85" s="1"/>
  <c r="M8" i="85" s="1"/>
  <c r="M23" i="85" s="1"/>
  <c r="C28" i="85"/>
  <c r="D25" i="85" s="1"/>
  <c r="D28" i="85" s="1"/>
  <c r="E25" i="85" s="1"/>
  <c r="E28" i="85" s="1"/>
  <c r="F25" i="85" s="1"/>
  <c r="F28" i="85" s="1"/>
  <c r="G25" i="85" s="1"/>
  <c r="G28" i="85" s="1"/>
  <c r="H25" i="85" s="1"/>
  <c r="H28" i="85" s="1"/>
  <c r="I25" i="85" s="1"/>
  <c r="I28" i="85" s="1"/>
  <c r="J25" i="85" s="1"/>
  <c r="J28" i="85" s="1"/>
  <c r="K25" i="85" s="1"/>
  <c r="K28" i="85" s="1"/>
  <c r="L25" i="85" s="1"/>
  <c r="L28" i="85" s="1"/>
  <c r="M25" i="85" s="1"/>
  <c r="M28" i="85" s="1"/>
  <c r="C4" i="85"/>
  <c r="K39" i="82"/>
  <c r="L29" i="82" s="1"/>
  <c r="K31" i="82"/>
  <c r="K36" i="82" s="1"/>
  <c r="K6" i="82"/>
  <c r="K14" i="82" s="1"/>
  <c r="F27" i="84"/>
  <c r="G24" i="84"/>
  <c r="G86" i="82"/>
  <c r="H78" i="82" s="1"/>
  <c r="B8" i="46"/>
  <c r="D8" i="46"/>
  <c r="I100" i="82"/>
  <c r="I105" i="82" s="1"/>
  <c r="I112" i="82" s="1"/>
  <c r="H68" i="82"/>
  <c r="H74" i="82" s="1"/>
  <c r="J45" i="82"/>
  <c r="J55" i="82" s="1"/>
  <c r="G54" i="82"/>
  <c r="G46" i="82"/>
  <c r="G51" i="82" s="1"/>
  <c r="J59" i="82"/>
  <c r="J65" i="82" s="1"/>
  <c r="F10" i="47"/>
  <c r="F22" i="47" s="1"/>
  <c r="F42" i="47" s="1"/>
  <c r="B16" i="38" l="1"/>
  <c r="E18" i="84"/>
  <c r="E20" i="84" s="1"/>
  <c r="J4" i="45"/>
  <c r="J9" i="45" s="1"/>
  <c r="L4" i="45"/>
  <c r="L9" i="45" s="1"/>
  <c r="K4" i="45"/>
  <c r="K9" i="45" s="1"/>
  <c r="I4" i="45"/>
  <c r="I9" i="45" s="1"/>
  <c r="G4" i="45"/>
  <c r="G9" i="45" s="1"/>
  <c r="M4" i="45"/>
  <c r="M9" i="45" s="1"/>
  <c r="E4" i="45"/>
  <c r="E9" i="45" s="1"/>
  <c r="N4" i="45"/>
  <c r="N9" i="45" s="1"/>
  <c r="F4" i="45"/>
  <c r="F9" i="45" s="1"/>
  <c r="D4" i="45"/>
  <c r="H4" i="45"/>
  <c r="H9" i="45" s="1"/>
  <c r="O4" i="45"/>
  <c r="O9" i="45" s="1"/>
  <c r="N23" i="86"/>
  <c r="B24" i="86"/>
  <c r="I30" i="84"/>
  <c r="I32" i="84" s="1"/>
  <c r="H33" i="84"/>
  <c r="H28" i="84" s="1"/>
  <c r="F22" i="84"/>
  <c r="C6" i="85"/>
  <c r="L39" i="82"/>
  <c r="M29" i="82" s="1"/>
  <c r="L31" i="82"/>
  <c r="L36" i="82" s="1"/>
  <c r="L6" i="82"/>
  <c r="L14" i="82" s="1"/>
  <c r="G26" i="84"/>
  <c r="H86" i="82"/>
  <c r="I78" i="82" s="1"/>
  <c r="C8" i="46"/>
  <c r="J100" i="82"/>
  <c r="I68" i="82"/>
  <c r="I74" i="82" s="1"/>
  <c r="K45" i="82"/>
  <c r="K55" i="82" s="1"/>
  <c r="H44" i="82"/>
  <c r="K59" i="82"/>
  <c r="K65" i="82" s="1"/>
  <c r="E8" i="46"/>
  <c r="N24" i="86" l="1"/>
  <c r="I33" i="84"/>
  <c r="I28" i="84" s="1"/>
  <c r="J30" i="84"/>
  <c r="J32" i="84" s="1"/>
  <c r="D9" i="45"/>
  <c r="P4" i="45"/>
  <c r="G20" i="38"/>
  <c r="G9" i="38"/>
  <c r="I8" i="38"/>
  <c r="I20" i="38"/>
  <c r="I29" i="38" s="1"/>
  <c r="E20" i="38"/>
  <c r="E29" i="38" s="1"/>
  <c r="E8" i="38"/>
  <c r="E21" i="84"/>
  <c r="D8" i="45" s="1"/>
  <c r="F18" i="84"/>
  <c r="F20" i="84" s="1"/>
  <c r="D4" i="85"/>
  <c r="M39" i="82"/>
  <c r="N29" i="82" s="1"/>
  <c r="M31" i="82"/>
  <c r="M36" i="82" s="1"/>
  <c r="M6" i="82"/>
  <c r="M14" i="82" s="1"/>
  <c r="G27" i="84"/>
  <c r="H24" i="84"/>
  <c r="I86" i="82"/>
  <c r="J78" i="82" s="1"/>
  <c r="J105" i="82"/>
  <c r="J112" i="82" s="1"/>
  <c r="J68" i="82"/>
  <c r="J74" i="82" s="1"/>
  <c r="L45" i="82"/>
  <c r="L55" i="82" s="1"/>
  <c r="H54" i="82"/>
  <c r="H46" i="82"/>
  <c r="H51" i="82" s="1"/>
  <c r="L59" i="82"/>
  <c r="L65" i="82" s="1"/>
  <c r="G18" i="84" l="1"/>
  <c r="G20" i="84" s="1"/>
  <c r="F21" i="84"/>
  <c r="E8" i="45" s="1"/>
  <c r="I18" i="38"/>
  <c r="I27" i="38" s="1"/>
  <c r="I10" i="38"/>
  <c r="I15" i="38"/>
  <c r="I24" i="38" s="1"/>
  <c r="I16" i="38"/>
  <c r="I25" i="38" s="1"/>
  <c r="I14" i="38"/>
  <c r="I19" i="38"/>
  <c r="I28" i="38" s="1"/>
  <c r="I9" i="38"/>
  <c r="I17" i="38"/>
  <c r="I26" i="38" s="1"/>
  <c r="G29" i="38"/>
  <c r="G21" i="38"/>
  <c r="G30" i="38" s="1"/>
  <c r="D10" i="45"/>
  <c r="E7" i="45" s="1"/>
  <c r="P9" i="45"/>
  <c r="E16" i="84"/>
  <c r="E14" i="84" s="1"/>
  <c r="D14" i="45"/>
  <c r="D16" i="45" s="1"/>
  <c r="D22" i="45"/>
  <c r="D24" i="45" s="1"/>
  <c r="D26" i="45" s="1"/>
  <c r="E17" i="38"/>
  <c r="E26" i="38" s="1"/>
  <c r="E14" i="38"/>
  <c r="E18" i="38"/>
  <c r="E27" i="38" s="1"/>
  <c r="E16" i="38"/>
  <c r="E25" i="38" s="1"/>
  <c r="E19" i="38"/>
  <c r="E28" i="38" s="1"/>
  <c r="E15" i="38"/>
  <c r="E24" i="38" s="1"/>
  <c r="E9" i="38"/>
  <c r="E12" i="38" s="1"/>
  <c r="E10" i="38"/>
  <c r="E11" i="38" s="1"/>
  <c r="G12" i="38"/>
  <c r="G31" i="38" s="1"/>
  <c r="G32" i="38" s="1"/>
  <c r="G11" i="38"/>
  <c r="K30" i="84"/>
  <c r="K32" i="84" s="1"/>
  <c r="J33" i="84"/>
  <c r="J28" i="84" s="1"/>
  <c r="G22" i="84"/>
  <c r="D6" i="85"/>
  <c r="N39" i="82"/>
  <c r="O29" i="82" s="1"/>
  <c r="N31" i="82"/>
  <c r="N36" i="82" s="1"/>
  <c r="N6" i="82"/>
  <c r="N14" i="82" s="1"/>
  <c r="H26" i="84"/>
  <c r="J86" i="82"/>
  <c r="K78" i="82" s="1"/>
  <c r="K100" i="82"/>
  <c r="K68" i="82"/>
  <c r="K74" i="82" s="1"/>
  <c r="M45" i="82"/>
  <c r="M55" i="82" s="1"/>
  <c r="I44" i="82"/>
  <c r="M59" i="82"/>
  <c r="M65" i="82" s="1"/>
  <c r="F8" i="46"/>
  <c r="G8" i="46"/>
  <c r="E10" i="45" l="1"/>
  <c r="F7" i="45" s="1"/>
  <c r="B8" i="87"/>
  <c r="B25" i="87" s="1"/>
  <c r="E23" i="38"/>
  <c r="E31" i="38" s="1"/>
  <c r="E32" i="38" s="1"/>
  <c r="E21" i="38"/>
  <c r="E30" i="38" s="1"/>
  <c r="B26" i="45"/>
  <c r="E21" i="45"/>
  <c r="I12" i="38"/>
  <c r="I11" i="38"/>
  <c r="I23" i="38"/>
  <c r="I31" i="38" s="1"/>
  <c r="I32" i="38" s="1"/>
  <c r="I21" i="38"/>
  <c r="I30" i="38" s="1"/>
  <c r="H18" i="84"/>
  <c r="H20" i="84" s="1"/>
  <c r="G21" i="84"/>
  <c r="F8" i="45" s="1"/>
  <c r="K33" i="84"/>
  <c r="K28" i="84" s="1"/>
  <c r="L30" i="84"/>
  <c r="L32" i="84" s="1"/>
  <c r="F16" i="84"/>
  <c r="F14" i="84" s="1"/>
  <c r="C8" i="87" s="1"/>
  <c r="C25" i="87" s="1"/>
  <c r="E14" i="45"/>
  <c r="E16" i="45" s="1"/>
  <c r="E22" i="45"/>
  <c r="E24" i="45" s="1"/>
  <c r="E4" i="85"/>
  <c r="O39" i="82"/>
  <c r="O31" i="82"/>
  <c r="O36" i="82" s="1"/>
  <c r="O6" i="82"/>
  <c r="O14" i="82" s="1"/>
  <c r="H27" i="84"/>
  <c r="I24" i="84"/>
  <c r="K86" i="82"/>
  <c r="K105" i="82"/>
  <c r="K112" i="82" s="1"/>
  <c r="L68" i="82"/>
  <c r="L74" i="82" s="1"/>
  <c r="N45" i="82"/>
  <c r="N55" i="82" s="1"/>
  <c r="I54" i="82"/>
  <c r="I46" i="82"/>
  <c r="I51" i="82" s="1"/>
  <c r="N59" i="82"/>
  <c r="N65" i="82" s="1"/>
  <c r="H8" i="46"/>
  <c r="F10" i="45" l="1"/>
  <c r="G7" i="45" s="1"/>
  <c r="H21" i="84"/>
  <c r="I18" i="84"/>
  <c r="I20" i="84" s="1"/>
  <c r="L33" i="84"/>
  <c r="L28" i="84" s="1"/>
  <c r="M30" i="84"/>
  <c r="M32" i="84" s="1"/>
  <c r="G16" i="84"/>
  <c r="G14" i="84" s="1"/>
  <c r="D8" i="87" s="1"/>
  <c r="D25" i="87" s="1"/>
  <c r="F14" i="45"/>
  <c r="F16" i="45" s="1"/>
  <c r="F22" i="45"/>
  <c r="F24" i="45" s="1"/>
  <c r="E25" i="45"/>
  <c r="E26" i="45" s="1"/>
  <c r="F21" i="45" s="1"/>
  <c r="F25" i="45" s="1"/>
  <c r="H22" i="84"/>
  <c r="E6" i="85"/>
  <c r="I26" i="84"/>
  <c r="L78" i="82"/>
  <c r="L100" i="82"/>
  <c r="M68" i="82"/>
  <c r="M74" i="82" s="1"/>
  <c r="O45" i="82"/>
  <c r="O55" i="82" s="1"/>
  <c r="J44" i="82"/>
  <c r="O59" i="82"/>
  <c r="O65" i="82" s="1"/>
  <c r="H16" i="84" l="1"/>
  <c r="G8" i="45"/>
  <c r="G10" i="45" s="1"/>
  <c r="H7" i="45" s="1"/>
  <c r="G22" i="45"/>
  <c r="G24" i="45" s="1"/>
  <c r="G14" i="45"/>
  <c r="G16" i="45" s="1"/>
  <c r="H14" i="84"/>
  <c r="E8" i="87" s="1"/>
  <c r="E25" i="87" s="1"/>
  <c r="F26" i="45"/>
  <c r="G21" i="45" s="1"/>
  <c r="G25" i="45" s="1"/>
  <c r="M33" i="84"/>
  <c r="M28" i="84" s="1"/>
  <c r="N30" i="84"/>
  <c r="N32" i="84" s="1"/>
  <c r="I21" i="84"/>
  <c r="J18" i="84"/>
  <c r="J20" i="84" s="1"/>
  <c r="F4" i="85"/>
  <c r="I27" i="84"/>
  <c r="J24" i="84"/>
  <c r="L86" i="82"/>
  <c r="M78" i="82" s="1"/>
  <c r="L105" i="82"/>
  <c r="L112" i="82" s="1"/>
  <c r="N68" i="82"/>
  <c r="N74" i="82" s="1"/>
  <c r="J54" i="82"/>
  <c r="J46" i="82"/>
  <c r="J51" i="82" s="1"/>
  <c r="I8" i="46"/>
  <c r="J8" i="46"/>
  <c r="I16" i="84" l="1"/>
  <c r="H8" i="45"/>
  <c r="H10" i="45" s="1"/>
  <c r="I7" i="45" s="1"/>
  <c r="K18" i="84"/>
  <c r="K20" i="84" s="1"/>
  <c r="J21" i="84"/>
  <c r="N33" i="84"/>
  <c r="N28" i="84" s="1"/>
  <c r="O30" i="84"/>
  <c r="O32" i="84" s="1"/>
  <c r="G26" i="45"/>
  <c r="H21" i="45" s="1"/>
  <c r="H25" i="45" s="1"/>
  <c r="I22" i="84"/>
  <c r="H22" i="45"/>
  <c r="H24" i="45" s="1"/>
  <c r="H26" i="45" s="1"/>
  <c r="I21" i="45" s="1"/>
  <c r="I25" i="45" s="1"/>
  <c r="H14" i="45"/>
  <c r="H16" i="45" s="1"/>
  <c r="F6" i="85"/>
  <c r="J26" i="84"/>
  <c r="M100" i="82"/>
  <c r="O68" i="82"/>
  <c r="O74" i="82" s="1"/>
  <c r="K44" i="82"/>
  <c r="K8" i="46"/>
  <c r="J16" i="84" l="1"/>
  <c r="I14" i="84"/>
  <c r="L18" i="84"/>
  <c r="L20" i="84" s="1"/>
  <c r="K21" i="84"/>
  <c r="P30" i="84"/>
  <c r="P32" i="84" s="1"/>
  <c r="P33" i="84" s="1"/>
  <c r="P28" i="84" s="1"/>
  <c r="O33" i="84"/>
  <c r="O28" i="84" s="1"/>
  <c r="G4" i="85"/>
  <c r="J27" i="84"/>
  <c r="I8" i="45" s="1"/>
  <c r="I10" i="45" s="1"/>
  <c r="J7" i="45" s="1"/>
  <c r="K24" i="84"/>
  <c r="M105" i="82"/>
  <c r="M112" i="82" s="1"/>
  <c r="M86" i="82"/>
  <c r="K54" i="82"/>
  <c r="K46" i="82"/>
  <c r="K51" i="82" s="1"/>
  <c r="L8" i="46"/>
  <c r="K16" i="84" l="1"/>
  <c r="F8" i="87"/>
  <c r="F25" i="87" s="1"/>
  <c r="Q28" i="84"/>
  <c r="C40" i="84" s="1"/>
  <c r="L21" i="84"/>
  <c r="M18" i="84"/>
  <c r="M20" i="84" s="1"/>
  <c r="J22" i="84"/>
  <c r="J14" i="84" s="1"/>
  <c r="G8" i="87" s="1"/>
  <c r="G25" i="87" s="1"/>
  <c r="I14" i="45"/>
  <c r="I16" i="45" s="1"/>
  <c r="I22" i="45"/>
  <c r="I24" i="45" s="1"/>
  <c r="I26" i="45" s="1"/>
  <c r="J21" i="45" s="1"/>
  <c r="J25" i="45" s="1"/>
  <c r="G6" i="85"/>
  <c r="K26" i="84"/>
  <c r="N100" i="82"/>
  <c r="N78" i="82"/>
  <c r="L44" i="82"/>
  <c r="L16" i="84" l="1"/>
  <c r="M21" i="84"/>
  <c r="N18" i="84"/>
  <c r="N20" i="84" s="1"/>
  <c r="H4" i="85"/>
  <c r="K27" i="84"/>
  <c r="J8" i="45" s="1"/>
  <c r="J10" i="45" s="1"/>
  <c r="K7" i="45" s="1"/>
  <c r="L24" i="84"/>
  <c r="N105" i="82"/>
  <c r="N112" i="82" s="1"/>
  <c r="L54" i="82"/>
  <c r="L46" i="82"/>
  <c r="L51" i="82" s="1"/>
  <c r="M16" i="84" l="1"/>
  <c r="N21" i="84"/>
  <c r="O18" i="84"/>
  <c r="O20" i="84" s="1"/>
  <c r="K22" i="84"/>
  <c r="K14" i="84" s="1"/>
  <c r="H8" i="87" s="1"/>
  <c r="H25" i="87" s="1"/>
  <c r="J14" i="45"/>
  <c r="J16" i="45" s="1"/>
  <c r="J22" i="45"/>
  <c r="J24" i="45" s="1"/>
  <c r="J26" i="45" s="1"/>
  <c r="K21" i="45" s="1"/>
  <c r="K25" i="45" s="1"/>
  <c r="H6" i="85"/>
  <c r="L26" i="84"/>
  <c r="O100" i="82"/>
  <c r="N86" i="82"/>
  <c r="M8" i="46"/>
  <c r="M44" i="82"/>
  <c r="N16" i="84" l="1"/>
  <c r="P18" i="84"/>
  <c r="P20" i="84" s="1"/>
  <c r="P21" i="84" s="1"/>
  <c r="O21" i="84"/>
  <c r="I4" i="85"/>
  <c r="L27" i="84"/>
  <c r="K8" i="45" s="1"/>
  <c r="K10" i="45" s="1"/>
  <c r="L7" i="45" s="1"/>
  <c r="M24" i="84"/>
  <c r="O105" i="82"/>
  <c r="O78" i="82"/>
  <c r="M54" i="82"/>
  <c r="M46" i="82"/>
  <c r="M51" i="82" s="1"/>
  <c r="P16" i="84" l="1"/>
  <c r="O16" i="84"/>
  <c r="L22" i="84"/>
  <c r="L14" i="84" s="1"/>
  <c r="I8" i="87" s="1"/>
  <c r="I25" i="87" s="1"/>
  <c r="K14" i="45"/>
  <c r="K16" i="45" s="1"/>
  <c r="K22" i="45"/>
  <c r="K24" i="45" s="1"/>
  <c r="K26" i="45" s="1"/>
  <c r="L21" i="45" s="1"/>
  <c r="L25" i="45" s="1"/>
  <c r="I6" i="85"/>
  <c r="O112" i="82"/>
  <c r="M26" i="84"/>
  <c r="N44" i="82"/>
  <c r="J4" i="85" l="1"/>
  <c r="M27" i="84"/>
  <c r="L8" i="45" s="1"/>
  <c r="L10" i="45" s="1"/>
  <c r="M7" i="45" s="1"/>
  <c r="N24" i="84"/>
  <c r="O86" i="82"/>
  <c r="N54" i="82"/>
  <c r="N46" i="82"/>
  <c r="N51" i="82" s="1"/>
  <c r="M22" i="84" l="1"/>
  <c r="M14" i="84" s="1"/>
  <c r="J8" i="87" s="1"/>
  <c r="J25" i="87" s="1"/>
  <c r="L14" i="45"/>
  <c r="L16" i="45" s="1"/>
  <c r="L22" i="45"/>
  <c r="L24" i="45" s="1"/>
  <c r="L26" i="45" s="1"/>
  <c r="M21" i="45" s="1"/>
  <c r="M25" i="45" s="1"/>
  <c r="J6" i="85"/>
  <c r="N26" i="84"/>
  <c r="Q16" i="84"/>
  <c r="C38" i="84" s="1"/>
  <c r="O44" i="82"/>
  <c r="K4" i="85" l="1"/>
  <c r="N27" i="84"/>
  <c r="M8" i="45" s="1"/>
  <c r="O24" i="84"/>
  <c r="O54" i="82"/>
  <c r="O46" i="82"/>
  <c r="O51" i="82" s="1"/>
  <c r="M10" i="45" l="1"/>
  <c r="N7" i="45" s="1"/>
  <c r="N22" i="84"/>
  <c r="N14" i="84" s="1"/>
  <c r="K8" i="87" s="1"/>
  <c r="K25" i="87" s="1"/>
  <c r="M22" i="45"/>
  <c r="M24" i="45" s="1"/>
  <c r="M26" i="45" s="1"/>
  <c r="N21" i="45" s="1"/>
  <c r="N25" i="45" s="1"/>
  <c r="M14" i="45"/>
  <c r="M16" i="45" s="1"/>
  <c r="K6" i="85"/>
  <c r="O26" i="84"/>
  <c r="L4" i="85" l="1"/>
  <c r="O27" i="84"/>
  <c r="N8" i="45" s="1"/>
  <c r="P24" i="84"/>
  <c r="N10" i="45" l="1"/>
  <c r="O7" i="45" s="1"/>
  <c r="O22" i="84"/>
  <c r="O14" i="84" s="1"/>
  <c r="L8" i="87" s="1"/>
  <c r="L25" i="87" s="1"/>
  <c r="N14" i="45"/>
  <c r="N16" i="45" s="1"/>
  <c r="N22" i="45"/>
  <c r="N24" i="45" s="1"/>
  <c r="N26" i="45" s="1"/>
  <c r="O21" i="45" s="1"/>
  <c r="O25" i="45" s="1"/>
  <c r="L6" i="85"/>
  <c r="P26" i="84"/>
  <c r="P27" i="84" s="1"/>
  <c r="O8" i="45" s="1"/>
  <c r="P8" i="45" s="1"/>
  <c r="K14" i="46"/>
  <c r="E14" i="46"/>
  <c r="E13" i="46" s="1"/>
  <c r="E7" i="46" s="1"/>
  <c r="J14" i="46"/>
  <c r="M14" i="46"/>
  <c r="F14" i="46"/>
  <c r="F13" i="46" s="1"/>
  <c r="F7" i="46" s="1"/>
  <c r="D14" i="46"/>
  <c r="D13" i="46" s="1"/>
  <c r="D7" i="46" s="1"/>
  <c r="L14" i="46"/>
  <c r="G14" i="46"/>
  <c r="G13" i="46" s="1"/>
  <c r="G7" i="46" s="1"/>
  <c r="H14" i="46"/>
  <c r="H13" i="46" s="1"/>
  <c r="H7" i="46" s="1"/>
  <c r="I14" i="46"/>
  <c r="I13" i="46" s="1"/>
  <c r="I7" i="46" s="1"/>
  <c r="O10" i="45" l="1"/>
  <c r="P22" i="84"/>
  <c r="P14" i="84" s="1"/>
  <c r="O14" i="45"/>
  <c r="O16" i="45" s="1"/>
  <c r="O22" i="45"/>
  <c r="O24" i="45" s="1"/>
  <c r="O26" i="45" s="1"/>
  <c r="M4" i="85"/>
  <c r="J13" i="46"/>
  <c r="J7" i="46" s="1"/>
  <c r="C14" i="46"/>
  <c r="C13" i="46" s="1"/>
  <c r="C7" i="46" s="1"/>
  <c r="M8" i="87" l="1"/>
  <c r="M25" i="87" s="1"/>
  <c r="Q14" i="84"/>
  <c r="Q22" i="84"/>
  <c r="C39" i="84" s="1"/>
  <c r="C41" i="84" s="1"/>
  <c r="D41" i="84" s="1"/>
  <c r="M6" i="85"/>
  <c r="B14" i="46"/>
  <c r="B13" i="46" s="1"/>
  <c r="B7" i="46" s="1"/>
  <c r="B46" i="46" s="1"/>
  <c r="B2" i="87" l="1"/>
  <c r="C5" i="46"/>
  <c r="K13" i="46"/>
  <c r="K7" i="46" s="1"/>
  <c r="B4" i="87" l="1"/>
  <c r="F4" i="87"/>
  <c r="J4" i="87"/>
  <c r="C10" i="87"/>
  <c r="G10" i="87"/>
  <c r="K10" i="87"/>
  <c r="D11" i="87"/>
  <c r="H11" i="87"/>
  <c r="L11" i="87"/>
  <c r="F12" i="87"/>
  <c r="J12" i="87"/>
  <c r="E13" i="87"/>
  <c r="I13" i="87"/>
  <c r="M13" i="87"/>
  <c r="I14" i="87"/>
  <c r="M14" i="87"/>
  <c r="J15" i="87"/>
  <c r="H16" i="87"/>
  <c r="L16" i="87"/>
  <c r="K17" i="87"/>
  <c r="K18" i="87"/>
  <c r="L19" i="87"/>
  <c r="M21" i="87"/>
  <c r="E4" i="87"/>
  <c r="I4" i="87"/>
  <c r="M4" i="87"/>
  <c r="D10" i="87"/>
  <c r="H10" i="87"/>
  <c r="L10" i="87"/>
  <c r="E11" i="87"/>
  <c r="I11" i="87"/>
  <c r="M11" i="87"/>
  <c r="G12" i="87"/>
  <c r="K12" i="87"/>
  <c r="F13" i="87"/>
  <c r="J13" i="87"/>
  <c r="F14" i="87"/>
  <c r="J14" i="87"/>
  <c r="G15" i="87"/>
  <c r="K15" i="87"/>
  <c r="I16" i="87"/>
  <c r="M16" i="87"/>
  <c r="L17" i="87"/>
  <c r="L18" i="87"/>
  <c r="M19" i="87"/>
  <c r="M20" i="87"/>
  <c r="D4" i="87"/>
  <c r="H4" i="87"/>
  <c r="L4" i="87"/>
  <c r="E10" i="87"/>
  <c r="I10" i="87"/>
  <c r="M10" i="87"/>
  <c r="F11" i="87"/>
  <c r="J11" i="87"/>
  <c r="D12" i="87"/>
  <c r="H12" i="87"/>
  <c r="L12" i="87"/>
  <c r="G13" i="87"/>
  <c r="K13" i="87"/>
  <c r="G14" i="87"/>
  <c r="K14" i="87"/>
  <c r="H15" i="87"/>
  <c r="L15" i="87"/>
  <c r="J16" i="87"/>
  <c r="I17" i="87"/>
  <c r="M17" i="87"/>
  <c r="M18" i="87"/>
  <c r="L20" i="87"/>
  <c r="C4" i="87"/>
  <c r="G4" i="87"/>
  <c r="K4" i="87"/>
  <c r="B10" i="87"/>
  <c r="B9" i="87" s="1"/>
  <c r="B22" i="87" s="1"/>
  <c r="C7" i="87" s="1"/>
  <c r="F10" i="87"/>
  <c r="F9" i="87" s="1"/>
  <c r="J10" i="87"/>
  <c r="C11" i="87"/>
  <c r="G11" i="87"/>
  <c r="K11" i="87"/>
  <c r="E12" i="87"/>
  <c r="I12" i="87"/>
  <c r="M12" i="87"/>
  <c r="H13" i="87"/>
  <c r="L13" i="87"/>
  <c r="H14" i="87"/>
  <c r="L14" i="87"/>
  <c r="I15" i="87"/>
  <c r="M15" i="87"/>
  <c r="K16" i="87"/>
  <c r="J17" i="87"/>
  <c r="J18" i="87"/>
  <c r="K19" i="87"/>
  <c r="C46" i="46"/>
  <c r="D5" i="46" s="1"/>
  <c r="B5" i="87" l="1"/>
  <c r="C3" i="87" s="1"/>
  <c r="C5" i="87" s="1"/>
  <c r="D3" i="87" s="1"/>
  <c r="D5" i="87" s="1"/>
  <c r="E3" i="87" s="1"/>
  <c r="E5" i="87" s="1"/>
  <c r="F3" i="87" s="1"/>
  <c r="F5" i="87" s="1"/>
  <c r="G3" i="87" s="1"/>
  <c r="G5" i="87" s="1"/>
  <c r="H3" i="87" s="1"/>
  <c r="H5" i="87" s="1"/>
  <c r="I3" i="87" s="1"/>
  <c r="I5" i="87" s="1"/>
  <c r="J3" i="87" s="1"/>
  <c r="J5" i="87" s="1"/>
  <c r="K3" i="87" s="1"/>
  <c r="K5" i="87" s="1"/>
  <c r="L3" i="87" s="1"/>
  <c r="L5" i="87" s="1"/>
  <c r="M3" i="87" s="1"/>
  <c r="M5" i="87" s="1"/>
  <c r="B26" i="87"/>
  <c r="B27" i="87" s="1"/>
  <c r="C24" i="87" s="1"/>
  <c r="I9" i="87"/>
  <c r="I26" i="87" s="1"/>
  <c r="L9" i="87"/>
  <c r="L26" i="87" s="1"/>
  <c r="D9" i="87"/>
  <c r="D26" i="87" s="1"/>
  <c r="G9" i="87"/>
  <c r="G26" i="87" s="1"/>
  <c r="J9" i="87"/>
  <c r="J26" i="87" s="1"/>
  <c r="M9" i="87"/>
  <c r="M26" i="87" s="1"/>
  <c r="E9" i="87"/>
  <c r="E26" i="87" s="1"/>
  <c r="H9" i="87"/>
  <c r="H26" i="87" s="1"/>
  <c r="K9" i="87"/>
  <c r="K26" i="87" s="1"/>
  <c r="C9" i="87"/>
  <c r="C26" i="87" s="1"/>
  <c r="F26" i="87"/>
  <c r="D46" i="46"/>
  <c r="E5" i="46" s="1"/>
  <c r="C22" i="87" l="1"/>
  <c r="D7" i="87" s="1"/>
  <c r="D22" i="87" s="1"/>
  <c r="E7" i="87" s="1"/>
  <c r="E22" i="87" s="1"/>
  <c r="F7" i="87" s="1"/>
  <c r="F22" i="87" s="1"/>
  <c r="G7" i="87" s="1"/>
  <c r="G22" i="87" s="1"/>
  <c r="H7" i="87" s="1"/>
  <c r="H22" i="87" s="1"/>
  <c r="I7" i="87" s="1"/>
  <c r="I22" i="87" s="1"/>
  <c r="J7" i="87" s="1"/>
  <c r="J22" i="87" s="1"/>
  <c r="K7" i="87" s="1"/>
  <c r="K22" i="87" s="1"/>
  <c r="L7" i="87" s="1"/>
  <c r="L22" i="87" s="1"/>
  <c r="M7" i="87" s="1"/>
  <c r="M22" i="87" s="1"/>
  <c r="C27" i="87"/>
  <c r="D24" i="87" s="1"/>
  <c r="D27" i="87" s="1"/>
  <c r="E24" i="87" s="1"/>
  <c r="E27" i="87" s="1"/>
  <c r="F24" i="87" s="1"/>
  <c r="F27" i="87" s="1"/>
  <c r="G24" i="87" s="1"/>
  <c r="G27" i="87" s="1"/>
  <c r="H24" i="87" s="1"/>
  <c r="H27" i="87" s="1"/>
  <c r="I24" i="87" s="1"/>
  <c r="I27" i="87" s="1"/>
  <c r="J24" i="87" s="1"/>
  <c r="J27" i="87" s="1"/>
  <c r="K24" i="87" s="1"/>
  <c r="K27" i="87" s="1"/>
  <c r="L24" i="87" s="1"/>
  <c r="L27" i="87" s="1"/>
  <c r="M24" i="87" s="1"/>
  <c r="M27" i="87" s="1"/>
  <c r="E46" i="46"/>
  <c r="F5" i="46" s="1"/>
  <c r="F46" i="46" s="1"/>
  <c r="G5" i="46" s="1"/>
  <c r="G46" i="46" s="1"/>
  <c r="L13" i="46"/>
  <c r="L7" i="46" s="1"/>
  <c r="H5" i="46" l="1"/>
  <c r="H46" i="46" s="1"/>
  <c r="I5" i="46" l="1"/>
  <c r="I46" i="46" s="1"/>
  <c r="M13" i="46" l="1"/>
  <c r="M7" i="46" s="1"/>
  <c r="J5" i="46"/>
  <c r="J46" i="46" s="1"/>
  <c r="K5" i="46" l="1"/>
  <c r="K46" i="46" s="1"/>
  <c r="L5" i="46" l="1"/>
  <c r="L46" i="46" s="1"/>
  <c r="M5" i="46" l="1"/>
  <c r="M46" i="46" l="1"/>
  <c r="A13" i="45" l="1"/>
  <c r="D17" i="45" l="1"/>
  <c r="D18" i="45" s="1"/>
  <c r="B18" i="45" l="1"/>
  <c r="E13" i="45"/>
  <c r="E17" i="45" l="1"/>
  <c r="E18" i="45" s="1"/>
  <c r="F13" i="45" l="1"/>
  <c r="F17" i="45" l="1"/>
  <c r="F18" i="45" s="1"/>
  <c r="G13" i="45" l="1"/>
  <c r="G17" i="45" l="1"/>
  <c r="G18" i="45" s="1"/>
  <c r="H13" i="45" l="1"/>
  <c r="H17" i="45" l="1"/>
  <c r="H18" i="45" s="1"/>
  <c r="I13" i="45" l="1"/>
  <c r="I17" i="45" l="1"/>
  <c r="I18" i="45" s="1"/>
  <c r="J13" i="45" l="1"/>
  <c r="J17" i="45" l="1"/>
  <c r="J18" i="45" s="1"/>
  <c r="K13" i="45" l="1"/>
  <c r="K17" i="45" l="1"/>
  <c r="K18" i="45" s="1"/>
  <c r="L13" i="45" l="1"/>
  <c r="L17" i="45" l="1"/>
  <c r="L18" i="45" s="1"/>
  <c r="M13" i="45" l="1"/>
  <c r="M17" i="45" l="1"/>
  <c r="M18" i="45" s="1"/>
  <c r="N13" i="45" l="1"/>
  <c r="N17" i="45" l="1"/>
  <c r="N18" i="45" s="1"/>
  <c r="O13" i="45" l="1"/>
  <c r="O17" i="45" l="1"/>
  <c r="O18" i="45" s="1"/>
</calcChain>
</file>

<file path=xl/comments1.xml><?xml version="1.0" encoding="utf-8"?>
<comments xmlns="http://schemas.openxmlformats.org/spreadsheetml/2006/main">
  <authors>
    <author>ANTONIO CARLOS</author>
  </authors>
  <commentList>
    <comment ref="E19" authorId="0">
      <text>
        <r>
          <rPr>
            <sz val="9"/>
            <color indexed="81"/>
            <rFont val="Tahoma"/>
            <family val="2"/>
          </rPr>
          <t>total do custo em qtde dividido pelo nº de meses de projeção ( no caso 12 meses) x PME dividido por 30</t>
        </r>
      </text>
    </comment>
    <comment ref="E25" authorId="0">
      <text>
        <r>
          <rPr>
            <sz val="9"/>
            <color indexed="81"/>
            <rFont val="Tahoma"/>
            <family val="2"/>
          </rPr>
          <t>total do custo em qtde dividido pelo nº de meses de projeção ( no caso 12 meses) x PME dividido por 30</t>
        </r>
      </text>
    </comment>
    <comment ref="E31" authorId="0">
      <text>
        <r>
          <rPr>
            <sz val="9"/>
            <color indexed="81"/>
            <rFont val="Tahoma"/>
            <family val="2"/>
          </rPr>
          <t>total do custo em qtde dividido pelo nº de meses de projeção ( no caso 12 meses) x PME dividido por 30</t>
        </r>
      </text>
    </comment>
  </commentList>
</comments>
</file>

<file path=xl/sharedStrings.xml><?xml version="1.0" encoding="utf-8"?>
<sst xmlns="http://schemas.openxmlformats.org/spreadsheetml/2006/main" count="1262" uniqueCount="726">
  <si>
    <t>PIS/COFINS</t>
  </si>
  <si>
    <t>ICMS</t>
  </si>
  <si>
    <t>Impostos a Recuperar</t>
  </si>
  <si>
    <t>Fornecedores</t>
  </si>
  <si>
    <t>IPI</t>
  </si>
  <si>
    <t>%</t>
  </si>
  <si>
    <t>Código</t>
  </si>
  <si>
    <t>Nome</t>
  </si>
  <si>
    <t>Nome do Produto</t>
  </si>
  <si>
    <t>Valor Unitário</t>
  </si>
  <si>
    <t>PMP</t>
  </si>
  <si>
    <t>PMR</t>
  </si>
  <si>
    <t>Vendas</t>
  </si>
  <si>
    <t>Ativo Circulante</t>
  </si>
  <si>
    <t>Passivo Circulante</t>
  </si>
  <si>
    <t xml:space="preserve">Deductions </t>
  </si>
  <si>
    <t>Cost of Sales and Service</t>
  </si>
  <si>
    <t>Operating Expenses/Income</t>
  </si>
  <si>
    <t>Administrative Expenses</t>
  </si>
  <si>
    <t>Classificação</t>
  </si>
  <si>
    <t>Custos/Despesas</t>
  </si>
  <si>
    <t>Custo Fixo</t>
  </si>
  <si>
    <t>Despesa Fixa</t>
  </si>
  <si>
    <t>Custo Variável</t>
  </si>
  <si>
    <t>Despesa Variável</t>
  </si>
  <si>
    <t>Produtos</t>
  </si>
  <si>
    <t>Compras</t>
  </si>
  <si>
    <t>NCM</t>
  </si>
  <si>
    <t>Total</t>
  </si>
  <si>
    <t>Valor Unit.</t>
  </si>
  <si>
    <t>ICMS ST</t>
  </si>
  <si>
    <t>Qtde.</t>
  </si>
  <si>
    <t>Valor Total</t>
  </si>
  <si>
    <t>Frete</t>
  </si>
  <si>
    <t>Seguro</t>
  </si>
  <si>
    <t>Outras Desp.</t>
  </si>
  <si>
    <t>F/S/O</t>
  </si>
  <si>
    <t xml:space="preserve">ICMS </t>
  </si>
  <si>
    <t>Dados do Produto na Entrada</t>
  </si>
  <si>
    <t>Cálculo do Imposto na Entrada</t>
  </si>
  <si>
    <t>Cálculo dos Valores Unitários- Compra</t>
  </si>
  <si>
    <t>Tributação na Venda</t>
  </si>
  <si>
    <t>CUSTO NOS</t>
  </si>
  <si>
    <t>ESTOQUES</t>
  </si>
  <si>
    <t>Venda</t>
  </si>
  <si>
    <t>ICMS a Recuperar</t>
  </si>
  <si>
    <t>Dados do Produto na Saída</t>
  </si>
  <si>
    <t>Valor</t>
  </si>
  <si>
    <t>Valor Unitário de</t>
  </si>
  <si>
    <t>Ciclo Financeiro e NCG</t>
  </si>
  <si>
    <t>PME</t>
  </si>
  <si>
    <t>NCG</t>
  </si>
  <si>
    <t>(dias)</t>
  </si>
  <si>
    <t>data do</t>
  </si>
  <si>
    <t>Input</t>
  </si>
  <si>
    <t>R$ Unit.</t>
  </si>
  <si>
    <t>R$</t>
  </si>
  <si>
    <t>FAMILIA/PRODUTOS</t>
  </si>
  <si>
    <t>Descrição</t>
  </si>
  <si>
    <t>Produto</t>
  </si>
  <si>
    <t>Frete/Seguro/Despesas</t>
  </si>
  <si>
    <t>Valor Total Unitário</t>
  </si>
  <si>
    <t>PIS/COFINS a Recuperar</t>
  </si>
  <si>
    <t>Custo nos Estoques</t>
  </si>
  <si>
    <t>ICMS sobre Vendas</t>
  </si>
  <si>
    <t>Preço cadastrado</t>
  </si>
  <si>
    <t>PIS/COFINS sobre Vendas</t>
  </si>
  <si>
    <t>Capital de Giro ( dias)</t>
  </si>
  <si>
    <t>% Outros no PV</t>
  </si>
  <si>
    <t>Outros Custos Unit.</t>
  </si>
  <si>
    <t>% de Custo Financeiro a.m.</t>
  </si>
  <si>
    <t xml:space="preserve">Dados Adicionais ( Input) </t>
  </si>
  <si>
    <t>Mark up sobre Custos</t>
  </si>
  <si>
    <t>Preço Unitário</t>
  </si>
  <si>
    <t>% de ICMS sobre Vendas</t>
  </si>
  <si>
    <t>% PIS/COFINS sobre Vendas</t>
  </si>
  <si>
    <t>Preço Total</t>
  </si>
  <si>
    <t>Margem Total</t>
  </si>
  <si>
    <t>Margem Bruta Desejada</t>
  </si>
  <si>
    <t>Margem Bruta Unit.</t>
  </si>
  <si>
    <t>Demonstração do Resultado Unitário</t>
  </si>
  <si>
    <t>(-) PIS/COFINS</t>
  </si>
  <si>
    <t xml:space="preserve">(-) ICMS </t>
  </si>
  <si>
    <t>(-) Comissões</t>
  </si>
  <si>
    <t>% de Comissões</t>
  </si>
  <si>
    <t>(-) Outros % no PV</t>
  </si>
  <si>
    <t>(-) Custo Financeiro</t>
  </si>
  <si>
    <t>(-) Custos Diretos</t>
  </si>
  <si>
    <t>Margem Bruta</t>
  </si>
  <si>
    <t>Demonstração do Resultado Total</t>
  </si>
  <si>
    <t>Margem Bruta %</t>
  </si>
  <si>
    <t>Volume de Vendas/mês</t>
  </si>
  <si>
    <t>Necessidade de CG/mês</t>
  </si>
  <si>
    <t>% NCG x Vendas</t>
  </si>
  <si>
    <t>Cálculo de Preços e Margens</t>
  </si>
  <si>
    <t>Observações Empresa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</si>
  <si>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</si>
  <si>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</si>
  <si>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</si>
  <si>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</si>
  <si>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</si>
  <si>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</si>
  <si>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</si>
  <si>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</si>
  <si>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</si>
  <si>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</si>
  <si>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</si>
  <si>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</si>
  <si>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Familia</t>
  </si>
  <si>
    <t>Codigo</t>
  </si>
  <si>
    <t>Contas a Pagar</t>
  </si>
  <si>
    <t>Comissões a Pagar</t>
  </si>
  <si>
    <t>Alugueis a Pagar</t>
  </si>
  <si>
    <t>Salarios</t>
  </si>
  <si>
    <t>Empréstimos</t>
  </si>
  <si>
    <t>Saldo Final</t>
  </si>
  <si>
    <t>Impostos a Pagar</t>
  </si>
  <si>
    <t>Capital Circulante</t>
  </si>
  <si>
    <t>Caixa</t>
  </si>
  <si>
    <t>Contas a Receber</t>
  </si>
  <si>
    <t>Estoque</t>
  </si>
  <si>
    <t>CCL</t>
  </si>
  <si>
    <t>Necessidade de Cap.Giro</t>
  </si>
  <si>
    <t xml:space="preserve">  Valor Aplicado</t>
  </si>
  <si>
    <t xml:space="preserve">  Valor Financiado</t>
  </si>
  <si>
    <t>NCG x CCL</t>
  </si>
  <si>
    <t>2008 R</t>
  </si>
  <si>
    <t>2009 R</t>
  </si>
  <si>
    <t>2010 R</t>
  </si>
  <si>
    <t>2011 R</t>
  </si>
  <si>
    <t>2012 P</t>
  </si>
  <si>
    <t>Ponto de Equilibrio</t>
  </si>
  <si>
    <t>Receita Bruta de Vendas</t>
  </si>
  <si>
    <t>Margem de Contribuição</t>
  </si>
  <si>
    <t>Despesas Fixas</t>
  </si>
  <si>
    <t>Simulação de Ponto de Equlibrio</t>
  </si>
  <si>
    <t>Margem Simulada %</t>
  </si>
  <si>
    <t>Despesas Variavéis</t>
  </si>
  <si>
    <t>Margem Ajustada</t>
  </si>
  <si>
    <t>% de Margem</t>
  </si>
  <si>
    <t>Ponto de Equilibrio 1- Operacional</t>
  </si>
  <si>
    <t>Despesas Fixas + Despesas Financeiras</t>
  </si>
  <si>
    <t>Ponto de Equilibrio 2- incluindo Juros</t>
  </si>
  <si>
    <t>Despesas + Investimentos+ Amortização Divida</t>
  </si>
  <si>
    <t>Ponto de Equilibrio 3- incluindo Juros</t>
  </si>
  <si>
    <t>% a +</t>
  </si>
  <si>
    <t>Custos e Despesas Fixas</t>
  </si>
  <si>
    <t>Custos e Despesas Fixas+ Despesas Financeiras</t>
  </si>
  <si>
    <t>Despesas Totais + CAPEX</t>
  </si>
  <si>
    <t>Despesas Totais + CAPEX+ Amortização da Divida</t>
  </si>
  <si>
    <t>Receita Bruta Simulada- PE 1</t>
  </si>
  <si>
    <t>Receita Bruta Simulada-PE 2</t>
  </si>
  <si>
    <t>Receita Bruta Simulada-PE 3</t>
  </si>
  <si>
    <t>Receita Bruta Simulada-PE 4</t>
  </si>
  <si>
    <t>Variações</t>
  </si>
  <si>
    <t>fins de Orçamento</t>
  </si>
  <si>
    <t>Preço Unit. para</t>
  </si>
  <si>
    <t>Nome da Familia</t>
  </si>
  <si>
    <t>Cod.Produto</t>
  </si>
  <si>
    <t>Unidade</t>
  </si>
  <si>
    <t>Cod. Fam.</t>
  </si>
  <si>
    <t>Produtos Nacionais</t>
  </si>
  <si>
    <t>FORMAÇÃO DE PREÇO DE VENDA- NACIONAL</t>
  </si>
  <si>
    <t>Compras do Mês</t>
  </si>
  <si>
    <t>(=) Estoque Final</t>
  </si>
  <si>
    <t>Saldo Inicial</t>
  </si>
  <si>
    <t>(+) Compras pelo Custo</t>
  </si>
  <si>
    <t>(-) Baixas pelas Vendas</t>
  </si>
  <si>
    <t>Crédito nas Compras</t>
  </si>
  <si>
    <t>Débito nas Vendas</t>
  </si>
  <si>
    <t>Saldo Inicial a Recolher ( Recuperar)</t>
  </si>
  <si>
    <t>Pagamentos</t>
  </si>
  <si>
    <t>Saldo do mês</t>
  </si>
  <si>
    <t>Aba excel</t>
  </si>
  <si>
    <t>I. Cadastro</t>
  </si>
  <si>
    <t>Cadastro</t>
  </si>
  <si>
    <t>Dados Gerais</t>
  </si>
  <si>
    <t xml:space="preserve">Regime Tributário </t>
  </si>
  <si>
    <t>Cadastro PCP</t>
  </si>
  <si>
    <t>Plano de Contas Patrimonial</t>
  </si>
  <si>
    <t>Cadastro PCR</t>
  </si>
  <si>
    <t>Plano de Contas Resultado</t>
  </si>
  <si>
    <t>Cadastro PCCG</t>
  </si>
  <si>
    <t>Plano de Contas Capital de Giro</t>
  </si>
  <si>
    <t>Conversão Plano de Contas</t>
  </si>
  <si>
    <t>Custos e Despesas</t>
  </si>
  <si>
    <t>Parametrização dos Indicadores</t>
  </si>
  <si>
    <t>II. Dados Para Projeções</t>
  </si>
  <si>
    <t>Impostos</t>
  </si>
  <si>
    <t>Realizável a Longo Prazo</t>
  </si>
  <si>
    <t>Investimentos</t>
  </si>
  <si>
    <t>Imobilizado</t>
  </si>
  <si>
    <t>Intangivel</t>
  </si>
  <si>
    <t>Exigivel a Longo Prazo</t>
  </si>
  <si>
    <t>Patrimonio Líquido</t>
  </si>
  <si>
    <t>Endividamento</t>
  </si>
  <si>
    <t>III. Relatórios</t>
  </si>
  <si>
    <t>III.1 Banco de Dados Histórico</t>
  </si>
  <si>
    <t>Balanço Patrimonial</t>
  </si>
  <si>
    <t>Demonstração de Resultados</t>
  </si>
  <si>
    <t>Demonstração de Fluxo de Caixa</t>
  </si>
  <si>
    <t>Analise da Margem de Contribuição</t>
  </si>
  <si>
    <t>Análise Vertical e Horizontal de Resultados</t>
  </si>
  <si>
    <t>Demonstração da Evolução do Capital de Giro X NCG</t>
  </si>
  <si>
    <t>Demonstração da Evolução dos Custos Fixos</t>
  </si>
  <si>
    <t>Demonstração dos Niveis de Ponto de Equilibrio</t>
  </si>
  <si>
    <t>Indicadores Economicos e Financeiros</t>
  </si>
  <si>
    <t>III.2 Projeções e Simulações</t>
  </si>
  <si>
    <t>Simulações de Preços ( Volumes x Margem x Caixa)</t>
  </si>
  <si>
    <t>Resultado Projetado</t>
  </si>
  <si>
    <t>Balanço Projetado</t>
  </si>
  <si>
    <t>Projeções de Capital de Giro x Necessidades</t>
  </si>
  <si>
    <t>Projeções de Cenários Pré Orçamentários</t>
  </si>
  <si>
    <t>Projeções de Fluxo de Caixa</t>
  </si>
  <si>
    <t>Projeções de Ponto de Equibrio Economico e Financeiro</t>
  </si>
  <si>
    <t>Projeções de Investimentos e Efeitos no Fluxo de Caixa</t>
  </si>
  <si>
    <t>Projeções Financeiras- One page Report</t>
  </si>
  <si>
    <t>Simulações de Viabilidade de Projetos pelo FCD</t>
  </si>
  <si>
    <t>1. Dados Gerais</t>
  </si>
  <si>
    <t>Nome da Empresa</t>
  </si>
  <si>
    <t>Demo Com.e Ind. Ltda.</t>
  </si>
  <si>
    <t>Nome Fantasia</t>
  </si>
  <si>
    <t>Câmaras e Filmadoras</t>
  </si>
  <si>
    <t>Câmara Digital 3D 18.2 MP</t>
  </si>
  <si>
    <t>peça</t>
  </si>
  <si>
    <t>TV's e Audio</t>
  </si>
  <si>
    <t>TV 3 D 32"</t>
  </si>
  <si>
    <t>CNPJ</t>
  </si>
  <si>
    <t>00.000.000/0001-00</t>
  </si>
  <si>
    <t>Computadores</t>
  </si>
  <si>
    <t>Desktop Dual Core 2GB</t>
  </si>
  <si>
    <t xml:space="preserve">2. Regime Tributario </t>
  </si>
  <si>
    <t>Opção IR/CSSL</t>
  </si>
  <si>
    <t>Lucro Presumido</t>
  </si>
  <si>
    <t>Opção PIS e COFINS</t>
  </si>
  <si>
    <t>Não Cumulativo</t>
  </si>
  <si>
    <t>% Médio a Considerar NC na Compra</t>
  </si>
  <si>
    <t>% Médio a Considerar NC na Venda</t>
  </si>
  <si>
    <t>% Médio a Considerar Cumulativo na Venda</t>
  </si>
  <si>
    <t>% de Receita Incentivada</t>
  </si>
  <si>
    <t>Lucro Real</t>
  </si>
  <si>
    <t>% de Deduções da BC</t>
  </si>
  <si>
    <t>Aliquota % Normal de IR</t>
  </si>
  <si>
    <t>BC anual IR- Adicional</t>
  </si>
  <si>
    <t>Cumulativo</t>
  </si>
  <si>
    <t>% Adicional de IR</t>
  </si>
  <si>
    <t>Aliquota % de CSSL</t>
  </si>
  <si>
    <t>% Base Presunção de Receita Vendas</t>
  </si>
  <si>
    <t>% Base Presunção de Receita Serviços</t>
  </si>
  <si>
    <t>Aliquota Normal de IR</t>
  </si>
  <si>
    <t>% adicional de IR</t>
  </si>
  <si>
    <t>Aliquota de CSSL</t>
  </si>
  <si>
    <t>xxxx</t>
  </si>
  <si>
    <t>xx</t>
  </si>
  <si>
    <t>Nivel Sintetico</t>
  </si>
  <si>
    <t>Nivel Analitico</t>
  </si>
  <si>
    <t>Grupos de Contas Sintéticas</t>
  </si>
  <si>
    <t>Habilitar</t>
  </si>
  <si>
    <t>ATIVO</t>
  </si>
  <si>
    <t>Ativo Não Circulante</t>
  </si>
  <si>
    <t>Sim</t>
  </si>
  <si>
    <t>Intangível</t>
  </si>
  <si>
    <t>PASSIVO</t>
  </si>
  <si>
    <t>Passivo Não Circulante</t>
  </si>
  <si>
    <t>Patrimônio Líquido</t>
  </si>
  <si>
    <t>Detalhamento das Contas- Nivel  Analitico</t>
  </si>
  <si>
    <t>Adicionar</t>
  </si>
  <si>
    <t>Editar</t>
  </si>
  <si>
    <t>Excluir</t>
  </si>
  <si>
    <t>Disponivel</t>
  </si>
  <si>
    <t xml:space="preserve">Contas a Receber </t>
  </si>
  <si>
    <t>Estoques</t>
  </si>
  <si>
    <t>Outros Créditos</t>
  </si>
  <si>
    <t>Despesas Antecipadas</t>
  </si>
  <si>
    <t>OBS. Este procedimento de cadastramento do Plano de Contas Patrimonial exemplificado para o grupo do ativo circulante deve ser repetido para todos os demais grupos de contas sinteticos- Nivel 3 que tenham sido habilitados.</t>
  </si>
  <si>
    <t>Veja abaixo como devemos deixar o plano de contas patrimonial padrão</t>
  </si>
  <si>
    <t>Nomenclatura Padrão</t>
  </si>
  <si>
    <t>Investimentos Temporários</t>
  </si>
  <si>
    <t>Participações em Outras Sociedades</t>
  </si>
  <si>
    <t>Imobilizado em Operação</t>
  </si>
  <si>
    <t>Depreciação Acumulada</t>
  </si>
  <si>
    <t>Softwares</t>
  </si>
  <si>
    <t>Empréstimos e Financiamentos</t>
  </si>
  <si>
    <t>Salários e Encargos Sociais</t>
  </si>
  <si>
    <t>Provisão para Férias e 13.Salário</t>
  </si>
  <si>
    <t>Obrigações Fiscais</t>
  </si>
  <si>
    <t>Provisão para IR e CSSL</t>
  </si>
  <si>
    <t>Capital Social</t>
  </si>
  <si>
    <t>Reservas de Capital</t>
  </si>
  <si>
    <t>Reservas de Lucros</t>
  </si>
  <si>
    <t>Lucros/Prejuizos Acumulados</t>
  </si>
  <si>
    <t>Conta Contábil</t>
  </si>
  <si>
    <t xml:space="preserve">Resultado </t>
  </si>
  <si>
    <t>Revenue</t>
  </si>
  <si>
    <t>Formula</t>
  </si>
  <si>
    <t>Receita Bruta</t>
  </si>
  <si>
    <t>Gross Revenue</t>
  </si>
  <si>
    <t>Apuração do Resultado</t>
  </si>
  <si>
    <t>Deduções da Receita Bruta</t>
  </si>
  <si>
    <t>(a)</t>
  </si>
  <si>
    <t>Custo dos Produtos Vendidos</t>
  </si>
  <si>
    <t>(b)</t>
  </si>
  <si>
    <t>Depreciação no CPV</t>
  </si>
  <si>
    <t>Não</t>
  </si>
  <si>
    <t xml:space="preserve">( c) </t>
  </si>
  <si>
    <t>Receita Operacional Líquida</t>
  </si>
  <si>
    <t>(a) - (b)</t>
  </si>
  <si>
    <t>Despesas Operacionais</t>
  </si>
  <si>
    <t>(d)</t>
  </si>
  <si>
    <t>Despesas Administrativas</t>
  </si>
  <si>
    <t>(e)</t>
  </si>
  <si>
    <t>Lucro Bruto</t>
  </si>
  <si>
    <t>( c) - ( d)</t>
  </si>
  <si>
    <t>Depreciação Administrativa</t>
  </si>
  <si>
    <t>( f )</t>
  </si>
  <si>
    <t xml:space="preserve"> (g) + (h)</t>
  </si>
  <si>
    <t>Despesas Comerciais</t>
  </si>
  <si>
    <t>(g)</t>
  </si>
  <si>
    <t>Depreciação Comercial</t>
  </si>
  <si>
    <t xml:space="preserve">( h) </t>
  </si>
  <si>
    <t>Resultado Financeiro Líquido</t>
  </si>
  <si>
    <t>Financial Income</t>
  </si>
  <si>
    <t>( i)</t>
  </si>
  <si>
    <t>Resultado Operacional- EBIT</t>
  </si>
  <si>
    <t>( e) - ( f)</t>
  </si>
  <si>
    <t xml:space="preserve">IR/CSSL </t>
  </si>
  <si>
    <t>EBITDA</t>
  </si>
  <si>
    <t>(i) + contas de depreciação</t>
  </si>
  <si>
    <t>Resultado Extraordinário</t>
  </si>
  <si>
    <t>( j)</t>
  </si>
  <si>
    <t>Participações e Gratificações</t>
  </si>
  <si>
    <t>( k)</t>
  </si>
  <si>
    <t>Resultado antes do IR/CSSL</t>
  </si>
  <si>
    <t>( i) - ( j)</t>
  </si>
  <si>
    <t>( l)</t>
  </si>
  <si>
    <t>( m)</t>
  </si>
  <si>
    <t>(n)</t>
  </si>
  <si>
    <t>Resultado Líquido</t>
  </si>
  <si>
    <t>(k)-(l)-(m)</t>
  </si>
  <si>
    <t>Plano Padrão</t>
  </si>
  <si>
    <t>Revenda de Mercadorias</t>
  </si>
  <si>
    <t>Vendas Canceladas e Devoluções</t>
  </si>
  <si>
    <t>Impostos sobre a Receita</t>
  </si>
  <si>
    <t>Custo dos Produtos de Revenda</t>
  </si>
  <si>
    <t>Despesas com Administradores</t>
  </si>
  <si>
    <t xml:space="preserve">Despesas com o Pessoal </t>
  </si>
  <si>
    <t xml:space="preserve">Despesas com Ocupação </t>
  </si>
  <si>
    <t>Despesas com Utilidades</t>
  </si>
  <si>
    <t xml:space="preserve">Despesas  Gerais </t>
  </si>
  <si>
    <t>Depreciações e Amort. Administ.</t>
  </si>
  <si>
    <t>Comissões</t>
  </si>
  <si>
    <t>Fretes</t>
  </si>
  <si>
    <t>Despesas com o Pessoal Comercial</t>
  </si>
  <si>
    <t>Despesas Comerciais com Ocupação</t>
  </si>
  <si>
    <t>Despesas Comerciais com Utilidades</t>
  </si>
  <si>
    <t xml:space="preserve">Despesas Comerciais Gerais </t>
  </si>
  <si>
    <t>Depreciações e Amort. Comercial</t>
  </si>
  <si>
    <t>Despesas Financeiras</t>
  </si>
  <si>
    <t>Despesa de Juros</t>
  </si>
  <si>
    <t>Receitas Financeiras</t>
  </si>
  <si>
    <t>Juros Auferidos</t>
  </si>
  <si>
    <t>IR/CSSL e Participações</t>
  </si>
  <si>
    <t>Prov. p/ IR e CSSL</t>
  </si>
  <si>
    <t>Cadastro Plano de Contas do Capital de Giro</t>
  </si>
  <si>
    <t>1º passo: Após feito o cadastramento do Plano de Contas Patrimonial, importar as contas de Ativo Circulante ( 1100 ) e Passivo Circulante ( 2100)</t>
  </si>
  <si>
    <t>2º passo:  Cadastrar as contas de NCG</t>
  </si>
  <si>
    <t>Contas dos Grupos de Ativo e Passivo Circulante</t>
  </si>
  <si>
    <t>Conta</t>
  </si>
  <si>
    <t>Cadastramento das Contas de Necessidade de CG</t>
  </si>
  <si>
    <t>ATIVOS CICLICOS</t>
  </si>
  <si>
    <t>Outros Ativos</t>
  </si>
  <si>
    <t>PASSIVOS  CICLICOS</t>
  </si>
  <si>
    <t>Salarios e Encargos</t>
  </si>
  <si>
    <t>Outros Passivos</t>
  </si>
  <si>
    <t>Contrapartida</t>
  </si>
  <si>
    <t>D/C</t>
  </si>
  <si>
    <t>D</t>
  </si>
  <si>
    <t>C</t>
  </si>
  <si>
    <t>Cadastro de Indicadores Economico e Financeiro</t>
  </si>
  <si>
    <t>Calculos serão demonstrados no Demo</t>
  </si>
  <si>
    <t>Habilitação</t>
  </si>
  <si>
    <t>Indices de Liquidez</t>
  </si>
  <si>
    <t>Liquidez Corrente</t>
  </si>
  <si>
    <t>Liquidez Seca</t>
  </si>
  <si>
    <t>Liquidez Geral</t>
  </si>
  <si>
    <t>Estrutura de Capital</t>
  </si>
  <si>
    <t>% de Capital de Terceiros</t>
  </si>
  <si>
    <t>% de Imobilização</t>
  </si>
  <si>
    <t>Custo da Dívida</t>
  </si>
  <si>
    <t>Rentabilidade</t>
  </si>
  <si>
    <t>Giro do Ativo Médio</t>
  </si>
  <si>
    <t>Rentabilidade do Ativo</t>
  </si>
  <si>
    <t>Rentabilidade do PL</t>
  </si>
  <si>
    <t>Margem Líquida</t>
  </si>
  <si>
    <t>Retorno sobre Patrimônio</t>
  </si>
  <si>
    <t>% EBIT</t>
  </si>
  <si>
    <t>% EBITDA</t>
  </si>
  <si>
    <t>Custos e Despesas  x Receitas</t>
  </si>
  <si>
    <t>SG &amp;A sobre ROL</t>
  </si>
  <si>
    <t>Despesas Financeiras sobre ROL</t>
  </si>
  <si>
    <t>Ponto de Equilibrio Operacional</t>
  </si>
  <si>
    <t>% PEO x Receita Liquida</t>
  </si>
  <si>
    <t>Ponto de Equilibrio Financeiro</t>
  </si>
  <si>
    <t>% PEF x Receita Líquida</t>
  </si>
  <si>
    <t>Prazos Médios</t>
  </si>
  <si>
    <t>PM de Recebimentos- PMR</t>
  </si>
  <si>
    <t>PM de Rotação dos Estoques-PME</t>
  </si>
  <si>
    <t>PM de Pagamentos-PMP</t>
  </si>
  <si>
    <t>Ciclo Financeiro</t>
  </si>
  <si>
    <t>Divida de CP ( dias de vendas)</t>
  </si>
  <si>
    <t>Divida de CP+LP (dias de Vendas)</t>
  </si>
  <si>
    <t>CG  (dias de Vendas)</t>
  </si>
  <si>
    <t>Divida de CP ( dias de MC)</t>
  </si>
  <si>
    <t>Divida de CP+LP (dias de MC)</t>
  </si>
  <si>
    <t>CG  (dias de MC)</t>
  </si>
  <si>
    <t>Cadastro de Limites de Crédito e Taxas</t>
  </si>
  <si>
    <t>% Juros a.m.</t>
  </si>
  <si>
    <t>3. Familia e Produtos Revenda Nacional</t>
  </si>
  <si>
    <t>Familia e Produtos Revenda Nacional</t>
  </si>
  <si>
    <t>Lay Out para Importação de Arquivos- Produtos Revenda Nacional</t>
  </si>
  <si>
    <t>Estrutura de Cálculo dos Custos Produtos Revenda Nacional</t>
  </si>
  <si>
    <t>Template de Orçamento de Vendas em Quantidade</t>
  </si>
  <si>
    <t>Template de Orçamento de Compras em R$</t>
  </si>
  <si>
    <t>Template da Movimentação de Compras e Fornecedores</t>
  </si>
  <si>
    <t>Template da Apuração dos Custos dos Produtos Vendidos</t>
  </si>
  <si>
    <t>Template da Movimentação dos Estoques</t>
  </si>
  <si>
    <t>Template da Movimentação do ICMS</t>
  </si>
  <si>
    <t>Template da Movimentação do PIS/COFINS</t>
  </si>
  <si>
    <t>Familia e Produtos Revenda de Importados</t>
  </si>
  <si>
    <t>Lay Out para Importação de Arquivos- Produtos Revenda Importados</t>
  </si>
  <si>
    <t>Estrutura de Cálculo dos Custos Produtos Revenda Importados</t>
  </si>
  <si>
    <t>Template da Movimentação do IPI</t>
  </si>
  <si>
    <t>Familia e Produtos Fabricação Própria</t>
  </si>
  <si>
    <t>Lay Out para Importação de Arquivos- Produtos Fabricação Própria</t>
  </si>
  <si>
    <t>Estrutura de Cálculo dos Custos Produtos Fabricação Própria</t>
  </si>
  <si>
    <t>Template Cálculo de Custos e Formação de Preços</t>
  </si>
  <si>
    <t>x A desenvolver</t>
  </si>
  <si>
    <t>Função de Cálculo</t>
  </si>
  <si>
    <t>Função de Cálculo ( transporte)</t>
  </si>
  <si>
    <t>(+) transporte de saldos entre periodos</t>
  </si>
  <si>
    <t>Lucro/Prejuizo do Período</t>
  </si>
  <si>
    <t>Tabela 1- Contas Patrimoniais</t>
  </si>
  <si>
    <t>Tabela 2- Contas de Resultado</t>
  </si>
  <si>
    <t>Parametriza 1</t>
  </si>
  <si>
    <t>Parametrização Contas Patrimoniais</t>
  </si>
  <si>
    <t>Parametriza 2</t>
  </si>
  <si>
    <t>Obs.</t>
  </si>
  <si>
    <t xml:space="preserve">As parametrizações tem como utilidade SOMENTE as projeções. </t>
  </si>
  <si>
    <t>Para os dados históricos deve ser utilizada a conversão do plano de contas da empresa para o plano de contas padrão ajustado.</t>
  </si>
  <si>
    <t>As contas marcadas ( sinteticas) são totalizadoras, portanto não sujeitas a parametrizações.</t>
  </si>
  <si>
    <t>As contas do Patrimonio Líquido marcadas não devem ser parametrizadas, exceto a conta de capital e resultado do período.</t>
  </si>
  <si>
    <t>Toda a Conta analitica cadastrada DEVE  ter uma origem de dados</t>
  </si>
  <si>
    <t>Origem dos Dados- NT</t>
  </si>
  <si>
    <t>Origem dos Dados- IT</t>
  </si>
  <si>
    <t>Origem dos Dados- PT</t>
  </si>
  <si>
    <t>Parametrização</t>
  </si>
  <si>
    <t xml:space="preserve">NT9- ICMS </t>
  </si>
  <si>
    <t>NT 10 PIS e COFINS</t>
  </si>
  <si>
    <t>NT 1- Orçamento de Vendas em Quantidades</t>
  </si>
  <si>
    <t>1º Passo; Classificação de Custos e Despesas conforme indicado na Coluna E. Contas sinteticas não tem classificação ( Em branco). Idem para as Contas de Receitas e IR</t>
  </si>
  <si>
    <t xml:space="preserve">C/P </t>
  </si>
  <si>
    <t>Parametrização Resultado Bruto</t>
  </si>
  <si>
    <t>Parametrização Despesas e Receitas Operacionais</t>
  </si>
  <si>
    <t>Parametriza 3</t>
  </si>
  <si>
    <t>21003Salários e Encargos Sociais</t>
  </si>
  <si>
    <t>21006Contas a Pagar</t>
  </si>
  <si>
    <t>12032Depreciação Acumulada</t>
  </si>
  <si>
    <t>21002Empréstimos e Financiamentos</t>
  </si>
  <si>
    <t>12011Investimentos Temporários</t>
  </si>
  <si>
    <t>Fonte: Colunas A a E ( Parametriza 2)</t>
  </si>
  <si>
    <t>Origem Outras Contas</t>
  </si>
  <si>
    <t>Valor de Venda</t>
  </si>
  <si>
    <t>Resultado da Desmobilização</t>
  </si>
  <si>
    <t>Saldo Inicial Custo</t>
  </si>
  <si>
    <t>Saldo Inicial Depreciação Acumulada</t>
  </si>
  <si>
    <t>Valor Residual Saldo Inicial</t>
  </si>
  <si>
    <t>Saldo Final Valor Residual</t>
  </si>
  <si>
    <t>Saldo Final Custo</t>
  </si>
  <si>
    <t>Saldo Final Depreciação Acumulada</t>
  </si>
  <si>
    <t>Saldo Inicial Empréstimos no Circulante</t>
  </si>
  <si>
    <t>Saldo Final de Empréstimos no Circulante</t>
  </si>
  <si>
    <t>Saldo Inicial Empréstimos no ELP</t>
  </si>
  <si>
    <t>Saldo Final de Empréstimos no Longo Prazo</t>
  </si>
  <si>
    <t>Saldo Inicial da Conta Capital</t>
  </si>
  <si>
    <t>Saldo Final da Conta Capital</t>
  </si>
  <si>
    <t xml:space="preserve">Saldo Inicial das Contas de Reservas </t>
  </si>
  <si>
    <t>Saldo Inicial das Contas de Lucros Acumulados</t>
  </si>
  <si>
    <t xml:space="preserve">Resultado do Período </t>
  </si>
  <si>
    <t>Parametrização das Movimentações</t>
  </si>
  <si>
    <t>Parametriza 4</t>
  </si>
  <si>
    <t>Parametriza 5</t>
  </si>
  <si>
    <t>Parametriza 6</t>
  </si>
  <si>
    <t>Parametrização de Limites de Crédito e Taxas</t>
  </si>
  <si>
    <t>Dados de Movimentações das Projeções</t>
  </si>
  <si>
    <t>Fluxo de Caixa Projetado</t>
  </si>
  <si>
    <t>I. FLUXO OPERACIONAL</t>
  </si>
  <si>
    <t>Recebimento das Vendas de de Produtos Nacionais</t>
  </si>
  <si>
    <t>Recebimento das Vendas de de Produtos Importados</t>
  </si>
  <si>
    <t>Recebimento das Vendas de de Produtos Próprios</t>
  </si>
  <si>
    <t>I.1 ENTRADAS OPERACIONAIS</t>
  </si>
  <si>
    <t>I.2 SAÍDAS OPERACIONAIS</t>
  </si>
  <si>
    <t>Compras de Produtos Nacionais</t>
  </si>
  <si>
    <t>Compras de Produtos Importados</t>
  </si>
  <si>
    <t>Compra de Materiais Produtos Próprios</t>
  </si>
  <si>
    <t>Fornecedores de Produtos</t>
  </si>
  <si>
    <t>Pagamento de Impostos</t>
  </si>
  <si>
    <t>Aplicação em Outros Créditos</t>
  </si>
  <si>
    <t>I.2 Outras Entradas Operacionais</t>
  </si>
  <si>
    <t>Pagamentos de Salários e Encargos</t>
  </si>
  <si>
    <t>Pagamento de Contas a Pagar</t>
  </si>
  <si>
    <t>II.  FLUXO FINANCEIRO</t>
  </si>
  <si>
    <t>II.1 ENTRADAS DE RECURSOS</t>
  </si>
  <si>
    <t>Obtenção de Empréstimos a Curto Prazo</t>
  </si>
  <si>
    <t>Obtenção de Empréstimos a Longo Prazo</t>
  </si>
  <si>
    <t>II.2 SAÍDAS DE RECURSOS</t>
  </si>
  <si>
    <t>Pagamentos de Empréstimos de Curto Prazo</t>
  </si>
  <si>
    <t>Pagamentos de Empréstimos de Longo Prazo</t>
  </si>
  <si>
    <t>Pagamento de Juros e despesas financeiras</t>
  </si>
  <si>
    <t>Aplicações Financeiras</t>
  </si>
  <si>
    <t>Resgate de Aplicações Financeiras</t>
  </si>
  <si>
    <t>Receitas Financeiras Recebidas</t>
  </si>
  <si>
    <t>Integralização de Capital dos Sócios em Dinheiro</t>
  </si>
  <si>
    <t>Integralização de Capital em Dinheiro</t>
  </si>
  <si>
    <t>Integralização de Capital em Bens</t>
  </si>
  <si>
    <t>Reembolso de Capital em Bens</t>
  </si>
  <si>
    <t>Entradas por desmobilização de ativos</t>
  </si>
  <si>
    <t>III.  FLUXO DE  INVESTIMENTOS</t>
  </si>
  <si>
    <t>III.1 ENTRADAS DE RECURSOS</t>
  </si>
  <si>
    <t>III.2 SAÍDAS DE RECURSOS</t>
  </si>
  <si>
    <t>Empréstimos Recebidos dos Sócios</t>
  </si>
  <si>
    <t>Aquisição de Novos Investimentos</t>
  </si>
  <si>
    <t>Aquisição de Bens do Imobilizado</t>
  </si>
  <si>
    <t>Distribuição de Lucros</t>
  </si>
  <si>
    <t>Pagamentos de Empréstimos aos Sócios</t>
  </si>
  <si>
    <t>SALDO FINAL</t>
  </si>
  <si>
    <t xml:space="preserve">SALDO INICIAL </t>
  </si>
  <si>
    <t>Recebimento Saldo Inicial</t>
  </si>
  <si>
    <t>Vendas do Mês</t>
  </si>
  <si>
    <t>Prazo Médio de Recebimento</t>
  </si>
  <si>
    <t>Prazo Médio de Pagamento</t>
  </si>
  <si>
    <t>Pagamento do  Saldo Inicial</t>
  </si>
  <si>
    <t>Estoque Inicial R$</t>
  </si>
  <si>
    <t>Custo em quantidade</t>
  </si>
  <si>
    <t>Estoque Inicial em Qtde.</t>
  </si>
  <si>
    <t>NT 2- Orçamento de Compras em R$</t>
  </si>
  <si>
    <t>SUB TOTAL</t>
  </si>
  <si>
    <t>Estoque Final pelo PM</t>
  </si>
  <si>
    <t>Nome ou Tipo de Fornecedor</t>
  </si>
  <si>
    <t>PMP ( dias)</t>
  </si>
  <si>
    <t>Nome do Banco</t>
  </si>
  <si>
    <t>Limite</t>
  </si>
  <si>
    <t>Limite Mensal Compras</t>
  </si>
  <si>
    <t>Total Compras</t>
  </si>
  <si>
    <t>NT 8- CPV</t>
  </si>
  <si>
    <t>NT 9- Movimentação de Estoques</t>
  </si>
  <si>
    <t>(+) Aplicação de Recursos</t>
  </si>
  <si>
    <t>(+) Valores Transferidos do Longo Prazo</t>
  </si>
  <si>
    <t>(-) Compensação com Passivo Circulante</t>
  </si>
  <si>
    <t>(-) Baixas por Recebimento</t>
  </si>
  <si>
    <t>(-) Transferencias para Longo Prazo</t>
  </si>
  <si>
    <t>(-) Baixas para Despesas</t>
  </si>
  <si>
    <t>(+) Variação Monetária e Juros Ativos</t>
  </si>
  <si>
    <t>Contas do Ativo Circulante</t>
  </si>
  <si>
    <t>Contas do Realizável a Longo Prazo</t>
  </si>
  <si>
    <t>(+) Valores Transferidos do Circulante</t>
  </si>
  <si>
    <t xml:space="preserve">(-) Compensação com Passivo </t>
  </si>
  <si>
    <t>(-) Transferencias para o Circulante</t>
  </si>
  <si>
    <t>Saldo Inicial Amortização Acumulada</t>
  </si>
  <si>
    <t>Investimentos/Intangivel</t>
  </si>
  <si>
    <t>Valor Líquido Saldo Inicial</t>
  </si>
  <si>
    <t>Saldo Final Valor Líquido</t>
  </si>
  <si>
    <t>Resultado da Venda</t>
  </si>
  <si>
    <t>Saldo Final Amortização Acumulada</t>
  </si>
  <si>
    <t>Empréstimos Circulante</t>
  </si>
  <si>
    <t>Empréstimos Longo Prazo</t>
  </si>
  <si>
    <t xml:space="preserve">(+) Adições </t>
  </si>
  <si>
    <t xml:space="preserve">(-) Baixas </t>
  </si>
  <si>
    <t>(-) Amortização do Período</t>
  </si>
  <si>
    <t>(+) Baixa da Amortização</t>
  </si>
  <si>
    <t>(+) Adições no imobilizado</t>
  </si>
  <si>
    <t>(-) Baixas do Custo</t>
  </si>
  <si>
    <t>(-) Depreciação do Período</t>
  </si>
  <si>
    <t>(+) Baixa da Depreciação</t>
  </si>
  <si>
    <t>(+) Novos Empréstimos a Curto Prazo</t>
  </si>
  <si>
    <t>(+) Juros Capitalizados Curto Prazo</t>
  </si>
  <si>
    <t>(+) Transferencias de dividas de Longo Prazo</t>
  </si>
  <si>
    <t>(-) Amortização de Principal</t>
  </si>
  <si>
    <t>(-) Amortização de Juros</t>
  </si>
  <si>
    <t>(+) Novos Empréstimos a Longo Prazo</t>
  </si>
  <si>
    <t>(+) Juros Capitalizados a Longo Prazo</t>
  </si>
  <si>
    <t>(-) Amortização Direta de Principal</t>
  </si>
  <si>
    <t>(-) Amortização Direta de Juros</t>
  </si>
  <si>
    <t>(+) Acrescimo da Obrigação</t>
  </si>
  <si>
    <t>(+) Encargos Financeiros Passivos</t>
  </si>
  <si>
    <t>(+)Transferencias do Longo Prazo</t>
  </si>
  <si>
    <t>(-) Descontos Financeiros por Antecipação</t>
  </si>
  <si>
    <t>(-) Redução da Obrigação</t>
  </si>
  <si>
    <t>(-) Transferencia para Longo Prazo</t>
  </si>
  <si>
    <t>(-) Pagamentos</t>
  </si>
  <si>
    <t>Outras Exigibilidades- Longo Prazo</t>
  </si>
  <si>
    <t>(+)Transferencias do Circulante</t>
  </si>
  <si>
    <t>(-) Transferencia para Circulante</t>
  </si>
  <si>
    <t>Reembolso de Capital em Dinheiro</t>
  </si>
  <si>
    <t>Prazo Médio</t>
  </si>
  <si>
    <t>Saldo Inicial Contas a Receber</t>
  </si>
  <si>
    <t>Sub Total Contas a Receber</t>
  </si>
  <si>
    <t>Saldo Inicial Vendas</t>
  </si>
  <si>
    <t>Recebimento das Vendas</t>
  </si>
  <si>
    <t>1º Período</t>
  </si>
  <si>
    <t>2º Período</t>
  </si>
  <si>
    <t>3º Período</t>
  </si>
  <si>
    <t>4º Período</t>
  </si>
  <si>
    <t>5º Período</t>
  </si>
  <si>
    <t>6º Período</t>
  </si>
  <si>
    <t>7º Período</t>
  </si>
  <si>
    <t>8º Período</t>
  </si>
  <si>
    <t>9º Período</t>
  </si>
  <si>
    <t>10º Período</t>
  </si>
  <si>
    <t>11º Período</t>
  </si>
  <si>
    <t>12º Período</t>
  </si>
  <si>
    <t>Saldo Final das Vendas</t>
  </si>
  <si>
    <t>Recebimentos</t>
  </si>
  <si>
    <t>NT3- Calculo do Prazo Médio Ponderado de Compras</t>
  </si>
  <si>
    <t>NT 4- Orçamento de Vendas em R$</t>
  </si>
  <si>
    <t>Template de Prazo Médio de Compras</t>
  </si>
  <si>
    <t>Template da Movimentação de Vendas em R$</t>
  </si>
  <si>
    <t>Percentual Vendas em Carteira</t>
  </si>
  <si>
    <t>Vendas do Período- Carteira</t>
  </si>
  <si>
    <t>Template da Movimentação de Vendas e Contas a Receber Carteira</t>
  </si>
  <si>
    <t>NT 5- Vendas/Contas a Receber Carteira</t>
  </si>
  <si>
    <t>NT 6- Vendas c/ Antecipação de Recebiveis</t>
  </si>
  <si>
    <t>Template da Movimentação de Vendas c/ Antecipação por Desconto</t>
  </si>
  <si>
    <t>Limite Nominal R$</t>
  </si>
  <si>
    <t>Tabela 1- Fornecedores</t>
  </si>
  <si>
    <t>Tabela 2- Bancos Desconto de Duplicatas</t>
  </si>
  <si>
    <t>Banco do Brasil</t>
  </si>
  <si>
    <t>Banco Itaú</t>
  </si>
  <si>
    <t>Santander</t>
  </si>
  <si>
    <t>Bradesco</t>
  </si>
  <si>
    <t>HSBC</t>
  </si>
  <si>
    <t>Caixa Economica Federal</t>
  </si>
  <si>
    <t>Tabela 3- Bancos Capital de Giro- Conta Garantida Duplicatas</t>
  </si>
  <si>
    <t>Tabela 4- Bancos Capital de Giro- Clean</t>
  </si>
  <si>
    <t>Itau</t>
  </si>
  <si>
    <t>Atualizado em</t>
  </si>
  <si>
    <t>Taxa Média</t>
  </si>
  <si>
    <t>Desconto de Duplicatas</t>
  </si>
  <si>
    <t>Capital de Giro Clean</t>
  </si>
  <si>
    <t xml:space="preserve">% Vendas c/ Antecipação </t>
  </si>
  <si>
    <t>% Desconto de Duplicatas</t>
  </si>
  <si>
    <t>% Garantida Duplicatas</t>
  </si>
  <si>
    <t>Conta Garantida Recebiveis</t>
  </si>
  <si>
    <t>% Capital de Giro Clean</t>
  </si>
  <si>
    <t>Total das Vendas com Antecipação</t>
  </si>
  <si>
    <t>Total das Vendas com Cobrança em carteira</t>
  </si>
  <si>
    <t>Total das vendas no Período</t>
  </si>
  <si>
    <t>Despesas Financeiras- Juros</t>
  </si>
  <si>
    <t>IOF Estimado</t>
  </si>
  <si>
    <t>Tabela 5- IOF e taxas</t>
  </si>
  <si>
    <t>IOF diário</t>
  </si>
  <si>
    <t>% TAC</t>
  </si>
  <si>
    <t>IOF adicional</t>
  </si>
  <si>
    <t>TAC</t>
  </si>
  <si>
    <t>Custos Financeiros e Despesas de Captação</t>
  </si>
  <si>
    <t>Total do Custo Efetivo</t>
  </si>
  <si>
    <t>% Custo Efetivo sobre Antecipações</t>
  </si>
  <si>
    <t>Valor Líquido da Antecipação</t>
  </si>
  <si>
    <t>% valor Líquido</t>
  </si>
  <si>
    <t>Antecipações de Recebiveis</t>
  </si>
  <si>
    <t>Limites de Crédito</t>
  </si>
  <si>
    <t>Total Valor Nominal das Linhas de Crédito</t>
  </si>
  <si>
    <t>Linhas de Crédito Efetiva pelo PMR</t>
  </si>
  <si>
    <t>Valor Utilizado</t>
  </si>
  <si>
    <t>% Utilizado</t>
  </si>
  <si>
    <t>NT 7- Compras e Fornecedores</t>
  </si>
  <si>
    <t>Saldo Inicial Fornecedores</t>
  </si>
  <si>
    <t>Sub Total Fornecedores</t>
  </si>
  <si>
    <t>Saldo Inicial de Contas a Receber</t>
  </si>
  <si>
    <t>Saldo Inicial Compras</t>
  </si>
  <si>
    <t>Compras do Período</t>
  </si>
  <si>
    <t>Pagamento das Compras</t>
  </si>
  <si>
    <t>Total de Compras</t>
  </si>
  <si>
    <t>NT 10- ICMS</t>
  </si>
  <si>
    <t>NT 11-PIS/COFINS</t>
  </si>
  <si>
    <t>Logomarca</t>
  </si>
  <si>
    <t>NT 1</t>
  </si>
  <si>
    <t>NT 2</t>
  </si>
  <si>
    <t>NT 3</t>
  </si>
  <si>
    <t>NT 4</t>
  </si>
  <si>
    <t>NT 5</t>
  </si>
  <si>
    <t>NT 6</t>
  </si>
  <si>
    <t>NT 7</t>
  </si>
  <si>
    <t>NT 8</t>
  </si>
  <si>
    <t>NT 9</t>
  </si>
  <si>
    <t>NT 10</t>
  </si>
  <si>
    <t>NT 11</t>
  </si>
  <si>
    <t>NT 12</t>
  </si>
  <si>
    <t>IT 1</t>
  </si>
  <si>
    <t>IT 2</t>
  </si>
  <si>
    <t>IT 3</t>
  </si>
  <si>
    <t>IT 4</t>
  </si>
  <si>
    <t>IT 5</t>
  </si>
  <si>
    <t>IT 6</t>
  </si>
  <si>
    <t>IT 7</t>
  </si>
  <si>
    <t>IT 8</t>
  </si>
  <si>
    <t>IT 9</t>
  </si>
  <si>
    <t>IT 10</t>
  </si>
  <si>
    <t>IT 11</t>
  </si>
  <si>
    <t>IT 12</t>
  </si>
  <si>
    <t>IT 13</t>
  </si>
  <si>
    <t>F 1</t>
  </si>
  <si>
    <t>F 2</t>
  </si>
  <si>
    <t>F 3</t>
  </si>
  <si>
    <t>F 4</t>
  </si>
  <si>
    <t>F 5</t>
  </si>
  <si>
    <t>F 6</t>
  </si>
  <si>
    <t>F 7</t>
  </si>
  <si>
    <t>F 8</t>
  </si>
  <si>
    <t>F 9</t>
  </si>
  <si>
    <t>F 10</t>
  </si>
  <si>
    <t>F 11</t>
  </si>
  <si>
    <t>F 12</t>
  </si>
  <si>
    <t>F 13</t>
  </si>
  <si>
    <t>Nome do Usuário</t>
  </si>
  <si>
    <t>Email do Usuário</t>
  </si>
  <si>
    <t>Senha do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</si>
</sst>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* #,##0_);_(* \(#,##0\);_(* &quot;-&quot;??_);_(@_)"/>
    <numFmt numFmtId="167" formatCode="0.00_);[Red]\(0.00\)"/>
    <numFmt numFmtId="168" formatCode="_-* #,##0_-;\-* #,##0_-;_-* &quot;-&quot;??_-;_-@_-"/>
    <numFmt numFmtId="169" formatCode="_-* #,##0.00000_-;\-* #,##0.00000_-;_-* &quot;-&quot;??_-;_-@_-"/>
    <numFmt numFmtId="170" formatCode="0.0"/>
    <numFmt numFmtId="171" formatCode="0.0000%"/>
    <numFmt numFmtId="172" formatCode="0.0%"/>
  </numFmts>
  <fonts count="7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8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8"/>
      <name val="Arial"/>
      <family val="2"/>
    </font>
    <font>
      <b/>
      <sz val="11"/>
      <color indexed="62"/>
      <name val="Calibri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i/>
      <u/>
      <sz val="12"/>
      <name val="Arial"/>
      <family val="2"/>
    </font>
    <font>
      <b/>
      <sz val="8"/>
      <name val="Arial"/>
      <family val="2"/>
    </font>
    <font>
      <b/>
      <i/>
      <sz val="11"/>
      <color indexed="56"/>
      <name val="Calibri"/>
      <family val="2"/>
    </font>
    <font>
      <sz val="11"/>
      <color rgb="FF00610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0"/>
      <name val="Calibri"/>
      <family val="2"/>
      <scheme val="minor"/>
    </font>
    <font>
      <sz val="11"/>
      <color rgb="FF3F3F76"/>
      <name val="Arial"/>
      <family val="2"/>
    </font>
    <font>
      <sz val="11"/>
      <color theme="1"/>
      <name val="Calibri"/>
      <family val="2"/>
      <scheme val="minor"/>
    </font>
    <font>
      <b/>
      <sz val="11"/>
      <color rgb="FF3F3F3F"/>
      <name val="Arial"/>
      <family val="2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b/>
      <sz val="12"/>
      <color indexed="8"/>
      <name val="Arial"/>
      <family val="2"/>
    </font>
    <font>
      <u/>
      <sz val="11"/>
      <color indexed="8"/>
      <name val="Arial"/>
      <family val="2"/>
    </font>
    <font>
      <sz val="10"/>
      <color indexed="8"/>
      <name val="Arial"/>
      <family val="2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1"/>
      <color theme="2" tint="-0.499984740745262"/>
      <name val="Calibri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0"/>
      <color indexed="9"/>
      <name val="Calibri"/>
      <family val="2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22"/>
      </top>
      <bottom/>
      <diagonal/>
    </border>
    <border>
      <left/>
      <right/>
      <top style="thin">
        <color indexed="6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7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9" fillId="4" borderId="0" applyNumberFormat="0" applyBorder="0" applyAlignment="0" applyProtection="0"/>
    <xf numFmtId="0" fontId="47" fillId="24" borderId="0" applyNumberFormat="0" applyBorder="0" applyAlignment="0" applyProtection="0"/>
    <xf numFmtId="0" fontId="20" fillId="16" borderId="1" applyNumberFormat="0" applyAlignment="0" applyProtection="0"/>
    <xf numFmtId="0" fontId="48" fillId="25" borderId="44" applyNumberFormat="0" applyAlignment="0" applyProtection="0"/>
    <xf numFmtId="0" fontId="21" fillId="17" borderId="2" applyNumberFormat="0" applyAlignment="0" applyProtection="0"/>
    <xf numFmtId="0" fontId="49" fillId="26" borderId="45" applyNumberFormat="0" applyAlignment="0" applyProtection="0"/>
    <xf numFmtId="0" fontId="22" fillId="0" borderId="3" applyNumberFormat="0" applyFill="0" applyAlignment="0" applyProtection="0"/>
    <xf numFmtId="43" fontId="23" fillId="0" borderId="0" applyFont="0" applyFill="0" applyBorder="0" applyAlignment="0" applyProtection="0"/>
    <xf numFmtId="0" fontId="18" fillId="18" borderId="0" applyNumberFormat="0" applyBorder="0" applyAlignment="0" applyProtection="0"/>
    <xf numFmtId="0" fontId="50" fillId="27" borderId="0" applyNumberFormat="0" applyBorder="0" applyAlignment="0" applyProtection="0"/>
    <xf numFmtId="0" fontId="51" fillId="27" borderId="0" applyNumberFormat="0" applyBorder="0" applyAlignment="0" applyProtection="0"/>
    <xf numFmtId="0" fontId="18" fillId="19" borderId="0" applyNumberFormat="0" applyBorder="0" applyAlignment="0" applyProtection="0"/>
    <xf numFmtId="0" fontId="50" fillId="28" borderId="0" applyNumberFormat="0" applyBorder="0" applyAlignment="0" applyProtection="0"/>
    <xf numFmtId="0" fontId="51" fillId="28" borderId="0" applyNumberFormat="0" applyBorder="0" applyAlignment="0" applyProtection="0"/>
    <xf numFmtId="0" fontId="18" fillId="2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21" borderId="0" applyNumberFormat="0" applyBorder="0" applyAlignment="0" applyProtection="0"/>
    <xf numFmtId="0" fontId="24" fillId="7" borderId="1" applyNumberFormat="0" applyAlignment="0" applyProtection="0"/>
    <xf numFmtId="0" fontId="52" fillId="29" borderId="44" applyNumberFormat="0" applyAlignment="0" applyProtection="0"/>
    <xf numFmtId="0" fontId="25" fillId="3" borderId="0" applyNumberFormat="0" applyBorder="0" applyAlignment="0" applyProtection="0"/>
    <xf numFmtId="0" fontId="26" fillId="22" borderId="0" applyNumberFormat="0" applyBorder="0" applyAlignment="0" applyProtection="0"/>
    <xf numFmtId="0" fontId="23" fillId="0" borderId="0"/>
    <xf numFmtId="0" fontId="53" fillId="0" borderId="0"/>
    <xf numFmtId="0" fontId="23" fillId="0" borderId="0"/>
    <xf numFmtId="0" fontId="36" fillId="0" borderId="0"/>
    <xf numFmtId="0" fontId="12" fillId="23" borderId="4" applyNumberFormat="0" applyFont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27" fillId="16" borderId="5" applyNumberFormat="0" applyAlignment="0" applyProtection="0"/>
    <xf numFmtId="0" fontId="54" fillId="25" borderId="46" applyNumberFormat="0" applyAlignment="0" applyProtection="0"/>
    <xf numFmtId="0" fontId="55" fillId="25" borderId="46" applyNumberFormat="0" applyAlignment="0" applyProtection="0"/>
    <xf numFmtId="43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43" fillId="0" borderId="0" applyFont="0" applyFill="0" applyBorder="0" applyAlignment="0" applyProtection="0"/>
    <xf numFmtId="167" fontId="28" fillId="0" borderId="6" applyFont="0" applyFill="0" applyBorder="0" applyAlignment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7" applyNumberFormat="0" applyFill="0" applyAlignment="0" applyProtection="0"/>
    <xf numFmtId="0" fontId="33" fillId="0" borderId="8" applyNumberFormat="0" applyFill="0" applyAlignment="0" applyProtection="0"/>
    <xf numFmtId="0" fontId="34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0" applyNumberFormat="0" applyFill="0" applyAlignment="0" applyProtection="0"/>
    <xf numFmtId="0" fontId="11" fillId="0" borderId="0"/>
    <xf numFmtId="0" fontId="70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72" fillId="26" borderId="45" applyNumberFormat="0" applyAlignment="0" applyProtection="0"/>
    <xf numFmtId="165" fontId="6" fillId="0" borderId="0" applyFont="0" applyFill="0" applyBorder="0" applyAlignment="0" applyProtection="0"/>
  </cellStyleXfs>
  <cellXfs count="315">
    <xf numFmtId="0" fontId="0" fillId="0" borderId="0" xfId="0"/>
    <xf numFmtId="0" fontId="23" fillId="0" borderId="0" xfId="0" applyFont="1"/>
    <xf numFmtId="0" fontId="36" fillId="0" borderId="0" xfId="44" applyFont="1" applyFill="1"/>
    <xf numFmtId="0" fontId="24" fillId="7" borderId="1" xfId="37"/>
    <xf numFmtId="0" fontId="21" fillId="17" borderId="2" xfId="23"/>
    <xf numFmtId="0" fontId="23" fillId="0" borderId="0" xfId="41"/>
    <xf numFmtId="0" fontId="23" fillId="0" borderId="0" xfId="41" applyAlignment="1">
      <alignment horizontal="center"/>
    </xf>
    <xf numFmtId="0" fontId="23" fillId="0" borderId="0" xfId="41" applyFill="1"/>
    <xf numFmtId="0" fontId="38" fillId="0" borderId="0" xfId="44" applyFont="1" applyFill="1" applyAlignment="1">
      <alignment horizontal="center"/>
    </xf>
    <xf numFmtId="0" fontId="15" fillId="0" borderId="0" xfId="41" applyFont="1" applyAlignment="1">
      <alignment horizontal="center"/>
    </xf>
    <xf numFmtId="0" fontId="28" fillId="0" borderId="0" xfId="41" applyFont="1" applyAlignment="1">
      <alignment horizontal="center"/>
    </xf>
    <xf numFmtId="0" fontId="16" fillId="0" borderId="0" xfId="41" applyFont="1"/>
    <xf numFmtId="0" fontId="13" fillId="0" borderId="0" xfId="41" applyFont="1"/>
    <xf numFmtId="0" fontId="23" fillId="0" borderId="0" xfId="41" applyFont="1"/>
    <xf numFmtId="0" fontId="18" fillId="12" borderId="0" xfId="13"/>
    <xf numFmtId="0" fontId="53" fillId="0" borderId="0" xfId="42"/>
    <xf numFmtId="0" fontId="0" fillId="0" borderId="0" xfId="0" applyFill="1"/>
    <xf numFmtId="0" fontId="23" fillId="0" borderId="0" xfId="0" applyFont="1" applyFill="1" applyAlignment="1">
      <alignment horizontal="center"/>
    </xf>
    <xf numFmtId="43" fontId="21" fillId="17" borderId="2" xfId="23" applyNumberFormat="1"/>
    <xf numFmtId="0" fontId="18" fillId="13" borderId="11" xfId="34" applyBorder="1" applyAlignment="1">
      <alignment horizontal="center"/>
    </xf>
    <xf numFmtId="0" fontId="18" fillId="13" borderId="12" xfId="34" applyBorder="1" applyAlignment="1">
      <alignment horizontal="center"/>
    </xf>
    <xf numFmtId="0" fontId="18" fillId="13" borderId="13" xfId="34" applyBorder="1" applyAlignment="1">
      <alignment horizontal="center"/>
    </xf>
    <xf numFmtId="43" fontId="21" fillId="17" borderId="14" xfId="23" applyNumberFormat="1" applyBorder="1"/>
    <xf numFmtId="165" fontId="0" fillId="0" borderId="0" xfId="0" applyNumberFormat="1"/>
    <xf numFmtId="0" fontId="23" fillId="0" borderId="12" xfId="0" applyFont="1" applyFill="1" applyBorder="1" applyAlignment="1">
      <alignment horizontal="center"/>
    </xf>
    <xf numFmtId="165" fontId="21" fillId="17" borderId="2" xfId="23" applyNumberFormat="1"/>
    <xf numFmtId="9" fontId="21" fillId="17" borderId="2" xfId="23" applyNumberFormat="1"/>
    <xf numFmtId="0" fontId="23" fillId="0" borderId="15" xfId="0" applyFont="1" applyFill="1" applyBorder="1" applyAlignment="1">
      <alignment horizontal="center"/>
    </xf>
    <xf numFmtId="43" fontId="18" fillId="13" borderId="12" xfId="53" applyFont="1" applyFill="1" applyBorder="1" applyAlignment="1">
      <alignment horizontal="center"/>
    </xf>
    <xf numFmtId="0" fontId="18" fillId="13" borderId="15" xfId="34" applyBorder="1" applyAlignment="1">
      <alignment horizontal="center"/>
    </xf>
    <xf numFmtId="0" fontId="18" fillId="13" borderId="16" xfId="34" applyBorder="1" applyAlignment="1">
      <alignment horizontal="center"/>
    </xf>
    <xf numFmtId="0" fontId="21" fillId="17" borderId="2" xfId="23" applyAlignment="1">
      <alignment horizontal="center"/>
    </xf>
    <xf numFmtId="10" fontId="0" fillId="0" borderId="0" xfId="0" applyNumberFormat="1"/>
    <xf numFmtId="4" fontId="18" fillId="13" borderId="12" xfId="47" applyNumberFormat="1" applyFont="1" applyFill="1" applyBorder="1" applyAlignment="1">
      <alignment horizontal="right"/>
    </xf>
    <xf numFmtId="0" fontId="18" fillId="13" borderId="17" xfId="34" applyBorder="1" applyAlignment="1">
      <alignment horizontal="center"/>
    </xf>
    <xf numFmtId="0" fontId="18" fillId="13" borderId="18" xfId="34" applyBorder="1" applyAlignment="1">
      <alignment horizontal="center"/>
    </xf>
    <xf numFmtId="165" fontId="18" fillId="13" borderId="12" xfId="16" applyNumberFormat="1" applyBorder="1"/>
    <xf numFmtId="43" fontId="18" fillId="13" borderId="12" xfId="16" applyNumberFormat="1" applyBorder="1"/>
    <xf numFmtId="43" fontId="18" fillId="13" borderId="12" xfId="34" applyNumberFormat="1" applyBorder="1"/>
    <xf numFmtId="2" fontId="18" fillId="13" borderId="12" xfId="16" applyNumberFormat="1" applyBorder="1"/>
    <xf numFmtId="0" fontId="14" fillId="0" borderId="15" xfId="0" applyFont="1" applyFill="1" applyBorder="1" applyAlignment="1">
      <alignment horizontal="center"/>
    </xf>
    <xf numFmtId="1" fontId="18" fillId="13" borderId="0" xfId="16" applyNumberFormat="1" applyAlignment="1">
      <alignment horizontal="center"/>
    </xf>
    <xf numFmtId="1" fontId="21" fillId="17" borderId="12" xfId="23" applyNumberFormat="1" applyBorder="1"/>
    <xf numFmtId="0" fontId="14" fillId="0" borderId="0" xfId="0" applyFont="1"/>
    <xf numFmtId="0" fontId="14" fillId="0" borderId="19" xfId="0" applyFont="1" applyBorder="1"/>
    <xf numFmtId="0" fontId="14" fillId="0" borderId="11" xfId="0" applyFont="1" applyFill="1" applyBorder="1"/>
    <xf numFmtId="165" fontId="18" fillId="13" borderId="0" xfId="34" applyNumberFormat="1"/>
    <xf numFmtId="43" fontId="0" fillId="0" borderId="0" xfId="53" applyFont="1"/>
    <xf numFmtId="43" fontId="0" fillId="0" borderId="0" xfId="0" applyNumberFormat="1"/>
    <xf numFmtId="0" fontId="0" fillId="0" borderId="0" xfId="0" applyBorder="1"/>
    <xf numFmtId="0" fontId="34" fillId="0" borderId="9" xfId="64"/>
    <xf numFmtId="0" fontId="40" fillId="0" borderId="0" xfId="0" applyFont="1" applyAlignment="1">
      <alignment horizontal="center"/>
    </xf>
    <xf numFmtId="4" fontId="0" fillId="0" borderId="0" xfId="0" applyNumberFormat="1"/>
    <xf numFmtId="2" fontId="0" fillId="0" borderId="0" xfId="0" applyNumberFormat="1"/>
    <xf numFmtId="1" fontId="0" fillId="0" borderId="0" xfId="0" applyNumberFormat="1"/>
    <xf numFmtId="0" fontId="41" fillId="0" borderId="0" xfId="0" applyFont="1" applyFill="1" applyBorder="1"/>
    <xf numFmtId="0" fontId="41" fillId="0" borderId="0" xfId="0" applyFont="1"/>
    <xf numFmtId="0" fontId="42" fillId="0" borderId="0" xfId="0" applyFont="1"/>
    <xf numFmtId="9" fontId="18" fillId="13" borderId="0" xfId="16" applyNumberFormat="1"/>
    <xf numFmtId="10" fontId="0" fillId="0" borderId="0" xfId="47" applyNumberFormat="1" applyFont="1"/>
    <xf numFmtId="10" fontId="18" fillId="13" borderId="0" xfId="16" applyNumberFormat="1"/>
    <xf numFmtId="165" fontId="53" fillId="0" borderId="0" xfId="42" applyNumberFormat="1"/>
    <xf numFmtId="43" fontId="53" fillId="0" borderId="0" xfId="53" applyFont="1"/>
    <xf numFmtId="0" fontId="0" fillId="0" borderId="0" xfId="0" applyAlignment="1">
      <alignment horizontal="left"/>
    </xf>
    <xf numFmtId="10" fontId="0" fillId="0" borderId="0" xfId="47" applyNumberFormat="1" applyFont="1" applyAlignment="1">
      <alignment horizontal="right"/>
    </xf>
    <xf numFmtId="10" fontId="0" fillId="0" borderId="0" xfId="0" applyNumberFormat="1" applyAlignment="1">
      <alignment horizontal="center"/>
    </xf>
    <xf numFmtId="9" fontId="53" fillId="0" borderId="0" xfId="47" applyFont="1"/>
    <xf numFmtId="0" fontId="0" fillId="0" borderId="20" xfId="0" applyBorder="1"/>
    <xf numFmtId="0" fontId="53" fillId="0" borderId="20" xfId="42" applyBorder="1"/>
    <xf numFmtId="0" fontId="0" fillId="0" borderId="21" xfId="0" applyBorder="1"/>
    <xf numFmtId="0" fontId="0" fillId="0" borderId="22" xfId="0" applyBorder="1"/>
    <xf numFmtId="169" fontId="53" fillId="0" borderId="0" xfId="42" applyNumberFormat="1" applyBorder="1"/>
    <xf numFmtId="0" fontId="0" fillId="0" borderId="23" xfId="0" applyBorder="1"/>
    <xf numFmtId="0" fontId="0" fillId="0" borderId="13" xfId="0" applyBorder="1"/>
    <xf numFmtId="0" fontId="0" fillId="0" borderId="24" xfId="0" applyBorder="1"/>
    <xf numFmtId="0" fontId="23" fillId="0" borderId="24" xfId="0" applyFont="1" applyBorder="1"/>
    <xf numFmtId="0" fontId="0" fillId="0" borderId="25" xfId="0" applyBorder="1"/>
    <xf numFmtId="0" fontId="42" fillId="0" borderId="26" xfId="0" applyFont="1" applyBorder="1"/>
    <xf numFmtId="0" fontId="23" fillId="0" borderId="0" xfId="0" applyFont="1" applyBorder="1"/>
    <xf numFmtId="0" fontId="0" fillId="23" borderId="4" xfId="45" applyFont="1"/>
    <xf numFmtId="0" fontId="15" fillId="23" borderId="4" xfId="45" applyFont="1" applyAlignment="1">
      <alignment horizontal="center"/>
    </xf>
    <xf numFmtId="166" fontId="0" fillId="23" borderId="4" xfId="45" applyNumberFormat="1" applyFont="1"/>
    <xf numFmtId="0" fontId="16" fillId="23" borderId="4" xfId="45" applyFont="1"/>
    <xf numFmtId="0" fontId="14" fillId="23" borderId="4" xfId="45" applyFont="1"/>
    <xf numFmtId="166" fontId="0" fillId="0" borderId="0" xfId="0" applyNumberFormat="1"/>
    <xf numFmtId="166" fontId="0" fillId="0" borderId="0" xfId="53" applyNumberFormat="1" applyFont="1"/>
    <xf numFmtId="0" fontId="17" fillId="8" borderId="12" xfId="7" applyBorder="1" applyAlignment="1"/>
    <xf numFmtId="0" fontId="17" fillId="8" borderId="12" xfId="7" applyBorder="1"/>
    <xf numFmtId="0" fontId="39" fillId="0" borderId="0" xfId="44" applyFont="1" applyFill="1"/>
    <xf numFmtId="0" fontId="18" fillId="13" borderId="27" xfId="16" applyBorder="1" applyAlignment="1"/>
    <xf numFmtId="0" fontId="18" fillId="13" borderId="28" xfId="16" applyBorder="1" applyAlignment="1"/>
    <xf numFmtId="0" fontId="18" fillId="13" borderId="29" xfId="16" applyBorder="1" applyAlignment="1"/>
    <xf numFmtId="168" fontId="0" fillId="0" borderId="0" xfId="0" applyNumberFormat="1"/>
    <xf numFmtId="166" fontId="24" fillId="7" borderId="1" xfId="37" applyNumberFormat="1"/>
    <xf numFmtId="166" fontId="0" fillId="0" borderId="0" xfId="54" applyNumberFormat="1" applyFont="1"/>
    <xf numFmtId="166" fontId="23" fillId="0" borderId="0" xfId="41" applyNumberFormat="1"/>
    <xf numFmtId="166" fontId="18" fillId="20" borderId="0" xfId="33" applyNumberFormat="1"/>
    <xf numFmtId="166" fontId="14" fillId="0" borderId="0" xfId="41" applyNumberFormat="1" applyFont="1"/>
    <xf numFmtId="14" fontId="18" fillId="18" borderId="0" xfId="27" applyNumberFormat="1" applyAlignment="1">
      <alignment horizontal="center"/>
    </xf>
    <xf numFmtId="0" fontId="17" fillId="8" borderId="0" xfId="7" applyAlignment="1">
      <alignment horizontal="center"/>
    </xf>
    <xf numFmtId="0" fontId="18" fillId="18" borderId="12" xfId="27" applyBorder="1"/>
    <xf numFmtId="166" fontId="18" fillId="18" borderId="12" xfId="27" applyNumberFormat="1" applyBorder="1"/>
    <xf numFmtId="166" fontId="23" fillId="0" borderId="0" xfId="53" applyNumberFormat="1" applyFont="1"/>
    <xf numFmtId="10" fontId="23" fillId="0" borderId="0" xfId="47" applyNumberFormat="1" applyFont="1"/>
    <xf numFmtId="168" fontId="23" fillId="0" borderId="0" xfId="41" applyNumberFormat="1"/>
    <xf numFmtId="0" fontId="18" fillId="18" borderId="15" xfId="27" applyBorder="1" applyAlignment="1"/>
    <xf numFmtId="0" fontId="18" fillId="18" borderId="16" xfId="27" applyBorder="1" applyAlignment="1">
      <alignment horizontal="center"/>
    </xf>
    <xf numFmtId="0" fontId="18" fillId="18" borderId="12" xfId="27" applyBorder="1" applyAlignment="1">
      <alignment horizontal="center"/>
    </xf>
    <xf numFmtId="9" fontId="18" fillId="18" borderId="12" xfId="27" applyNumberFormat="1" applyBorder="1"/>
    <xf numFmtId="0" fontId="18" fillId="18" borderId="0" xfId="27" applyAlignment="1">
      <alignment horizontal="center"/>
    </xf>
    <xf numFmtId="0" fontId="46" fillId="0" borderId="30" xfId="65" applyFont="1" applyBorder="1" applyAlignment="1"/>
    <xf numFmtId="0" fontId="35" fillId="0" borderId="31" xfId="66" applyFill="1" applyBorder="1" applyAlignment="1">
      <alignment vertical="center"/>
    </xf>
    <xf numFmtId="0" fontId="34" fillId="0" borderId="0" xfId="65"/>
    <xf numFmtId="0" fontId="0" fillId="0" borderId="0" xfId="0" applyFill="1" applyAlignment="1">
      <alignment horizontal="left"/>
    </xf>
    <xf numFmtId="43" fontId="21" fillId="17" borderId="14" xfId="53" applyFont="1" applyFill="1" applyBorder="1"/>
    <xf numFmtId="0" fontId="45" fillId="23" borderId="0" xfId="45" applyFont="1" applyBorder="1" applyAlignment="1">
      <alignment horizontal="center" vertical="center"/>
    </xf>
    <xf numFmtId="0" fontId="42" fillId="0" borderId="0" xfId="41" applyFont="1"/>
    <xf numFmtId="166" fontId="27" fillId="16" borderId="5" xfId="50" applyNumberFormat="1"/>
    <xf numFmtId="0" fontId="45" fillId="23" borderId="32" xfId="45" applyFont="1" applyBorder="1" applyAlignment="1">
      <alignment vertical="center"/>
    </xf>
    <xf numFmtId="0" fontId="45" fillId="23" borderId="0" xfId="45" applyFont="1" applyBorder="1" applyAlignment="1">
      <alignment vertical="center"/>
    </xf>
    <xf numFmtId="0" fontId="15" fillId="23" borderId="33" xfId="45" applyFont="1" applyBorder="1" applyAlignment="1">
      <alignment horizontal="center"/>
    </xf>
    <xf numFmtId="166" fontId="16" fillId="23" borderId="33" xfId="45" applyNumberFormat="1" applyFont="1" applyBorder="1"/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166" fontId="18" fillId="13" borderId="0" xfId="16" applyNumberFormat="1"/>
    <xf numFmtId="0" fontId="13" fillId="0" borderId="0" xfId="0" applyFont="1"/>
    <xf numFmtId="166" fontId="27" fillId="16" borderId="5" xfId="53" applyNumberFormat="1" applyFont="1" applyFill="1" applyBorder="1"/>
    <xf numFmtId="0" fontId="14" fillId="0" borderId="0" xfId="41" applyFont="1" applyAlignment="1">
      <alignment horizontal="center"/>
    </xf>
    <xf numFmtId="0" fontId="14" fillId="0" borderId="0" xfId="41" applyFont="1" applyAlignment="1">
      <alignment horizontal="center"/>
    </xf>
    <xf numFmtId="0" fontId="57" fillId="0" borderId="0" xfId="67" applyFont="1" applyAlignment="1">
      <alignment horizontal="center"/>
    </xf>
    <xf numFmtId="0" fontId="58" fillId="27" borderId="47" xfId="29" applyFont="1" applyBorder="1" applyAlignment="1">
      <alignment horizontal="center"/>
    </xf>
    <xf numFmtId="0" fontId="11" fillId="0" borderId="0" xfId="67"/>
    <xf numFmtId="0" fontId="59" fillId="31" borderId="0" xfId="67" applyFont="1" applyFill="1"/>
    <xf numFmtId="0" fontId="11" fillId="0" borderId="0" xfId="67" applyFont="1"/>
    <xf numFmtId="0" fontId="60" fillId="31" borderId="0" xfId="67" applyFont="1" applyFill="1"/>
    <xf numFmtId="0" fontId="18" fillId="12" borderId="0" xfId="13" applyAlignment="1">
      <alignment horizontal="center"/>
    </xf>
    <xf numFmtId="0" fontId="57" fillId="31" borderId="0" xfId="67" applyFont="1" applyFill="1"/>
    <xf numFmtId="0" fontId="11" fillId="31" borderId="0" xfId="67" applyFill="1"/>
    <xf numFmtId="0" fontId="18" fillId="0" borderId="0" xfId="13" applyFill="1" applyAlignment="1">
      <alignment horizontal="center"/>
    </xf>
    <xf numFmtId="0" fontId="61" fillId="17" borderId="2" xfId="23" applyFont="1"/>
    <xf numFmtId="0" fontId="0" fillId="0" borderId="0" xfId="0" applyAlignment="1">
      <alignment horizontal="center"/>
    </xf>
    <xf numFmtId="0" fontId="62" fillId="17" borderId="2" xfId="23" applyFont="1"/>
    <xf numFmtId="0" fontId="61" fillId="17" borderId="2" xfId="23" applyFont="1" applyAlignment="1">
      <alignment horizontal="right"/>
    </xf>
    <xf numFmtId="0" fontId="18" fillId="18" borderId="0" xfId="27"/>
    <xf numFmtId="0" fontId="18" fillId="19" borderId="2" xfId="30" applyBorder="1" applyAlignment="1">
      <alignment horizontal="center"/>
    </xf>
    <xf numFmtId="0" fontId="49" fillId="28" borderId="0" xfId="31" applyFont="1"/>
    <xf numFmtId="0" fontId="50" fillId="28" borderId="0" xfId="31"/>
    <xf numFmtId="9" fontId="61" fillId="17" borderId="2" xfId="23" applyNumberFormat="1" applyFont="1"/>
    <xf numFmtId="0" fontId="23" fillId="0" borderId="16" xfId="0" applyFont="1" applyFill="1" applyBorder="1" applyAlignment="1">
      <alignment horizontal="center"/>
    </xf>
    <xf numFmtId="164" fontId="61" fillId="17" borderId="2" xfId="53" applyNumberFormat="1" applyFont="1" applyFill="1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51" xfId="0" applyBorder="1"/>
    <xf numFmtId="0" fontId="0" fillId="0" borderId="18" xfId="0" applyBorder="1" applyAlignment="1">
      <alignment horizontal="center"/>
    </xf>
    <xf numFmtId="0" fontId="18" fillId="19" borderId="0" xfId="30" applyAlignment="1">
      <alignment horizontal="center"/>
    </xf>
    <xf numFmtId="0" fontId="23" fillId="0" borderId="0" xfId="0" applyFont="1" applyFill="1" applyBorder="1"/>
    <xf numFmtId="10" fontId="61" fillId="17" borderId="2" xfId="23" applyNumberFormat="1" applyFont="1"/>
    <xf numFmtId="0" fontId="14" fillId="0" borderId="0" xfId="41" applyFont="1"/>
    <xf numFmtId="0" fontId="28" fillId="0" borderId="0" xfId="41" applyFont="1"/>
    <xf numFmtId="0" fontId="38" fillId="30" borderId="0" xfId="44" applyFont="1" applyFill="1" applyAlignment="1">
      <alignment horizontal="center"/>
    </xf>
    <xf numFmtId="0" fontId="63" fillId="0" borderId="0" xfId="44" applyFont="1" applyFill="1"/>
    <xf numFmtId="0" fontId="18" fillId="20" borderId="0" xfId="33"/>
    <xf numFmtId="0" fontId="13" fillId="30" borderId="0" xfId="44" applyFont="1" applyFill="1" applyAlignment="1">
      <alignment horizontal="center"/>
    </xf>
    <xf numFmtId="0" fontId="13" fillId="0" borderId="0" xfId="44" applyFont="1" applyFill="1"/>
    <xf numFmtId="0" fontId="14" fillId="30" borderId="0" xfId="44" applyFont="1" applyFill="1" applyAlignment="1">
      <alignment horizontal="center"/>
    </xf>
    <xf numFmtId="0" fontId="36" fillId="0" borderId="0" xfId="44" applyFont="1" applyFill="1" applyAlignment="1">
      <alignment horizontal="left"/>
    </xf>
    <xf numFmtId="0" fontId="16" fillId="0" borderId="0" xfId="41" applyFont="1" applyAlignment="1">
      <alignment horizontal="center"/>
    </xf>
    <xf numFmtId="0" fontId="13" fillId="0" borderId="0" xfId="41" applyFont="1" applyAlignment="1">
      <alignment horizontal="left"/>
    </xf>
    <xf numFmtId="0" fontId="14" fillId="0" borderId="0" xfId="41" applyFont="1" applyAlignment="1">
      <alignment horizontal="left"/>
    </xf>
    <xf numFmtId="0" fontId="23" fillId="0" borderId="0" xfId="41" applyAlignment="1">
      <alignment horizontal="left"/>
    </xf>
    <xf numFmtId="0" fontId="14" fillId="0" borderId="0" xfId="44" applyFont="1" applyFill="1" applyAlignment="1">
      <alignment horizontal="center"/>
    </xf>
    <xf numFmtId="0" fontId="14" fillId="0" borderId="0" xfId="41" applyFont="1" applyFill="1" applyAlignment="1">
      <alignment horizontal="center"/>
    </xf>
    <xf numFmtId="0" fontId="36" fillId="0" borderId="0" xfId="44" applyFill="1"/>
    <xf numFmtId="0" fontId="23" fillId="32" borderId="0" xfId="41" applyFill="1"/>
    <xf numFmtId="0" fontId="18" fillId="13" borderId="0" xfId="16" applyAlignment="1"/>
    <xf numFmtId="0" fontId="23" fillId="0" borderId="0" xfId="41" applyAlignment="1">
      <alignment horizontal="center" vertical="center"/>
    </xf>
    <xf numFmtId="0" fontId="23" fillId="0" borderId="0" xfId="41" applyFont="1" applyFill="1" applyAlignment="1">
      <alignment horizontal="center"/>
    </xf>
    <xf numFmtId="0" fontId="13" fillId="0" borderId="0" xfId="41" applyFont="1" applyFill="1"/>
    <xf numFmtId="0" fontId="16" fillId="0" borderId="0" xfId="41" applyFont="1" applyFill="1"/>
    <xf numFmtId="0" fontId="18" fillId="13" borderId="0" xfId="16" applyAlignment="1">
      <alignment horizontal="center"/>
    </xf>
    <xf numFmtId="0" fontId="40" fillId="0" borderId="0" xfId="41" applyFont="1" applyFill="1"/>
    <xf numFmtId="0" fontId="14" fillId="0" borderId="0" xfId="41" applyFont="1" applyFill="1" applyAlignment="1">
      <alignment horizontal="center" vertical="center"/>
    </xf>
    <xf numFmtId="0" fontId="64" fillId="0" borderId="0" xfId="44" applyFont="1" applyFill="1"/>
    <xf numFmtId="0" fontId="14" fillId="0" borderId="0" xfId="41" applyFont="1" applyAlignment="1">
      <alignment horizontal="center" vertical="center"/>
    </xf>
    <xf numFmtId="0" fontId="23" fillId="0" borderId="0" xfId="41" applyAlignment="1"/>
    <xf numFmtId="0" fontId="23" fillId="0" borderId="0" xfId="0" applyFont="1" applyAlignment="1">
      <alignment horizontal="center"/>
    </xf>
    <xf numFmtId="0" fontId="51" fillId="27" borderId="0" xfId="29" applyAlignment="1">
      <alignment horizontal="center"/>
    </xf>
    <xf numFmtId="0" fontId="23" fillId="0" borderId="0" xfId="41" applyAlignment="1">
      <alignment vertical="center"/>
    </xf>
    <xf numFmtId="0" fontId="51" fillId="27" borderId="0" xfId="29" applyFont="1" applyAlignment="1">
      <alignment horizontal="center"/>
    </xf>
    <xf numFmtId="14" fontId="21" fillId="17" borderId="2" xfId="23" applyNumberFormat="1"/>
    <xf numFmtId="0" fontId="28" fillId="33" borderId="0" xfId="41" applyFont="1" applyFill="1" applyAlignment="1">
      <alignment horizontal="center"/>
    </xf>
    <xf numFmtId="0" fontId="23" fillId="33" borderId="0" xfId="41" applyFont="1" applyFill="1"/>
    <xf numFmtId="0" fontId="23" fillId="33" borderId="0" xfId="41" applyFill="1"/>
    <xf numFmtId="0" fontId="65" fillId="33" borderId="0" xfId="44" applyFont="1" applyFill="1" applyAlignment="1">
      <alignment horizontal="center"/>
    </xf>
    <xf numFmtId="0" fontId="36" fillId="33" borderId="0" xfId="44" applyFont="1" applyFill="1"/>
    <xf numFmtId="0" fontId="65" fillId="0" borderId="0" xfId="44" applyFont="1" applyFill="1" applyAlignment="1">
      <alignment horizontal="center"/>
    </xf>
    <xf numFmtId="0" fontId="66" fillId="31" borderId="0" xfId="67" applyFont="1" applyFill="1"/>
    <xf numFmtId="0" fontId="67" fillId="0" borderId="0" xfId="67" applyFont="1"/>
    <xf numFmtId="0" fontId="15" fillId="23" borderId="53" xfId="45" applyFont="1" applyBorder="1" applyAlignment="1">
      <alignment horizontal="center"/>
    </xf>
    <xf numFmtId="0" fontId="0" fillId="33" borderId="0" xfId="0" applyFill="1"/>
    <xf numFmtId="0" fontId="18" fillId="13" borderId="0" xfId="16"/>
    <xf numFmtId="0" fontId="0" fillId="34" borderId="0" xfId="0" applyFill="1"/>
    <xf numFmtId="0" fontId="23" fillId="33" borderId="0" xfId="0" applyFont="1" applyFill="1"/>
    <xf numFmtId="0" fontId="68" fillId="0" borderId="0" xfId="41" applyFont="1"/>
    <xf numFmtId="0" fontId="23" fillId="0" borderId="0" xfId="41" applyAlignment="1">
      <alignment horizontal="center"/>
    </xf>
    <xf numFmtId="0" fontId="69" fillId="33" borderId="0" xfId="42" applyFont="1" applyFill="1"/>
    <xf numFmtId="0" fontId="10" fillId="0" borderId="0" xfId="42" applyFont="1"/>
    <xf numFmtId="0" fontId="23" fillId="33" borderId="0" xfId="41" applyFill="1" applyAlignment="1">
      <alignment horizontal="center"/>
    </xf>
    <xf numFmtId="166" fontId="18" fillId="13" borderId="0" xfId="34" applyNumberFormat="1"/>
    <xf numFmtId="166" fontId="14" fillId="0" borderId="0" xfId="53" applyNumberFormat="1" applyFont="1"/>
    <xf numFmtId="0" fontId="57" fillId="0" borderId="0" xfId="42" applyFont="1"/>
    <xf numFmtId="0" fontId="70" fillId="0" borderId="0" xfId="68" quotePrefix="1" applyFill="1" applyAlignment="1" applyProtection="1"/>
    <xf numFmtId="0" fontId="44" fillId="0" borderId="0" xfId="41" applyFont="1" applyFill="1" applyBorder="1"/>
    <xf numFmtId="0" fontId="23" fillId="0" borderId="0" xfId="41" applyBorder="1"/>
    <xf numFmtId="0" fontId="14" fillId="23" borderId="4" xfId="45" applyFont="1" applyAlignment="1">
      <alignment horizontal="center"/>
    </xf>
    <xf numFmtId="0" fontId="17" fillId="8" borderId="12" xfId="7" applyBorder="1" applyAlignment="1">
      <alignment horizontal="center"/>
    </xf>
    <xf numFmtId="0" fontId="9" fillId="0" borderId="0" xfId="67" applyFont="1"/>
    <xf numFmtId="166" fontId="27" fillId="16" borderId="5" xfId="50" applyNumberFormat="1" applyAlignment="1">
      <alignment horizontal="center"/>
    </xf>
    <xf numFmtId="0" fontId="27" fillId="16" borderId="5" xfId="50"/>
    <xf numFmtId="43" fontId="27" fillId="16" borderId="5" xfId="53" applyFont="1" applyFill="1" applyBorder="1"/>
    <xf numFmtId="170" fontId="18" fillId="13" borderId="0" xfId="34" applyNumberFormat="1"/>
    <xf numFmtId="10" fontId="27" fillId="16" borderId="5" xfId="50" applyNumberFormat="1"/>
    <xf numFmtId="171" fontId="27" fillId="16" borderId="5" xfId="50" applyNumberFormat="1"/>
    <xf numFmtId="0" fontId="8" fillId="0" borderId="0" xfId="67" applyFont="1"/>
    <xf numFmtId="1" fontId="24" fillId="7" borderId="1" xfId="37" applyNumberFormat="1"/>
    <xf numFmtId="0" fontId="7" fillId="0" borderId="0" xfId="67" applyFont="1"/>
    <xf numFmtId="166" fontId="18" fillId="13" borderId="4" xfId="16" applyNumberFormat="1" applyBorder="1"/>
    <xf numFmtId="166" fontId="18" fillId="13" borderId="12" xfId="16" applyNumberFormat="1" applyBorder="1"/>
    <xf numFmtId="0" fontId="24" fillId="7" borderId="1" xfId="37" applyAlignment="1">
      <alignment horizontal="center"/>
    </xf>
    <xf numFmtId="1" fontId="24" fillId="7" borderId="1" xfId="37" applyNumberFormat="1" applyAlignment="1">
      <alignment horizontal="center"/>
    </xf>
    <xf numFmtId="0" fontId="6" fillId="0" borderId="0" xfId="69"/>
    <xf numFmtId="168" fontId="72" fillId="26" borderId="45" xfId="70" applyNumberFormat="1"/>
    <xf numFmtId="168" fontId="6" fillId="0" borderId="0" xfId="69" applyNumberFormat="1"/>
    <xf numFmtId="168" fontId="0" fillId="0" borderId="0" xfId="71" applyNumberFormat="1" applyFont="1"/>
    <xf numFmtId="168" fontId="6" fillId="0" borderId="0" xfId="69" applyNumberFormat="1" applyFill="1"/>
    <xf numFmtId="168" fontId="57" fillId="0" borderId="0" xfId="69" applyNumberFormat="1" applyFont="1"/>
    <xf numFmtId="165" fontId="0" fillId="0" borderId="0" xfId="71" applyFont="1"/>
    <xf numFmtId="0" fontId="6" fillId="30" borderId="0" xfId="69" applyFill="1"/>
    <xf numFmtId="0" fontId="12" fillId="0" borderId="0" xfId="43" applyFont="1"/>
    <xf numFmtId="9" fontId="24" fillId="7" borderId="1" xfId="37" applyNumberFormat="1"/>
    <xf numFmtId="0" fontId="5" fillId="0" borderId="0" xfId="69" applyFont="1"/>
    <xf numFmtId="0" fontId="12" fillId="0" borderId="0" xfId="0" applyFont="1" applyAlignment="1">
      <alignment horizontal="center"/>
    </xf>
    <xf numFmtId="43" fontId="18" fillId="13" borderId="0" xfId="16" applyNumberFormat="1"/>
    <xf numFmtId="10" fontId="18" fillId="13" borderId="0" xfId="34" applyNumberFormat="1"/>
    <xf numFmtId="10" fontId="18" fillId="13" borderId="5" xfId="16" applyNumberFormat="1" applyBorder="1"/>
    <xf numFmtId="43" fontId="18" fillId="13" borderId="0" xfId="16" applyNumberFormat="1" applyBorder="1"/>
    <xf numFmtId="165" fontId="18" fillId="13" borderId="0" xfId="16" applyNumberFormat="1"/>
    <xf numFmtId="0" fontId="18" fillId="18" borderId="0" xfId="27" applyAlignment="1">
      <alignment horizontal="center"/>
    </xf>
    <xf numFmtId="0" fontId="27" fillId="16" borderId="0" xfId="50" applyBorder="1"/>
    <xf numFmtId="0" fontId="18" fillId="18" borderId="0" xfId="27" applyAlignment="1"/>
    <xf numFmtId="172" fontId="18" fillId="13" borderId="0" xfId="47" applyNumberFormat="1" applyFont="1" applyFill="1"/>
    <xf numFmtId="10" fontId="18" fillId="13" borderId="0" xfId="47" applyNumberFormat="1" applyFont="1" applyFill="1"/>
    <xf numFmtId="10" fontId="21" fillId="17" borderId="2" xfId="23" applyNumberFormat="1"/>
    <xf numFmtId="0" fontId="4" fillId="0" borderId="0" xfId="69" applyFont="1"/>
    <xf numFmtId="172" fontId="18" fillId="13" borderId="0" xfId="16" applyNumberFormat="1"/>
    <xf numFmtId="0" fontId="6" fillId="31" borderId="0" xfId="69" applyFill="1"/>
    <xf numFmtId="0" fontId="73" fillId="12" borderId="0" xfId="13" applyFont="1" applyAlignment="1">
      <alignment horizontal="center"/>
    </xf>
    <xf numFmtId="0" fontId="74" fillId="0" borderId="0" xfId="69" applyFont="1"/>
    <xf numFmtId="0" fontId="75" fillId="0" borderId="0" xfId="69" applyFont="1"/>
    <xf numFmtId="0" fontId="74" fillId="31" borderId="0" xfId="69" applyFont="1" applyFill="1"/>
    <xf numFmtId="0" fontId="60" fillId="0" borderId="24" xfId="69" applyFont="1" applyBorder="1"/>
    <xf numFmtId="0" fontId="3" fillId="0" borderId="0" xfId="69" applyFont="1"/>
    <xf numFmtId="166" fontId="6" fillId="0" borderId="0" xfId="69" applyNumberFormat="1"/>
    <xf numFmtId="172" fontId="6" fillId="0" borderId="0" xfId="47" applyNumberFormat="1" applyFont="1"/>
    <xf numFmtId="0" fontId="2" fillId="0" borderId="0" xfId="69" applyFont="1"/>
    <xf numFmtId="0" fontId="2" fillId="0" borderId="0" xfId="67" applyFont="1"/>
    <xf numFmtId="0" fontId="14" fillId="0" borderId="0" xfId="43" applyFont="1"/>
    <xf numFmtId="0" fontId="1" fillId="0" borderId="0" xfId="67" applyFont="1"/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51" fillId="28" borderId="0" xfId="32" applyAlignment="1">
      <alignment horizontal="center"/>
    </xf>
    <xf numFmtId="0" fontId="50" fillId="28" borderId="0" xfId="31" applyAlignment="1">
      <alignment horizontal="center"/>
    </xf>
    <xf numFmtId="0" fontId="14" fillId="23" borderId="4" xfId="45" applyFont="1" applyAlignment="1">
      <alignment horizontal="center"/>
    </xf>
    <xf numFmtId="0" fontId="18" fillId="18" borderId="0" xfId="27" applyAlignment="1">
      <alignment horizontal="center"/>
    </xf>
    <xf numFmtId="0" fontId="14" fillId="23" borderId="52" xfId="45" applyFont="1" applyBorder="1" applyAlignment="1">
      <alignment horizontal="center"/>
    </xf>
    <xf numFmtId="0" fontId="14" fillId="23" borderId="35" xfId="45" applyFont="1" applyBorder="1" applyAlignment="1">
      <alignment horizontal="center"/>
    </xf>
    <xf numFmtId="0" fontId="14" fillId="23" borderId="36" xfId="45" applyFont="1" applyBorder="1" applyAlignment="1">
      <alignment horizontal="center"/>
    </xf>
    <xf numFmtId="0" fontId="14" fillId="23" borderId="37" xfId="45" applyFont="1" applyBorder="1" applyAlignment="1">
      <alignment horizontal="center"/>
    </xf>
    <xf numFmtId="0" fontId="17" fillId="8" borderId="12" xfId="7" applyBorder="1" applyAlignment="1">
      <alignment horizontal="center"/>
    </xf>
    <xf numFmtId="0" fontId="37" fillId="7" borderId="1" xfId="37" applyFont="1" applyAlignment="1">
      <alignment horizontal="center"/>
    </xf>
    <xf numFmtId="0" fontId="37" fillId="7" borderId="41" xfId="37" applyFont="1" applyBorder="1" applyAlignment="1">
      <alignment horizontal="center"/>
    </xf>
    <xf numFmtId="0" fontId="37" fillId="7" borderId="42" xfId="37" applyFont="1" applyBorder="1" applyAlignment="1">
      <alignment horizontal="center"/>
    </xf>
    <xf numFmtId="0" fontId="37" fillId="7" borderId="43" xfId="37" applyFont="1" applyBorder="1" applyAlignment="1">
      <alignment horizontal="center"/>
    </xf>
    <xf numFmtId="0" fontId="17" fillId="7" borderId="0" xfId="6" applyAlignment="1">
      <alignment horizontal="center" vertical="center"/>
    </xf>
    <xf numFmtId="0" fontId="51" fillId="28" borderId="20" xfId="32" applyBorder="1" applyAlignment="1">
      <alignment horizontal="center" vertical="center"/>
    </xf>
    <xf numFmtId="0" fontId="51" fillId="28" borderId="24" xfId="32" applyBorder="1" applyAlignment="1">
      <alignment horizontal="center" vertical="center"/>
    </xf>
    <xf numFmtId="164" fontId="51" fillId="28" borderId="0" xfId="32" applyNumberFormat="1" applyAlignment="1">
      <alignment horizontal="right" vertical="center"/>
    </xf>
    <xf numFmtId="164" fontId="51" fillId="28" borderId="24" xfId="32" applyNumberFormat="1" applyBorder="1" applyAlignment="1">
      <alignment horizontal="right" vertical="center"/>
    </xf>
    <xf numFmtId="0" fontId="14" fillId="0" borderId="0" xfId="41" applyFont="1" applyAlignment="1">
      <alignment horizontal="center"/>
    </xf>
    <xf numFmtId="0" fontId="23" fillId="0" borderId="0" xfId="0" applyFont="1" applyAlignment="1">
      <alignment horizontal="center"/>
    </xf>
    <xf numFmtId="0" fontId="18" fillId="18" borderId="0" xfId="27" applyBorder="1" applyAlignment="1">
      <alignment horizontal="center"/>
    </xf>
    <xf numFmtId="0" fontId="23" fillId="0" borderId="0" xfId="41" applyAlignment="1">
      <alignment horizontal="center"/>
    </xf>
    <xf numFmtId="0" fontId="18" fillId="13" borderId="35" xfId="16" applyBorder="1" applyAlignment="1">
      <alignment horizontal="center"/>
    </xf>
    <xf numFmtId="0" fontId="18" fillId="13" borderId="36" xfId="16" applyBorder="1" applyAlignment="1">
      <alignment horizontal="center"/>
    </xf>
    <xf numFmtId="0" fontId="18" fillId="13" borderId="37" xfId="16" applyBorder="1" applyAlignment="1">
      <alignment horizontal="center"/>
    </xf>
    <xf numFmtId="0" fontId="18" fillId="13" borderId="28" xfId="34" applyBorder="1" applyAlignment="1">
      <alignment horizontal="center"/>
    </xf>
    <xf numFmtId="0" fontId="18" fillId="13" borderId="29" xfId="34" applyBorder="1" applyAlignment="1">
      <alignment horizontal="center"/>
    </xf>
    <xf numFmtId="0" fontId="18" fillId="13" borderId="27" xfId="34" applyBorder="1" applyAlignment="1">
      <alignment horizontal="center"/>
    </xf>
    <xf numFmtId="0" fontId="37" fillId="7" borderId="38" xfId="37" applyFont="1" applyBorder="1" applyAlignment="1">
      <alignment horizontal="left"/>
    </xf>
    <xf numFmtId="0" fontId="37" fillId="7" borderId="39" xfId="37" applyFont="1" applyBorder="1" applyAlignment="1">
      <alignment horizontal="left"/>
    </xf>
    <xf numFmtId="0" fontId="37" fillId="7" borderId="40" xfId="37" applyFont="1" applyBorder="1" applyAlignment="1">
      <alignment horizontal="left"/>
    </xf>
    <xf numFmtId="0" fontId="32" fillId="0" borderId="7" xfId="62"/>
    <xf numFmtId="0" fontId="14" fillId="0" borderId="1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2" fillId="0" borderId="0" xfId="0" applyFont="1" applyAlignment="1">
      <alignment horizontal="left"/>
    </xf>
  </cellXfs>
  <cellStyles count="7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Bom 2" xfId="20"/>
    <cellStyle name="Cálculo" xfId="21" builtinId="22" customBuiltin="1"/>
    <cellStyle name="Cálculo 2" xfId="22"/>
    <cellStyle name="Célula de Verificação" xfId="23" builtinId="23" customBuiltin="1"/>
    <cellStyle name="Célula de Verificação 2" xfId="24"/>
    <cellStyle name="Célula de Verificação 3" xfId="70"/>
    <cellStyle name="Célula Vinculada" xfId="25" builtinId="24" customBuiltin="1"/>
    <cellStyle name="Comma 2" xfId="26"/>
    <cellStyle name="Ênfase1" xfId="27" builtinId="29" customBuiltin="1"/>
    <cellStyle name="Ênfase1 2" xfId="28"/>
    <cellStyle name="Ênfase1 3" xfId="29"/>
    <cellStyle name="Ênfase2" xfId="30" builtinId="33" customBuiltin="1"/>
    <cellStyle name="Ênfase2 2" xfId="31"/>
    <cellStyle name="Ênfase2 3" xfId="32"/>
    <cellStyle name="Ênfase3" xfId="33" builtinId="37" customBuiltin="1"/>
    <cellStyle name="Ênfase4" xfId="34" builtinId="41" customBuiltin="1"/>
    <cellStyle name="Ênfase5" xfId="35" builtinId="45" customBuiltin="1"/>
    <cellStyle name="Ênfase6" xfId="36" builtinId="49" customBuiltin="1"/>
    <cellStyle name="Entrada" xfId="37" builtinId="20" customBuiltin="1"/>
    <cellStyle name="Entrada 2" xfId="38"/>
    <cellStyle name="Hiperlink" xfId="68" builtinId="8"/>
    <cellStyle name="Incorreto" xfId="39" builtinId="27" customBuiltin="1"/>
    <cellStyle name="Neutra" xfId="40" builtinId="28" customBuiltin="1"/>
    <cellStyle name="Normal" xfId="0" builtinId="0"/>
    <cellStyle name="Normal 2" xfId="41"/>
    <cellStyle name="Normal 3" xfId="42"/>
    <cellStyle name="Normal 3 2" xfId="43"/>
    <cellStyle name="Normal 3 3" xfId="67"/>
    <cellStyle name="Normal 4" xfId="69"/>
    <cellStyle name="Normal_GEF" xfId="44"/>
    <cellStyle name="Nota" xfId="45" builtinId="10" customBuiltin="1"/>
    <cellStyle name="Percent 2" xfId="46"/>
    <cellStyle name="Porcentagem" xfId="47" builtinId="5"/>
    <cellStyle name="Porcentagem 2" xfId="48"/>
    <cellStyle name="Porcentagem 3" xfId="49"/>
    <cellStyle name="Saída" xfId="50" builtinId="21" customBuiltin="1"/>
    <cellStyle name="Saída 2" xfId="51"/>
    <cellStyle name="Saída 3" xfId="52"/>
    <cellStyle name="Separador de milhares 2" xfId="54"/>
    <cellStyle name="Separador de milhares 3" xfId="55"/>
    <cellStyle name="Separador de milhares 4" xfId="56"/>
    <cellStyle name="Separador de milhares 5" xfId="71"/>
    <cellStyle name="Style 1" xfId="57"/>
    <cellStyle name="Texto de Aviso" xfId="58" builtinId="11" customBuiltin="1"/>
    <cellStyle name="Texto Explicativo" xfId="59" builtinId="53" customBuiltin="1"/>
    <cellStyle name="Texto Explicativo 2" xfId="60"/>
    <cellStyle name="Título" xfId="61" builtinId="15" customBuiltin="1"/>
    <cellStyle name="Título 1" xfId="62" builtinId="16" customBuiltin="1"/>
    <cellStyle name="Título 2" xfId="63" builtinId="17" customBuiltin="1"/>
    <cellStyle name="Título 3" xfId="64" builtinId="18" customBuiltin="1"/>
    <cellStyle name="Título 4" xfId="65" builtinId="19" customBuiltin="1"/>
    <cellStyle name="Total" xfId="66" builtinId="25" customBuiltin="1"/>
    <cellStyle name="Vírgula" xfId="53" builtinId="3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pt-BR" sz="1200" b="1" i="0" u="none" strike="noStrike" baseline="0"/>
              <a:t>TRÍADE </a:t>
            </a:r>
            <a:r>
              <a:rPr lang="pt-BR" sz="1200" b="0" i="0" u="none" strike="noStrike" baseline="0"/>
              <a:t> </a:t>
            </a:r>
            <a:endParaRPr lang="pt-B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5000000000000011E-2"/>
          <c:y val="0.10263157894736842"/>
          <c:w val="0.84519230769230769"/>
          <c:h val="0.8184210526315846"/>
        </c:manualLayout>
      </c:layout>
      <c:lineChart>
        <c:grouping val="standard"/>
        <c:varyColors val="0"/>
        <c:ser>
          <c:idx val="0"/>
          <c:order val="0"/>
          <c:tx>
            <c:strRef>
              <c:f>NCG!$A$40</c:f>
              <c:strCache>
                <c:ptCount val="1"/>
                <c:pt idx="0">
                  <c:v>NCG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pPr>
              <a:solidFill>
                <a:schemeClr val="accent2">
                  <a:lumMod val="20000"/>
                  <a:lumOff val="80000"/>
                </a:schemeClr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cat>
            <c:strRef>
              <c:f>NCG!$B$2:$F$2</c:f>
              <c:strCache>
                <c:ptCount val="5"/>
                <c:pt idx="0">
                  <c:v>2008 R</c:v>
                </c:pt>
                <c:pt idx="1">
                  <c:v>2009 R</c:v>
                </c:pt>
                <c:pt idx="2">
                  <c:v>2010 R</c:v>
                </c:pt>
                <c:pt idx="3">
                  <c:v>2011 R</c:v>
                </c:pt>
                <c:pt idx="4">
                  <c:v>2012 P</c:v>
                </c:pt>
              </c:strCache>
            </c:strRef>
          </c:cat>
          <c:val>
            <c:numRef>
              <c:f>NCG!$B$40:$F$40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NCG!$A$22</c:f>
              <c:strCache>
                <c:ptCount val="1"/>
                <c:pt idx="0">
                  <c:v>CCL</c:v>
                </c:pt>
              </c:strCache>
            </c:strRef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strRef>
              <c:f>NCG!$B$2:$F$2</c:f>
              <c:strCache>
                <c:ptCount val="5"/>
                <c:pt idx="0">
                  <c:v>2008 R</c:v>
                </c:pt>
                <c:pt idx="1">
                  <c:v>2009 R</c:v>
                </c:pt>
                <c:pt idx="2">
                  <c:v>2010 R</c:v>
                </c:pt>
                <c:pt idx="3">
                  <c:v>2011 R</c:v>
                </c:pt>
                <c:pt idx="4">
                  <c:v>2012 P</c:v>
                </c:pt>
              </c:strCache>
            </c:strRef>
          </c:cat>
          <c:val>
            <c:numRef>
              <c:f>NCG!$B$22:$F$22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49600"/>
        <c:axId val="144680448"/>
      </c:lineChart>
      <c:catAx>
        <c:axId val="1446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44680448"/>
        <c:crosses val="autoZero"/>
        <c:auto val="1"/>
        <c:lblAlgn val="ctr"/>
        <c:lblOffset val="100"/>
        <c:noMultiLvlLbl val="0"/>
      </c:catAx>
      <c:valAx>
        <c:axId val="14468044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44649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269230769230771"/>
          <c:y val="0.48421052631578948"/>
          <c:w val="6.0576923076922903E-2"/>
          <c:h val="0.11842105263157929"/>
        </c:manualLayout>
      </c:layout>
      <c:overlay val="0"/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pt-BR"/>
              <a:t>Evolução e Projeção dos Niveis de Ponto de Equilibrio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040561622464887"/>
          <c:y val="0.23255851679057568"/>
          <c:w val="0.68018720748829964"/>
          <c:h val="0.63455252438571352"/>
        </c:manualLayout>
      </c:layout>
      <c:bar3DChart>
        <c:barDir val="col"/>
        <c:grouping val="clustered"/>
        <c:varyColors val="0"/>
        <c:ser>
          <c:idx val="0"/>
          <c:order val="0"/>
          <c:tx>
            <c:v>PE 1</c:v>
          </c:tx>
          <c:invertIfNegative val="0"/>
          <c:cat>
            <c:strRef>
              <c:f>'Ponto de Equilibrio'!$B$4:$F$4</c:f>
              <c:strCache>
                <c:ptCount val="5"/>
                <c:pt idx="0">
                  <c:v>2008 R</c:v>
                </c:pt>
                <c:pt idx="1">
                  <c:v>2009 R</c:v>
                </c:pt>
                <c:pt idx="2">
                  <c:v>2010 R</c:v>
                </c:pt>
                <c:pt idx="3">
                  <c:v>2011 R</c:v>
                </c:pt>
                <c:pt idx="4">
                  <c:v>2012 P</c:v>
                </c:pt>
              </c:strCache>
            </c:strRef>
          </c:cat>
          <c:val>
            <c:numRef>
              <c:f>'Ponto de Equilibrio'!$B$11:$F$11</c:f>
              <c:numCache>
                <c:formatCode>_-* #,##0_-;\-* #,##0_-;_-* "-"??_-;_-@_-</c:formatCode>
                <c:ptCount val="5"/>
              </c:numCache>
            </c:numRef>
          </c:val>
        </c:ser>
        <c:ser>
          <c:idx val="1"/>
          <c:order val="1"/>
          <c:tx>
            <c:v>PE 2</c:v>
          </c:tx>
          <c:invertIfNegative val="0"/>
          <c:cat>
            <c:strRef>
              <c:f>'Ponto de Equilibrio'!$B$4:$F$4</c:f>
              <c:strCache>
                <c:ptCount val="5"/>
                <c:pt idx="0">
                  <c:v>2008 R</c:v>
                </c:pt>
                <c:pt idx="1">
                  <c:v>2009 R</c:v>
                </c:pt>
                <c:pt idx="2">
                  <c:v>2010 R</c:v>
                </c:pt>
                <c:pt idx="3">
                  <c:v>2011 R</c:v>
                </c:pt>
                <c:pt idx="4">
                  <c:v>2012 P</c:v>
                </c:pt>
              </c:strCache>
            </c:strRef>
          </c:cat>
          <c:val>
            <c:numRef>
              <c:f>'Ponto de Equilibrio'!$B$13:$F$13</c:f>
              <c:numCache>
                <c:formatCode>_-* #,##0_-;\-* #,##0_-;_-* "-"??_-;_-@_-</c:formatCode>
                <c:ptCount val="5"/>
              </c:numCache>
            </c:numRef>
          </c:val>
        </c:ser>
        <c:ser>
          <c:idx val="2"/>
          <c:order val="2"/>
          <c:tx>
            <c:v>PE 3</c:v>
          </c:tx>
          <c:invertIfNegative val="0"/>
          <c:cat>
            <c:strRef>
              <c:f>'Ponto de Equilibrio'!$B$4:$F$4</c:f>
              <c:strCache>
                <c:ptCount val="5"/>
                <c:pt idx="0">
                  <c:v>2008 R</c:v>
                </c:pt>
                <c:pt idx="1">
                  <c:v>2009 R</c:v>
                </c:pt>
                <c:pt idx="2">
                  <c:v>2010 R</c:v>
                </c:pt>
                <c:pt idx="3">
                  <c:v>2011 R</c:v>
                </c:pt>
                <c:pt idx="4">
                  <c:v>2012 P</c:v>
                </c:pt>
              </c:strCache>
            </c:strRef>
          </c:cat>
          <c:val>
            <c:numRef>
              <c:f>'Ponto de Equilibrio'!$B$15:$F$15</c:f>
              <c:numCache>
                <c:formatCode>_-* #,##0_-;\-* #,##0_-;_-* "-"??_-;_-@_-</c:formatCode>
                <c:ptCount val="5"/>
              </c:numCache>
            </c:numRef>
          </c:val>
        </c:ser>
        <c:ser>
          <c:idx val="3"/>
          <c:order val="3"/>
          <c:tx>
            <c:v>Receita Bruta</c:v>
          </c:tx>
          <c:invertIfNegative val="0"/>
          <c:cat>
            <c:strRef>
              <c:f>'Ponto de Equilibrio'!$B$4:$F$4</c:f>
              <c:strCache>
                <c:ptCount val="5"/>
                <c:pt idx="0">
                  <c:v>2008 R</c:v>
                </c:pt>
                <c:pt idx="1">
                  <c:v>2009 R</c:v>
                </c:pt>
                <c:pt idx="2">
                  <c:v>2010 R</c:v>
                </c:pt>
                <c:pt idx="3">
                  <c:v>2011 R</c:v>
                </c:pt>
                <c:pt idx="4">
                  <c:v>2012 P</c:v>
                </c:pt>
              </c:strCache>
            </c:strRef>
          </c:cat>
          <c:val>
            <c:numRef>
              <c:f>'Ponto de Equilibrio'!$B$5:$F$5</c:f>
              <c:numCache>
                <c:formatCode>_(* #,##0_);_(* \(#,##0\);_(* "-"??_);_(@_)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45834752"/>
        <c:axId val="145836288"/>
        <c:axId val="0"/>
      </c:bar3DChart>
      <c:catAx>
        <c:axId val="14583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145836288"/>
        <c:crosses val="autoZero"/>
        <c:auto val="1"/>
        <c:lblAlgn val="ctr"/>
        <c:lblOffset val="100"/>
        <c:noMultiLvlLbl val="0"/>
      </c:catAx>
      <c:valAx>
        <c:axId val="1458362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145834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922152476650269"/>
          <c:y val="0.50261787044061368"/>
          <c:w val="0.14007329427035364"/>
          <c:h val="0.30366494885813677"/>
        </c:manualLayout>
      </c:layout>
      <c:overlay val="0"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58" footer="0.31496062000000158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0</xdr:rowOff>
    </xdr:from>
    <xdr:to>
      <xdr:col>7</xdr:col>
      <xdr:colOff>1276350</xdr:colOff>
      <xdr:row>5</xdr:row>
      <xdr:rowOff>155448</xdr:rowOff>
    </xdr:to>
    <xdr:sp macro="" textlink="">
      <xdr:nvSpPr>
        <xdr:cNvPr id="2" name="Texto explicativo retangular 1"/>
        <xdr:cNvSpPr/>
      </xdr:nvSpPr>
      <xdr:spPr>
        <a:xfrm>
          <a:off x="9896475" y="161925"/>
          <a:ext cx="1162050" cy="641223"/>
        </a:xfrm>
        <a:prstGeom prst="wedgeRectCallout">
          <a:avLst>
            <a:gd name="adj1" fmla="val -105208"/>
            <a:gd name="adj2" fmla="val 6250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pt-BR" sz="1100"/>
        </a:p>
        <a:p>
          <a:pPr algn="ctr"/>
          <a:r>
            <a:rPr lang="pt-BR" sz="1100"/>
            <a:t>Código do Produto será da empresa</a:t>
          </a:r>
        </a:p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2</xdr:row>
      <xdr:rowOff>38100</xdr:rowOff>
    </xdr:from>
    <xdr:to>
      <xdr:col>4</xdr:col>
      <xdr:colOff>960376</xdr:colOff>
      <xdr:row>5</xdr:row>
      <xdr:rowOff>123825</xdr:rowOff>
    </xdr:to>
    <xdr:sp macro="" textlink="">
      <xdr:nvSpPr>
        <xdr:cNvPr id="5" name="Fluxograma: Processo alternativo 4"/>
        <xdr:cNvSpPr/>
      </xdr:nvSpPr>
      <xdr:spPr>
        <a:xfrm>
          <a:off x="4210051" y="419100"/>
          <a:ext cx="933450" cy="657225"/>
        </a:xfrm>
        <a:prstGeom prst="flowChartAlternateProcess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000"/>
            <a:t>Margem</a:t>
          </a:r>
        </a:p>
        <a:p>
          <a:pPr algn="ctr"/>
          <a:r>
            <a:rPr lang="pt-BR" sz="1000"/>
            <a:t>x</a:t>
          </a:r>
        </a:p>
        <a:p>
          <a:pPr algn="ctr"/>
          <a:r>
            <a:rPr lang="pt-BR" sz="1000"/>
            <a:t>  Preço</a:t>
          </a:r>
        </a:p>
        <a:p>
          <a:pPr algn="ctr"/>
          <a:endParaRPr lang="pt-BR" sz="1100"/>
        </a:p>
      </xdr:txBody>
    </xdr:sp>
    <xdr:clientData/>
  </xdr:twoCellAnchor>
  <xdr:twoCellAnchor editAs="oneCell">
    <xdr:from>
      <xdr:col>0</xdr:col>
      <xdr:colOff>190500</xdr:colOff>
      <xdr:row>0</xdr:row>
      <xdr:rowOff>47625</xdr:rowOff>
    </xdr:from>
    <xdr:to>
      <xdr:col>0</xdr:col>
      <xdr:colOff>1209675</xdr:colOff>
      <xdr:row>2</xdr:row>
      <xdr:rowOff>123825</xdr:rowOff>
    </xdr:to>
    <xdr:pic>
      <xdr:nvPicPr>
        <xdr:cNvPr id="284674" name="Imagem 5" descr="triade1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47625"/>
          <a:ext cx="10191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148589</xdr:colOff>
      <xdr:row>2</xdr:row>
      <xdr:rowOff>11431</xdr:rowOff>
    </xdr:from>
    <xdr:to>
      <xdr:col>6</xdr:col>
      <xdr:colOff>960185</xdr:colOff>
      <xdr:row>5</xdr:row>
      <xdr:rowOff>87631</xdr:rowOff>
    </xdr:to>
    <xdr:sp macro="" textlink="">
      <xdr:nvSpPr>
        <xdr:cNvPr id="14" name="Fluxograma: Processo alternativo 13"/>
        <xdr:cNvSpPr/>
      </xdr:nvSpPr>
      <xdr:spPr>
        <a:xfrm>
          <a:off x="5629274" y="400051"/>
          <a:ext cx="809625" cy="647700"/>
        </a:xfrm>
        <a:prstGeom prst="flowChartAlternateProcess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000"/>
            <a:t>Preço</a:t>
          </a:r>
        </a:p>
        <a:p>
          <a:pPr algn="ctr"/>
          <a:r>
            <a:rPr lang="pt-BR" sz="1000"/>
            <a:t>x</a:t>
          </a:r>
        </a:p>
        <a:p>
          <a:pPr algn="ctr"/>
          <a:r>
            <a:rPr lang="pt-BR" sz="1000"/>
            <a:t> Margem</a:t>
          </a:r>
        </a:p>
        <a:p>
          <a:pPr algn="ctr"/>
          <a:endParaRPr lang="pt-BR" sz="1000"/>
        </a:p>
        <a:p>
          <a:pPr algn="ctr"/>
          <a:endParaRPr lang="pt-BR" sz="1100"/>
        </a:p>
      </xdr:txBody>
    </xdr:sp>
    <xdr:clientData/>
  </xdr:twoCellAnchor>
  <xdr:twoCellAnchor>
    <xdr:from>
      <xdr:col>8</xdr:col>
      <xdr:colOff>57150</xdr:colOff>
      <xdr:row>2</xdr:row>
      <xdr:rowOff>38100</xdr:rowOff>
    </xdr:from>
    <xdr:to>
      <xdr:col>8</xdr:col>
      <xdr:colOff>960476</xdr:colOff>
      <xdr:row>5</xdr:row>
      <xdr:rowOff>108696</xdr:rowOff>
    </xdr:to>
    <xdr:sp macro="" textlink="">
      <xdr:nvSpPr>
        <xdr:cNvPr id="15" name="Fluxograma: Processo alternativo 14"/>
        <xdr:cNvSpPr/>
      </xdr:nvSpPr>
      <xdr:spPr>
        <a:xfrm>
          <a:off x="6829425" y="419100"/>
          <a:ext cx="904875" cy="638175"/>
        </a:xfrm>
        <a:prstGeom prst="flowChartAlternateProcess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000"/>
            <a:t>Mark up</a:t>
          </a:r>
        </a:p>
        <a:p>
          <a:pPr algn="ctr"/>
          <a:r>
            <a:rPr lang="pt-BR" sz="1000"/>
            <a:t>sobre</a:t>
          </a:r>
        </a:p>
        <a:p>
          <a:pPr algn="ctr"/>
          <a:r>
            <a:rPr lang="pt-BR" sz="1000"/>
            <a:t>Custos</a:t>
          </a:r>
        </a:p>
        <a:p>
          <a:pPr algn="ctr"/>
          <a:endParaRPr lang="pt-BR" sz="1000"/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158115</xdr:colOff>
      <xdr:row>37</xdr:row>
      <xdr:rowOff>85726</xdr:rowOff>
    </xdr:from>
    <xdr:to>
      <xdr:col>0</xdr:col>
      <xdr:colOff>1192260</xdr:colOff>
      <xdr:row>39</xdr:row>
      <xdr:rowOff>0</xdr:rowOff>
    </xdr:to>
    <xdr:sp macro="" textlink="">
      <xdr:nvSpPr>
        <xdr:cNvPr id="16" name="Retângulo 15"/>
        <xdr:cNvSpPr/>
      </xdr:nvSpPr>
      <xdr:spPr>
        <a:xfrm>
          <a:off x="161925" y="6753226"/>
          <a:ext cx="1038225" cy="295274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Calcular</a:t>
          </a:r>
        </a:p>
      </xdr:txBody>
    </xdr:sp>
    <xdr:clientData/>
  </xdr:twoCellAnchor>
  <xdr:twoCellAnchor>
    <xdr:from>
      <xdr:col>1</xdr:col>
      <xdr:colOff>0</xdr:colOff>
      <xdr:row>37</xdr:row>
      <xdr:rowOff>76200</xdr:rowOff>
    </xdr:from>
    <xdr:to>
      <xdr:col>2</xdr:col>
      <xdr:colOff>114300</xdr:colOff>
      <xdr:row>38</xdr:row>
      <xdr:rowOff>180974</xdr:rowOff>
    </xdr:to>
    <xdr:sp macro="" textlink="">
      <xdr:nvSpPr>
        <xdr:cNvPr id="17" name="Retângulo 16"/>
        <xdr:cNvSpPr/>
      </xdr:nvSpPr>
      <xdr:spPr>
        <a:xfrm>
          <a:off x="1562100" y="6743700"/>
          <a:ext cx="1038225" cy="295274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Editar</a:t>
          </a:r>
        </a:p>
      </xdr:txBody>
    </xdr:sp>
    <xdr:clientData/>
  </xdr:twoCellAnchor>
  <xdr:twoCellAnchor>
    <xdr:from>
      <xdr:col>3</xdr:col>
      <xdr:colOff>81915</xdr:colOff>
      <xdr:row>37</xdr:row>
      <xdr:rowOff>95250</xdr:rowOff>
    </xdr:from>
    <xdr:to>
      <xdr:col>3</xdr:col>
      <xdr:colOff>1120079</xdr:colOff>
      <xdr:row>38</xdr:row>
      <xdr:rowOff>163830</xdr:rowOff>
    </xdr:to>
    <xdr:sp macro="" textlink="">
      <xdr:nvSpPr>
        <xdr:cNvPr id="18" name="Retângulo 17"/>
        <xdr:cNvSpPr/>
      </xdr:nvSpPr>
      <xdr:spPr>
        <a:xfrm>
          <a:off x="2752725" y="6762750"/>
          <a:ext cx="1038225" cy="2667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Limpar</a:t>
          </a:r>
        </a:p>
      </xdr:txBody>
    </xdr:sp>
    <xdr:clientData/>
  </xdr:twoCellAnchor>
  <xdr:twoCellAnchor>
    <xdr:from>
      <xdr:col>3</xdr:col>
      <xdr:colOff>1343025</xdr:colOff>
      <xdr:row>37</xdr:row>
      <xdr:rowOff>76200</xdr:rowOff>
    </xdr:from>
    <xdr:to>
      <xdr:col>4</xdr:col>
      <xdr:colOff>857293</xdr:colOff>
      <xdr:row>38</xdr:row>
      <xdr:rowOff>163930</xdr:rowOff>
    </xdr:to>
    <xdr:sp macro="" textlink="">
      <xdr:nvSpPr>
        <xdr:cNvPr id="19" name="Retângulo 18"/>
        <xdr:cNvSpPr/>
      </xdr:nvSpPr>
      <xdr:spPr>
        <a:xfrm>
          <a:off x="4010025" y="6743700"/>
          <a:ext cx="1038225" cy="28575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Salvar</a:t>
          </a:r>
        </a:p>
      </xdr:txBody>
    </xdr:sp>
    <xdr:clientData/>
  </xdr:twoCellAnchor>
  <xdr:twoCellAnchor>
    <xdr:from>
      <xdr:col>5</xdr:col>
      <xdr:colOff>38100</xdr:colOff>
      <xdr:row>37</xdr:row>
      <xdr:rowOff>66675</xdr:rowOff>
    </xdr:from>
    <xdr:to>
      <xdr:col>6</xdr:col>
      <xdr:colOff>887427</xdr:colOff>
      <xdr:row>39</xdr:row>
      <xdr:rowOff>0</xdr:rowOff>
    </xdr:to>
    <xdr:sp macro="" textlink="">
      <xdr:nvSpPr>
        <xdr:cNvPr id="20" name="Retângulo 19"/>
        <xdr:cNvSpPr/>
      </xdr:nvSpPr>
      <xdr:spPr>
        <a:xfrm>
          <a:off x="5267325" y="6734175"/>
          <a:ext cx="1038225" cy="3143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Salvar Como</a:t>
          </a:r>
        </a:p>
      </xdr:txBody>
    </xdr:sp>
    <xdr:clientData/>
  </xdr:twoCellAnchor>
  <xdr:twoCellAnchor>
    <xdr:from>
      <xdr:col>8</xdr:col>
      <xdr:colOff>0</xdr:colOff>
      <xdr:row>37</xdr:row>
      <xdr:rowOff>85724</xdr:rowOff>
    </xdr:from>
    <xdr:to>
      <xdr:col>8</xdr:col>
      <xdr:colOff>1070761</xdr:colOff>
      <xdr:row>38</xdr:row>
      <xdr:rowOff>190499</xdr:rowOff>
    </xdr:to>
    <xdr:sp macro="" textlink="">
      <xdr:nvSpPr>
        <xdr:cNvPr id="21" name="Retângulo 20"/>
        <xdr:cNvSpPr/>
      </xdr:nvSpPr>
      <xdr:spPr>
        <a:xfrm>
          <a:off x="6638925" y="6753224"/>
          <a:ext cx="1038225" cy="29527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85725</xdr:rowOff>
    </xdr:from>
    <xdr:to>
      <xdr:col>9</xdr:col>
      <xdr:colOff>504825</xdr:colOff>
      <xdr:row>7</xdr:row>
      <xdr:rowOff>47625</xdr:rowOff>
    </xdr:to>
    <xdr:sp macro="" textlink="">
      <xdr:nvSpPr>
        <xdr:cNvPr id="2" name="Texto explicativo retangular 1"/>
        <xdr:cNvSpPr/>
      </xdr:nvSpPr>
      <xdr:spPr>
        <a:xfrm>
          <a:off x="7429500" y="247650"/>
          <a:ext cx="1885950" cy="1047750"/>
        </a:xfrm>
        <a:prstGeom prst="wedgeRectCallout">
          <a:avLst>
            <a:gd name="adj1" fmla="val -149480"/>
            <a:gd name="adj2" fmla="val 8858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pt-BR" sz="1100"/>
            <a:t>Exceto, os grupos marcados em verde, os demais devem ser habilitados.  Caso algum deles tenha  Não, este grupo não  aparecerá  nos relatórios.</a:t>
          </a:r>
        </a:p>
      </xdr:txBody>
    </xdr:sp>
    <xdr:clientData/>
  </xdr:twoCellAnchor>
  <xdr:twoCellAnchor>
    <xdr:from>
      <xdr:col>5</xdr:col>
      <xdr:colOff>295274</xdr:colOff>
      <xdr:row>9</xdr:row>
      <xdr:rowOff>38100</xdr:rowOff>
    </xdr:from>
    <xdr:to>
      <xdr:col>10</xdr:col>
      <xdr:colOff>66675</xdr:colOff>
      <xdr:row>15</xdr:row>
      <xdr:rowOff>142875</xdr:rowOff>
    </xdr:to>
    <xdr:sp macro="" textlink="">
      <xdr:nvSpPr>
        <xdr:cNvPr id="3" name="Texto explicativo retangular com cantos arredondados 2"/>
        <xdr:cNvSpPr/>
      </xdr:nvSpPr>
      <xdr:spPr>
        <a:xfrm>
          <a:off x="6619874" y="1685925"/>
          <a:ext cx="2867026" cy="1304925"/>
        </a:xfrm>
        <a:prstGeom prst="wedgeRoundRectCallout">
          <a:avLst>
            <a:gd name="adj1" fmla="val -84910"/>
            <a:gd name="adj2" fmla="val 86549"/>
            <a:gd name="adj3" fmla="val 1666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pt-BR" sz="1100"/>
            <a:t>Pode-se adicionar até 99 contas  no nivel analitico. No plano padrão apresentamos 6 contas, cujos nomes podem ser editados ( modificados)  ou pode-se excluir a conta, desde que não tenha movimento.</a:t>
          </a:r>
        </a:p>
      </xdr:txBody>
    </xdr:sp>
    <xdr:clientData/>
  </xdr:twoCellAnchor>
  <xdr:twoCellAnchor>
    <xdr:from>
      <xdr:col>2</xdr:col>
      <xdr:colOff>3171829</xdr:colOff>
      <xdr:row>5</xdr:row>
      <xdr:rowOff>123827</xdr:rowOff>
    </xdr:from>
    <xdr:to>
      <xdr:col>2</xdr:col>
      <xdr:colOff>3190875</xdr:colOff>
      <xdr:row>19</xdr:row>
      <xdr:rowOff>152403</xdr:rowOff>
    </xdr:to>
    <xdr:cxnSp macro="">
      <xdr:nvCxnSpPr>
        <xdr:cNvPr id="4" name="Conector de seta reta 3"/>
        <xdr:cNvCxnSpPr/>
      </xdr:nvCxnSpPr>
      <xdr:spPr>
        <a:xfrm rot="16200000" flipH="1">
          <a:off x="3243264" y="2328867"/>
          <a:ext cx="2733676" cy="19046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161924</xdr:colOff>
      <xdr:row>30</xdr:row>
      <xdr:rowOff>95251</xdr:rowOff>
    </xdr:from>
    <xdr:to>
      <xdr:col>10</xdr:col>
      <xdr:colOff>361949</xdr:colOff>
      <xdr:row>35</xdr:row>
      <xdr:rowOff>171450</xdr:rowOff>
    </xdr:to>
    <xdr:sp macro="" textlink="">
      <xdr:nvSpPr>
        <xdr:cNvPr id="5" name="Texto explicativo retangular 4"/>
        <xdr:cNvSpPr/>
      </xdr:nvSpPr>
      <xdr:spPr>
        <a:xfrm>
          <a:off x="6486524" y="5638801"/>
          <a:ext cx="3295650" cy="962024"/>
        </a:xfrm>
        <a:prstGeom prst="wedgeRectCallout">
          <a:avLst>
            <a:gd name="adj1" fmla="val -52556"/>
            <a:gd name="adj2" fmla="val -14214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pt-BR" sz="1100"/>
            <a:t>apenas  lembrando, caso algum grupo  do nivel 3, não tenha sido habilitado este</a:t>
          </a:r>
          <a:r>
            <a:rPr lang="pt-BR" sz="1100" baseline="0"/>
            <a:t> não deverá aparecer na estrutura do plano de contas. Para fins de cadastramento inicial vamos habilitar todos os grupos.</a:t>
          </a:r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152401</xdr:colOff>
      <xdr:row>6</xdr:row>
      <xdr:rowOff>19050</xdr:rowOff>
    </xdr:from>
    <xdr:to>
      <xdr:col>9</xdr:col>
      <xdr:colOff>66677</xdr:colOff>
      <xdr:row>11</xdr:row>
      <xdr:rowOff>22097</xdr:rowOff>
    </xdr:to>
    <xdr:sp macro="" textlink="">
      <xdr:nvSpPr>
        <xdr:cNvPr id="2" name="Texto explicativo retangular 1"/>
        <xdr:cNvSpPr/>
      </xdr:nvSpPr>
      <xdr:spPr>
        <a:xfrm>
          <a:off x="6134101" y="1028700"/>
          <a:ext cx="1743076" cy="1003172"/>
        </a:xfrm>
        <a:prstGeom prst="wedgeRectCallout">
          <a:avLst>
            <a:gd name="adj1" fmla="val -87964"/>
            <a:gd name="adj2" fmla="val 45119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pt-BR" sz="1100"/>
            <a:t>Grupos em verde</a:t>
          </a:r>
          <a:r>
            <a:rPr lang="pt-BR" sz="1100" baseline="0"/>
            <a:t> Obrigatórios.  Demais Contas ( habilitar ou não)</a:t>
          </a:r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43</xdr:row>
      <xdr:rowOff>28575</xdr:rowOff>
    </xdr:from>
    <xdr:to>
      <xdr:col>15</xdr:col>
      <xdr:colOff>457200</xdr:colOff>
      <xdr:row>65</xdr:row>
      <xdr:rowOff>85725</xdr:rowOff>
    </xdr:to>
    <xdr:graphicFrame macro="">
      <xdr:nvGraphicFramePr>
        <xdr:cNvPr id="11886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</xdr:row>
      <xdr:rowOff>142875</xdr:rowOff>
    </xdr:from>
    <xdr:to>
      <xdr:col>17</xdr:col>
      <xdr:colOff>581025</xdr:colOff>
      <xdr:row>18</xdr:row>
      <xdr:rowOff>133350</xdr:rowOff>
    </xdr:to>
    <xdr:graphicFrame macro="">
      <xdr:nvGraphicFramePr>
        <xdr:cNvPr id="122956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INGA/Local%20Settings/Temporary%20Internet%20Files/Content.IE5/IRK9A1WZ/PHI-DREorc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"/>
      <sheetName val="Receita"/>
      <sheetName val="Resumo"/>
      <sheetName val="Res-Ano"/>
      <sheetName val="Presid"/>
      <sheetName val="ADM"/>
      <sheetName val="FIN"/>
      <sheetName val="DES"/>
      <sheetName val="V_UPS"/>
      <sheetName val="V_PHI"/>
      <sheetName val="SUP"/>
      <sheetName val="PRO"/>
      <sheetName val="Qua"/>
      <sheetName val="Eng"/>
      <sheetName val="Rateio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94"/>
  <sheetViews>
    <sheetView tabSelected="1" workbookViewId="0">
      <selection activeCell="B4" sqref="B4"/>
    </sheetView>
  </sheetViews>
  <sheetFormatPr defaultColWidth="9.140625" defaultRowHeight="15" outlineLevelRow="1" x14ac:dyDescent="0.25"/>
  <cols>
    <col min="1" max="1" width="17.42578125" style="131" bestFit="1" customWidth="1"/>
    <col min="2" max="2" width="58.7109375" style="131" customWidth="1"/>
    <col min="3" max="3" width="17.140625" style="131" customWidth="1"/>
    <col min="4" max="4" width="42.5703125" style="131" customWidth="1"/>
    <col min="5" max="5" width="39.28515625" style="131" customWidth="1"/>
    <col min="6" max="16384" width="9.140625" style="131"/>
  </cols>
  <sheetData>
    <row r="1" spans="1:2" ht="18.75" x14ac:dyDescent="0.3">
      <c r="A1" s="129" t="s">
        <v>173</v>
      </c>
      <c r="B1" s="130" t="s">
        <v>174</v>
      </c>
    </row>
    <row r="2" spans="1:2" ht="18.75" x14ac:dyDescent="0.3">
      <c r="A2" s="131" t="s">
        <v>175</v>
      </c>
      <c r="B2" s="199" t="s">
        <v>176</v>
      </c>
    </row>
    <row r="3" spans="1:2" ht="18.75" x14ac:dyDescent="0.3">
      <c r="A3" s="131" t="s">
        <v>175</v>
      </c>
      <c r="B3" s="199" t="s">
        <v>177</v>
      </c>
    </row>
    <row r="4" spans="1:2" ht="18.75" x14ac:dyDescent="0.3">
      <c r="A4" s="131" t="s">
        <v>175</v>
      </c>
      <c r="B4" s="199" t="s">
        <v>418</v>
      </c>
    </row>
    <row r="5" spans="1:2" outlineLevel="1" x14ac:dyDescent="0.25">
      <c r="A5" s="131" t="s">
        <v>175</v>
      </c>
      <c r="B5" s="132" t="str">
        <f>Cadastro!E60</f>
        <v>Lay Out para Importação de Arquivos- Produtos Revenda Nacional</v>
      </c>
    </row>
    <row r="6" spans="1:2" outlineLevel="1" x14ac:dyDescent="0.25">
      <c r="A6" s="131" t="s">
        <v>175</v>
      </c>
      <c r="B6" s="132" t="str">
        <f>Cadastro!E64</f>
        <v>Estrutura de Cálculo dos Custos Produtos Revenda Nacional</v>
      </c>
    </row>
    <row r="7" spans="1:2" outlineLevel="1" x14ac:dyDescent="0.25">
      <c r="A7" s="270" t="s">
        <v>685</v>
      </c>
      <c r="B7" s="132" t="s">
        <v>421</v>
      </c>
    </row>
    <row r="8" spans="1:2" outlineLevel="1" x14ac:dyDescent="0.25">
      <c r="A8" s="270" t="s">
        <v>686</v>
      </c>
      <c r="B8" s="132" t="s">
        <v>422</v>
      </c>
    </row>
    <row r="9" spans="1:2" outlineLevel="1" x14ac:dyDescent="0.25">
      <c r="A9" s="270" t="s">
        <v>687</v>
      </c>
      <c r="B9" s="132" t="s">
        <v>624</v>
      </c>
    </row>
    <row r="10" spans="1:2" outlineLevel="1" x14ac:dyDescent="0.25">
      <c r="A10" s="270" t="s">
        <v>688</v>
      </c>
      <c r="B10" s="132" t="s">
        <v>625</v>
      </c>
    </row>
    <row r="11" spans="1:2" outlineLevel="1" x14ac:dyDescent="0.25">
      <c r="A11" s="270" t="s">
        <v>689</v>
      </c>
      <c r="B11" s="132" t="s">
        <v>628</v>
      </c>
    </row>
    <row r="12" spans="1:2" outlineLevel="1" x14ac:dyDescent="0.25">
      <c r="A12" s="270" t="s">
        <v>690</v>
      </c>
      <c r="B12" s="132" t="s">
        <v>631</v>
      </c>
    </row>
    <row r="13" spans="1:2" outlineLevel="1" x14ac:dyDescent="0.25">
      <c r="A13" s="270" t="s">
        <v>691</v>
      </c>
      <c r="B13" s="132" t="s">
        <v>423</v>
      </c>
    </row>
    <row r="14" spans="1:2" outlineLevel="1" x14ac:dyDescent="0.25">
      <c r="A14" s="270" t="s">
        <v>692</v>
      </c>
      <c r="B14" s="132" t="s">
        <v>424</v>
      </c>
    </row>
    <row r="15" spans="1:2" outlineLevel="1" x14ac:dyDescent="0.25">
      <c r="A15" s="270" t="s">
        <v>693</v>
      </c>
      <c r="B15" s="132" t="s">
        <v>425</v>
      </c>
    </row>
    <row r="16" spans="1:2" outlineLevel="1" x14ac:dyDescent="0.25">
      <c r="A16" s="270" t="s">
        <v>694</v>
      </c>
      <c r="B16" s="132" t="s">
        <v>426</v>
      </c>
    </row>
    <row r="17" spans="1:3" outlineLevel="1" x14ac:dyDescent="0.25">
      <c r="A17" s="270" t="s">
        <v>695</v>
      </c>
      <c r="B17" s="132" t="s">
        <v>427</v>
      </c>
    </row>
    <row r="18" spans="1:3" outlineLevel="1" x14ac:dyDescent="0.25">
      <c r="A18" s="270" t="s">
        <v>696</v>
      </c>
      <c r="B18" s="132" t="s">
        <v>435</v>
      </c>
    </row>
    <row r="19" spans="1:3" ht="18.75" collapsed="1" x14ac:dyDescent="0.3">
      <c r="A19" s="200" t="s">
        <v>436</v>
      </c>
      <c r="B19" s="199" t="s">
        <v>428</v>
      </c>
    </row>
    <row r="20" spans="1:3" hidden="1" outlineLevel="1" x14ac:dyDescent="0.25">
      <c r="B20" s="132" t="s">
        <v>429</v>
      </c>
      <c r="C20" s="131" t="s">
        <v>436</v>
      </c>
    </row>
    <row r="21" spans="1:3" hidden="1" outlineLevel="1" x14ac:dyDescent="0.25">
      <c r="B21" s="132" t="s">
        <v>430</v>
      </c>
      <c r="C21" s="131" t="s">
        <v>436</v>
      </c>
    </row>
    <row r="22" spans="1:3" hidden="1" outlineLevel="1" x14ac:dyDescent="0.25">
      <c r="A22" s="270" t="s">
        <v>697</v>
      </c>
      <c r="B22" s="132" t="s">
        <v>421</v>
      </c>
      <c r="C22" s="131" t="s">
        <v>436</v>
      </c>
    </row>
    <row r="23" spans="1:3" hidden="1" outlineLevel="1" x14ac:dyDescent="0.25">
      <c r="A23" s="270" t="s">
        <v>698</v>
      </c>
      <c r="B23" s="132" t="s">
        <v>422</v>
      </c>
      <c r="C23" s="131" t="s">
        <v>436</v>
      </c>
    </row>
    <row r="24" spans="1:3" hidden="1" outlineLevel="1" x14ac:dyDescent="0.25">
      <c r="A24" s="270" t="s">
        <v>699</v>
      </c>
      <c r="B24" s="132" t="s">
        <v>624</v>
      </c>
      <c r="C24" s="131" t="s">
        <v>436</v>
      </c>
    </row>
    <row r="25" spans="1:3" hidden="1" outlineLevel="1" x14ac:dyDescent="0.25">
      <c r="A25" s="270" t="s">
        <v>700</v>
      </c>
      <c r="B25" s="132" t="s">
        <v>625</v>
      </c>
      <c r="C25" s="131" t="s">
        <v>436</v>
      </c>
    </row>
    <row r="26" spans="1:3" hidden="1" outlineLevel="1" x14ac:dyDescent="0.25">
      <c r="A26" s="270" t="s">
        <v>701</v>
      </c>
      <c r="B26" s="132" t="s">
        <v>628</v>
      </c>
      <c r="C26" s="131" t="s">
        <v>436</v>
      </c>
    </row>
    <row r="27" spans="1:3" hidden="1" outlineLevel="1" x14ac:dyDescent="0.25">
      <c r="A27" s="270" t="s">
        <v>702</v>
      </c>
      <c r="B27" s="132" t="s">
        <v>631</v>
      </c>
      <c r="C27" s="131" t="s">
        <v>436</v>
      </c>
    </row>
    <row r="28" spans="1:3" hidden="1" outlineLevel="1" x14ac:dyDescent="0.25">
      <c r="A28" s="270" t="s">
        <v>703</v>
      </c>
      <c r="B28" s="132" t="s">
        <v>423</v>
      </c>
      <c r="C28" s="131" t="s">
        <v>436</v>
      </c>
    </row>
    <row r="29" spans="1:3" hidden="1" outlineLevel="1" x14ac:dyDescent="0.25">
      <c r="A29" s="270" t="s">
        <v>704</v>
      </c>
      <c r="B29" s="132" t="s">
        <v>424</v>
      </c>
      <c r="C29" s="131" t="s">
        <v>436</v>
      </c>
    </row>
    <row r="30" spans="1:3" hidden="1" outlineLevel="1" x14ac:dyDescent="0.25">
      <c r="A30" s="270" t="s">
        <v>705</v>
      </c>
      <c r="B30" s="132" t="s">
        <v>425</v>
      </c>
      <c r="C30" s="131" t="s">
        <v>436</v>
      </c>
    </row>
    <row r="31" spans="1:3" hidden="1" outlineLevel="1" x14ac:dyDescent="0.25">
      <c r="A31" s="270" t="s">
        <v>706</v>
      </c>
      <c r="B31" s="132" t="s">
        <v>431</v>
      </c>
      <c r="C31" s="131" t="s">
        <v>436</v>
      </c>
    </row>
    <row r="32" spans="1:3" hidden="1" outlineLevel="1" x14ac:dyDescent="0.25">
      <c r="A32" s="270" t="s">
        <v>707</v>
      </c>
      <c r="B32" s="132" t="s">
        <v>426</v>
      </c>
      <c r="C32" s="131" t="s">
        <v>436</v>
      </c>
    </row>
    <row r="33" spans="1:3" hidden="1" outlineLevel="1" x14ac:dyDescent="0.25">
      <c r="A33" s="270" t="s">
        <v>708</v>
      </c>
      <c r="B33" s="132" t="s">
        <v>427</v>
      </c>
      <c r="C33" s="131" t="s">
        <v>436</v>
      </c>
    </row>
    <row r="34" spans="1:3" hidden="1" outlineLevel="1" x14ac:dyDescent="0.25">
      <c r="A34" s="270" t="s">
        <v>709</v>
      </c>
      <c r="B34" s="132" t="s">
        <v>435</v>
      </c>
      <c r="C34" s="131" t="s">
        <v>436</v>
      </c>
    </row>
    <row r="35" spans="1:3" ht="18.75" collapsed="1" x14ac:dyDescent="0.3">
      <c r="A35" s="200" t="s">
        <v>436</v>
      </c>
      <c r="B35" s="199" t="s">
        <v>432</v>
      </c>
    </row>
    <row r="36" spans="1:3" hidden="1" outlineLevel="1" x14ac:dyDescent="0.25">
      <c r="B36" s="132" t="s">
        <v>433</v>
      </c>
      <c r="C36" s="131" t="s">
        <v>436</v>
      </c>
    </row>
    <row r="37" spans="1:3" hidden="1" outlineLevel="1" x14ac:dyDescent="0.25">
      <c r="B37" s="132" t="s">
        <v>434</v>
      </c>
      <c r="C37" s="131" t="s">
        <v>436</v>
      </c>
    </row>
    <row r="38" spans="1:3" hidden="1" outlineLevel="1" x14ac:dyDescent="0.25">
      <c r="A38" s="270" t="s">
        <v>710</v>
      </c>
      <c r="B38" s="132" t="s">
        <v>421</v>
      </c>
      <c r="C38" s="131" t="s">
        <v>436</v>
      </c>
    </row>
    <row r="39" spans="1:3" hidden="1" outlineLevel="1" x14ac:dyDescent="0.25">
      <c r="A39" s="270" t="s">
        <v>711</v>
      </c>
      <c r="B39" s="132" t="s">
        <v>422</v>
      </c>
      <c r="C39" s="131" t="s">
        <v>436</v>
      </c>
    </row>
    <row r="40" spans="1:3" hidden="1" outlineLevel="1" x14ac:dyDescent="0.25">
      <c r="A40" s="270" t="s">
        <v>712</v>
      </c>
      <c r="B40" s="132" t="s">
        <v>624</v>
      </c>
      <c r="C40" s="131" t="s">
        <v>436</v>
      </c>
    </row>
    <row r="41" spans="1:3" hidden="1" outlineLevel="1" x14ac:dyDescent="0.25">
      <c r="A41" s="270" t="s">
        <v>713</v>
      </c>
      <c r="B41" s="132" t="s">
        <v>625</v>
      </c>
      <c r="C41" s="131" t="s">
        <v>436</v>
      </c>
    </row>
    <row r="42" spans="1:3" hidden="1" outlineLevel="1" x14ac:dyDescent="0.25">
      <c r="A42" s="270" t="s">
        <v>714</v>
      </c>
      <c r="B42" s="132" t="s">
        <v>628</v>
      </c>
      <c r="C42" s="131" t="s">
        <v>436</v>
      </c>
    </row>
    <row r="43" spans="1:3" hidden="1" outlineLevel="1" x14ac:dyDescent="0.25">
      <c r="A43" s="270" t="s">
        <v>715</v>
      </c>
      <c r="B43" s="132" t="s">
        <v>631</v>
      </c>
      <c r="C43" s="131" t="s">
        <v>436</v>
      </c>
    </row>
    <row r="44" spans="1:3" hidden="1" outlineLevel="1" x14ac:dyDescent="0.25">
      <c r="A44" s="270" t="s">
        <v>716</v>
      </c>
      <c r="B44" s="132" t="s">
        <v>423</v>
      </c>
      <c r="C44" s="131" t="s">
        <v>436</v>
      </c>
    </row>
    <row r="45" spans="1:3" hidden="1" outlineLevel="1" x14ac:dyDescent="0.25">
      <c r="A45" s="270" t="s">
        <v>717</v>
      </c>
      <c r="B45" s="132" t="s">
        <v>424</v>
      </c>
      <c r="C45" s="131" t="s">
        <v>436</v>
      </c>
    </row>
    <row r="46" spans="1:3" hidden="1" outlineLevel="1" x14ac:dyDescent="0.25">
      <c r="A46" s="270" t="s">
        <v>718</v>
      </c>
      <c r="B46" s="132" t="s">
        <v>425</v>
      </c>
      <c r="C46" s="131" t="s">
        <v>436</v>
      </c>
    </row>
    <row r="47" spans="1:3" hidden="1" outlineLevel="1" x14ac:dyDescent="0.25">
      <c r="A47" s="270" t="s">
        <v>719</v>
      </c>
      <c r="B47" s="132" t="s">
        <v>431</v>
      </c>
      <c r="C47" s="131" t="s">
        <v>436</v>
      </c>
    </row>
    <row r="48" spans="1:3" hidden="1" outlineLevel="1" x14ac:dyDescent="0.25">
      <c r="A48" s="270" t="s">
        <v>720</v>
      </c>
      <c r="B48" s="132" t="s">
        <v>426</v>
      </c>
      <c r="C48" s="131" t="s">
        <v>436</v>
      </c>
    </row>
    <row r="49" spans="1:3" hidden="1" outlineLevel="1" x14ac:dyDescent="0.25">
      <c r="A49" s="270" t="s">
        <v>721</v>
      </c>
      <c r="B49" s="132" t="s">
        <v>427</v>
      </c>
      <c r="C49" s="131" t="s">
        <v>436</v>
      </c>
    </row>
    <row r="50" spans="1:3" hidden="1" outlineLevel="1" x14ac:dyDescent="0.25">
      <c r="A50" s="270" t="s">
        <v>722</v>
      </c>
      <c r="B50" s="132" t="s">
        <v>435</v>
      </c>
      <c r="C50" s="131" t="s">
        <v>436</v>
      </c>
    </row>
    <row r="51" spans="1:3" ht="18.75" x14ac:dyDescent="0.3">
      <c r="A51" s="131" t="s">
        <v>178</v>
      </c>
      <c r="B51" s="199" t="s">
        <v>179</v>
      </c>
    </row>
    <row r="52" spans="1:3" ht="18.75" x14ac:dyDescent="0.3">
      <c r="A52" s="131" t="s">
        <v>180</v>
      </c>
      <c r="B52" s="199" t="s">
        <v>181</v>
      </c>
    </row>
    <row r="53" spans="1:3" ht="18.75" x14ac:dyDescent="0.3">
      <c r="A53" s="131" t="s">
        <v>182</v>
      </c>
      <c r="B53" s="199" t="s">
        <v>183</v>
      </c>
    </row>
    <row r="54" spans="1:3" ht="18.75" x14ac:dyDescent="0.3">
      <c r="A54" s="200" t="s">
        <v>436</v>
      </c>
      <c r="B54" s="199" t="s">
        <v>184</v>
      </c>
    </row>
    <row r="55" spans="1:3" ht="18.75" x14ac:dyDescent="0.3">
      <c r="A55" s="133" t="s">
        <v>443</v>
      </c>
      <c r="B55" s="199" t="s">
        <v>461</v>
      </c>
    </row>
    <row r="56" spans="1:3" ht="18.75" x14ac:dyDescent="0.3">
      <c r="A56" s="133" t="s">
        <v>445</v>
      </c>
      <c r="B56" s="199" t="s">
        <v>462</v>
      </c>
    </row>
    <row r="57" spans="1:3" ht="18.75" x14ac:dyDescent="0.3">
      <c r="A57" s="133" t="s">
        <v>463</v>
      </c>
      <c r="B57" s="199" t="s">
        <v>444</v>
      </c>
    </row>
    <row r="58" spans="1:3" ht="18.75" x14ac:dyDescent="0.3">
      <c r="A58" s="133" t="s">
        <v>489</v>
      </c>
      <c r="B58" s="199" t="s">
        <v>488</v>
      </c>
    </row>
    <row r="59" spans="1:3" ht="18.75" x14ac:dyDescent="0.3">
      <c r="A59" s="133" t="s">
        <v>490</v>
      </c>
      <c r="B59" s="199" t="s">
        <v>186</v>
      </c>
    </row>
    <row r="60" spans="1:3" ht="18.75" x14ac:dyDescent="0.3">
      <c r="A60" s="133" t="s">
        <v>491</v>
      </c>
      <c r="B60" s="199" t="s">
        <v>492</v>
      </c>
    </row>
    <row r="61" spans="1:3" ht="18.75" x14ac:dyDescent="0.3">
      <c r="B61" s="130" t="s">
        <v>187</v>
      </c>
    </row>
    <row r="62" spans="1:3" x14ac:dyDescent="0.25">
      <c r="B62" s="134" t="s">
        <v>12</v>
      </c>
      <c r="C62" s="133"/>
    </row>
    <row r="63" spans="1:3" x14ac:dyDescent="0.25">
      <c r="B63" s="134" t="s">
        <v>26</v>
      </c>
      <c r="C63" s="133"/>
    </row>
    <row r="64" spans="1:3" x14ac:dyDescent="0.25">
      <c r="B64" s="134" t="s">
        <v>185</v>
      </c>
    </row>
    <row r="65" spans="2:2" x14ac:dyDescent="0.25">
      <c r="B65" s="134" t="s">
        <v>188</v>
      </c>
    </row>
    <row r="66" spans="2:2" x14ac:dyDescent="0.25">
      <c r="B66" s="134" t="s">
        <v>189</v>
      </c>
    </row>
    <row r="67" spans="2:2" x14ac:dyDescent="0.25">
      <c r="B67" s="134" t="s">
        <v>190</v>
      </c>
    </row>
    <row r="68" spans="2:2" x14ac:dyDescent="0.25">
      <c r="B68" s="134" t="s">
        <v>191</v>
      </c>
    </row>
    <row r="69" spans="2:2" x14ac:dyDescent="0.25">
      <c r="B69" s="134" t="s">
        <v>192</v>
      </c>
    </row>
    <row r="70" spans="2:2" x14ac:dyDescent="0.25">
      <c r="B70" s="134" t="s">
        <v>193</v>
      </c>
    </row>
    <row r="71" spans="2:2" x14ac:dyDescent="0.25">
      <c r="B71" s="134" t="s">
        <v>194</v>
      </c>
    </row>
    <row r="72" spans="2:2" x14ac:dyDescent="0.25">
      <c r="B72" s="134" t="s">
        <v>195</v>
      </c>
    </row>
    <row r="73" spans="2:2" ht="18.75" x14ac:dyDescent="0.3">
      <c r="B73" s="130" t="s">
        <v>196</v>
      </c>
    </row>
    <row r="74" spans="2:2" collapsed="1" x14ac:dyDescent="0.25">
      <c r="B74" s="135" t="s">
        <v>197</v>
      </c>
    </row>
    <row r="75" spans="2:2" hidden="1" x14ac:dyDescent="0.25">
      <c r="B75" s="134" t="s">
        <v>198</v>
      </c>
    </row>
    <row r="76" spans="2:2" hidden="1" x14ac:dyDescent="0.25">
      <c r="B76" s="134" t="s">
        <v>199</v>
      </c>
    </row>
    <row r="77" spans="2:2" hidden="1" x14ac:dyDescent="0.25">
      <c r="B77" s="134" t="s">
        <v>200</v>
      </c>
    </row>
    <row r="78" spans="2:2" hidden="1" x14ac:dyDescent="0.25">
      <c r="B78" s="134" t="s">
        <v>201</v>
      </c>
    </row>
    <row r="79" spans="2:2" hidden="1" x14ac:dyDescent="0.25">
      <c r="B79" s="134" t="s">
        <v>202</v>
      </c>
    </row>
    <row r="80" spans="2:2" hidden="1" x14ac:dyDescent="0.25">
      <c r="B80" s="134" t="s">
        <v>203</v>
      </c>
    </row>
    <row r="81" spans="2:2" hidden="1" x14ac:dyDescent="0.25">
      <c r="B81" s="134" t="s">
        <v>204</v>
      </c>
    </row>
    <row r="82" spans="2:2" hidden="1" x14ac:dyDescent="0.25">
      <c r="B82" s="134" t="s">
        <v>205</v>
      </c>
    </row>
    <row r="83" spans="2:2" hidden="1" x14ac:dyDescent="0.25">
      <c r="B83" s="136" t="s">
        <v>206</v>
      </c>
    </row>
    <row r="84" spans="2:2" collapsed="1" x14ac:dyDescent="0.25">
      <c r="B84" s="135" t="s">
        <v>207</v>
      </c>
    </row>
    <row r="85" spans="2:2" hidden="1" x14ac:dyDescent="0.25">
      <c r="B85" s="137" t="s">
        <v>208</v>
      </c>
    </row>
    <row r="86" spans="2:2" hidden="1" x14ac:dyDescent="0.25">
      <c r="B86" s="137" t="s">
        <v>209</v>
      </c>
    </row>
    <row r="87" spans="2:2" hidden="1" x14ac:dyDescent="0.25">
      <c r="B87" s="137" t="s">
        <v>210</v>
      </c>
    </row>
    <row r="88" spans="2:2" hidden="1" x14ac:dyDescent="0.25">
      <c r="B88" s="137" t="s">
        <v>211</v>
      </c>
    </row>
    <row r="89" spans="2:2" hidden="1" x14ac:dyDescent="0.25">
      <c r="B89" s="137" t="s">
        <v>212</v>
      </c>
    </row>
    <row r="90" spans="2:2" hidden="1" x14ac:dyDescent="0.25">
      <c r="B90" s="137" t="s">
        <v>213</v>
      </c>
    </row>
    <row r="91" spans="2:2" hidden="1" x14ac:dyDescent="0.25">
      <c r="B91" s="137" t="s">
        <v>214</v>
      </c>
    </row>
    <row r="92" spans="2:2" hidden="1" x14ac:dyDescent="0.25">
      <c r="B92" s="137" t="s">
        <v>215</v>
      </c>
    </row>
    <row r="93" spans="2:2" hidden="1" x14ac:dyDescent="0.25">
      <c r="B93" s="137" t="s">
        <v>216</v>
      </c>
    </row>
    <row r="94" spans="2:2" hidden="1" x14ac:dyDescent="0.25">
      <c r="B94" s="137" t="s">
        <v>217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23" workbookViewId="0">
      <pane xSplit="4" topLeftCell="E1" activePane="topRight" state="frozen"/>
      <selection pane="topRight" activeCell="C51" sqref="C51"/>
    </sheetView>
  </sheetViews>
  <sheetFormatPr defaultColWidth="9.140625" defaultRowHeight="12.75" x14ac:dyDescent="0.2"/>
  <cols>
    <col min="1" max="2" width="10.7109375" style="5" customWidth="1"/>
    <col min="3" max="3" width="49.140625" style="5" customWidth="1"/>
    <col min="4" max="4" width="42.7109375" style="5" hidden="1" customWidth="1"/>
    <col min="5" max="5" width="10" style="5" customWidth="1"/>
    <col min="6" max="10" width="9.140625" style="5"/>
    <col min="11" max="11" width="26.140625" style="5" customWidth="1"/>
    <col min="12" max="12" width="30.85546875" style="5" customWidth="1"/>
    <col min="13" max="13" width="25" style="5" customWidth="1"/>
    <col min="14" max="16384" width="9.140625" style="5"/>
  </cols>
  <sheetData>
    <row r="1" spans="1:13" x14ac:dyDescent="0.2">
      <c r="A1" s="298" t="s">
        <v>291</v>
      </c>
      <c r="B1" s="298"/>
    </row>
    <row r="2" spans="1:13" x14ac:dyDescent="0.2">
      <c r="A2" s="6" t="s">
        <v>252</v>
      </c>
      <c r="B2" s="6" t="s">
        <v>253</v>
      </c>
      <c r="C2" s="9"/>
    </row>
    <row r="3" spans="1:13" x14ac:dyDescent="0.2">
      <c r="A3" s="161" t="s">
        <v>254</v>
      </c>
      <c r="B3" s="161" t="s">
        <v>255</v>
      </c>
    </row>
    <row r="4" spans="1:13" x14ac:dyDescent="0.2">
      <c r="A4" s="10"/>
      <c r="B4" s="10"/>
    </row>
    <row r="5" spans="1:13" x14ac:dyDescent="0.2">
      <c r="A5" s="10"/>
      <c r="B5" s="10"/>
    </row>
    <row r="6" spans="1:13" ht="15.75" x14ac:dyDescent="0.25">
      <c r="A6" s="8">
        <v>3000</v>
      </c>
      <c r="B6" s="8"/>
      <c r="C6" s="163" t="s">
        <v>292</v>
      </c>
      <c r="D6" s="11" t="s">
        <v>293</v>
      </c>
      <c r="E6" s="176"/>
      <c r="M6" s="5" t="s">
        <v>294</v>
      </c>
    </row>
    <row r="7" spans="1:13" ht="15.75" x14ac:dyDescent="0.25">
      <c r="A7" s="8">
        <v>3100</v>
      </c>
      <c r="B7" s="8"/>
      <c r="C7" s="163" t="s">
        <v>295</v>
      </c>
      <c r="D7" s="12" t="s">
        <v>296</v>
      </c>
      <c r="E7" s="176"/>
      <c r="K7" s="5" t="s">
        <v>297</v>
      </c>
    </row>
    <row r="8" spans="1:13" ht="15.75" x14ac:dyDescent="0.25">
      <c r="A8" s="8">
        <v>3200</v>
      </c>
      <c r="B8" s="8"/>
      <c r="C8" s="88" t="s">
        <v>298</v>
      </c>
      <c r="D8" s="12" t="s">
        <v>15</v>
      </c>
      <c r="E8" s="176"/>
      <c r="K8" s="5">
        <f>A7</f>
        <v>3100</v>
      </c>
      <c r="L8" s="5" t="s">
        <v>295</v>
      </c>
      <c r="M8" s="6" t="s">
        <v>299</v>
      </c>
    </row>
    <row r="9" spans="1:13" ht="15.75" x14ac:dyDescent="0.25">
      <c r="A9" s="8">
        <v>3300</v>
      </c>
      <c r="B9" s="8"/>
      <c r="C9" s="163" t="s">
        <v>300</v>
      </c>
      <c r="D9" s="11" t="s">
        <v>16</v>
      </c>
      <c r="E9" s="176"/>
      <c r="K9" s="5">
        <f>A8</f>
        <v>3200</v>
      </c>
      <c r="L9" s="5" t="s">
        <v>298</v>
      </c>
      <c r="M9" s="6" t="s">
        <v>301</v>
      </c>
    </row>
    <row r="10" spans="1:13" ht="15.75" x14ac:dyDescent="0.25">
      <c r="A10" s="8">
        <v>3301</v>
      </c>
      <c r="B10" s="8">
        <v>99</v>
      </c>
      <c r="C10" s="163" t="s">
        <v>302</v>
      </c>
      <c r="D10" s="11"/>
      <c r="E10" s="131" t="s">
        <v>303</v>
      </c>
      <c r="K10" s="6" t="s">
        <v>304</v>
      </c>
      <c r="L10" s="5" t="s">
        <v>305</v>
      </c>
      <c r="M10" s="177" t="s">
        <v>306</v>
      </c>
    </row>
    <row r="11" spans="1:13" ht="15.75" x14ac:dyDescent="0.25">
      <c r="A11" s="8">
        <v>3400</v>
      </c>
      <c r="B11" s="8"/>
      <c r="C11" s="163" t="s">
        <v>307</v>
      </c>
      <c r="D11" s="11" t="s">
        <v>17</v>
      </c>
      <c r="E11" s="176"/>
      <c r="K11" s="5">
        <f>A9</f>
        <v>3300</v>
      </c>
      <c r="L11" s="5" t="str">
        <f>C9</f>
        <v>Custo dos Produtos Vendidos</v>
      </c>
      <c r="M11" s="6" t="s">
        <v>308</v>
      </c>
    </row>
    <row r="12" spans="1:13" ht="15.75" x14ac:dyDescent="0.25">
      <c r="A12" s="8">
        <v>3401</v>
      </c>
      <c r="B12" s="8"/>
      <c r="C12" s="163" t="s">
        <v>309</v>
      </c>
      <c r="D12" s="11" t="s">
        <v>18</v>
      </c>
      <c r="E12" s="131" t="s">
        <v>260</v>
      </c>
      <c r="K12" s="6" t="s">
        <v>310</v>
      </c>
      <c r="L12" s="5" t="s">
        <v>311</v>
      </c>
      <c r="M12" s="177" t="s">
        <v>312</v>
      </c>
    </row>
    <row r="13" spans="1:13" ht="15.75" x14ac:dyDescent="0.25">
      <c r="A13" s="8">
        <v>3401</v>
      </c>
      <c r="B13" s="8">
        <v>99</v>
      </c>
      <c r="C13" s="163" t="s">
        <v>313</v>
      </c>
      <c r="D13" s="11"/>
      <c r="E13" s="176"/>
      <c r="K13" s="6" t="s">
        <v>314</v>
      </c>
      <c r="L13" s="5" t="str">
        <f>C11</f>
        <v>Despesas Operacionais</v>
      </c>
      <c r="M13" s="177" t="s">
        <v>315</v>
      </c>
    </row>
    <row r="14" spans="1:13" ht="15.75" x14ac:dyDescent="0.25">
      <c r="A14" s="8">
        <v>3500</v>
      </c>
      <c r="B14" s="8"/>
      <c r="C14" s="163" t="s">
        <v>316</v>
      </c>
      <c r="D14" s="11" t="s">
        <v>18</v>
      </c>
      <c r="E14" s="176"/>
      <c r="K14" s="5">
        <f>A12</f>
        <v>3401</v>
      </c>
      <c r="L14" s="5" t="str">
        <f>C12</f>
        <v>Despesas Administrativas</v>
      </c>
      <c r="M14" s="6" t="s">
        <v>317</v>
      </c>
    </row>
    <row r="15" spans="1:13" ht="15.75" x14ac:dyDescent="0.25">
      <c r="A15" s="8">
        <v>3501</v>
      </c>
      <c r="B15" s="8">
        <v>99</v>
      </c>
      <c r="C15" s="163" t="s">
        <v>318</v>
      </c>
      <c r="D15" s="11"/>
      <c r="E15" s="131" t="s">
        <v>260</v>
      </c>
      <c r="K15" s="5">
        <f>A14</f>
        <v>3500</v>
      </c>
      <c r="L15" s="5" t="str">
        <f>C14</f>
        <v>Despesas Comerciais</v>
      </c>
      <c r="M15" s="178" t="s">
        <v>319</v>
      </c>
    </row>
    <row r="16" spans="1:13" ht="15" x14ac:dyDescent="0.25">
      <c r="A16" s="8">
        <v>3600</v>
      </c>
      <c r="B16" s="8"/>
      <c r="C16" s="88" t="s">
        <v>320</v>
      </c>
      <c r="D16" s="11" t="s">
        <v>321</v>
      </c>
      <c r="E16" s="176"/>
      <c r="K16" s="6" t="s">
        <v>322</v>
      </c>
      <c r="L16" s="5" t="s">
        <v>323</v>
      </c>
      <c r="M16" s="177" t="s">
        <v>324</v>
      </c>
    </row>
    <row r="17" spans="1:13" ht="15" x14ac:dyDescent="0.25">
      <c r="A17" s="8">
        <v>3700</v>
      </c>
      <c r="B17" s="8"/>
      <c r="C17" s="88" t="s">
        <v>325</v>
      </c>
      <c r="E17" s="176"/>
      <c r="K17" s="6" t="s">
        <v>322</v>
      </c>
      <c r="L17" s="5" t="s">
        <v>326</v>
      </c>
      <c r="M17" s="5" t="s">
        <v>327</v>
      </c>
    </row>
    <row r="18" spans="1:13" ht="15.75" x14ac:dyDescent="0.25">
      <c r="A18" s="174">
        <v>3800</v>
      </c>
      <c r="B18" s="179"/>
      <c r="C18" s="180" t="s">
        <v>328</v>
      </c>
      <c r="E18" s="131" t="s">
        <v>260</v>
      </c>
      <c r="K18" s="5">
        <f>A16</f>
        <v>3600</v>
      </c>
      <c r="L18" s="5" t="str">
        <f>C16</f>
        <v>Resultado Financeiro Líquido</v>
      </c>
      <c r="M18" s="6" t="s">
        <v>329</v>
      </c>
    </row>
    <row r="19" spans="1:13" ht="15" x14ac:dyDescent="0.25">
      <c r="A19" s="174">
        <v>3900</v>
      </c>
      <c r="B19" s="179"/>
      <c r="C19" s="181" t="s">
        <v>330</v>
      </c>
      <c r="E19" s="131" t="s">
        <v>260</v>
      </c>
      <c r="K19" s="6" t="s">
        <v>331</v>
      </c>
      <c r="L19" s="5" t="s">
        <v>332</v>
      </c>
      <c r="M19" s="177" t="s">
        <v>333</v>
      </c>
    </row>
    <row r="20" spans="1:13" x14ac:dyDescent="0.2">
      <c r="A20" s="179"/>
      <c r="B20" s="179"/>
      <c r="C20" s="7"/>
      <c r="K20" s="5">
        <f>A18</f>
        <v>3800</v>
      </c>
      <c r="L20" s="5" t="str">
        <f>C18</f>
        <v>Resultado Extraordinário</v>
      </c>
      <c r="M20" s="6" t="s">
        <v>334</v>
      </c>
    </row>
    <row r="21" spans="1:13" x14ac:dyDescent="0.2">
      <c r="A21" s="179"/>
      <c r="B21" s="179"/>
      <c r="C21" s="7"/>
      <c r="K21" s="5">
        <f>A19</f>
        <v>3900</v>
      </c>
      <c r="L21" s="5" t="str">
        <f>C19</f>
        <v>Participações e Gratificações</v>
      </c>
      <c r="M21" s="6" t="s">
        <v>335</v>
      </c>
    </row>
    <row r="22" spans="1:13" ht="15" x14ac:dyDescent="0.25">
      <c r="A22" s="179"/>
      <c r="B22" s="179"/>
      <c r="C22" s="7"/>
      <c r="K22" s="6" t="s">
        <v>336</v>
      </c>
      <c r="L22" s="5" t="s">
        <v>337</v>
      </c>
      <c r="M22" s="182" t="s">
        <v>338</v>
      </c>
    </row>
    <row r="23" spans="1:13" x14ac:dyDescent="0.2">
      <c r="A23" s="179"/>
      <c r="B23" s="179"/>
      <c r="C23" s="183" t="s">
        <v>339</v>
      </c>
    </row>
    <row r="24" spans="1:13" x14ac:dyDescent="0.2">
      <c r="A24" s="179"/>
      <c r="B24" s="179"/>
      <c r="C24" s="7"/>
    </row>
    <row r="25" spans="1:13" ht="15.75" x14ac:dyDescent="0.25">
      <c r="A25" s="184">
        <f>$A$6</f>
        <v>3000</v>
      </c>
      <c r="B25" s="184"/>
      <c r="C25" s="163" t="s">
        <v>292</v>
      </c>
    </row>
    <row r="26" spans="1:13" ht="15.75" x14ac:dyDescent="0.25">
      <c r="A26" s="184">
        <f>$A$7</f>
        <v>3100</v>
      </c>
      <c r="B26" s="184"/>
      <c r="C26" s="163" t="s">
        <v>295</v>
      </c>
    </row>
    <row r="27" spans="1:13" ht="14.25" x14ac:dyDescent="0.2">
      <c r="A27" s="184">
        <f>$A$7</f>
        <v>3100</v>
      </c>
      <c r="B27" s="184">
        <v>1</v>
      </c>
      <c r="C27" s="2" t="s">
        <v>340</v>
      </c>
    </row>
    <row r="28" spans="1:13" ht="15" x14ac:dyDescent="0.25">
      <c r="A28" s="184">
        <f>$A$8</f>
        <v>3200</v>
      </c>
      <c r="B28" s="184"/>
      <c r="C28" s="88" t="s">
        <v>298</v>
      </c>
    </row>
    <row r="29" spans="1:13" ht="14.25" x14ac:dyDescent="0.2">
      <c r="A29" s="184">
        <v>3201</v>
      </c>
      <c r="B29" s="184">
        <v>1</v>
      </c>
      <c r="C29" s="2" t="s">
        <v>341</v>
      </c>
    </row>
    <row r="30" spans="1:13" ht="14.25" x14ac:dyDescent="0.2">
      <c r="A30" s="184">
        <v>3202</v>
      </c>
      <c r="B30" s="184"/>
      <c r="C30" s="185" t="s">
        <v>342</v>
      </c>
    </row>
    <row r="31" spans="1:13" ht="14.25" x14ac:dyDescent="0.2">
      <c r="A31" s="184">
        <v>3202</v>
      </c>
      <c r="B31" s="184">
        <v>1</v>
      </c>
      <c r="C31" s="2" t="s">
        <v>1</v>
      </c>
    </row>
    <row r="32" spans="1:13" ht="14.25" x14ac:dyDescent="0.2">
      <c r="A32" s="184">
        <v>3202</v>
      </c>
      <c r="B32" s="186">
        <v>2</v>
      </c>
      <c r="C32" s="2" t="s">
        <v>0</v>
      </c>
    </row>
    <row r="33" spans="1:3" ht="15.75" x14ac:dyDescent="0.25">
      <c r="A33" s="186">
        <f>$A$9</f>
        <v>3300</v>
      </c>
      <c r="B33" s="186"/>
      <c r="C33" s="163" t="s">
        <v>300</v>
      </c>
    </row>
    <row r="34" spans="1:3" ht="14.25" x14ac:dyDescent="0.2">
      <c r="A34" s="186">
        <f>$A$9</f>
        <v>3300</v>
      </c>
      <c r="B34" s="186">
        <v>1</v>
      </c>
      <c r="C34" s="2" t="s">
        <v>343</v>
      </c>
    </row>
    <row r="35" spans="1:3" ht="15.75" x14ac:dyDescent="0.25">
      <c r="A35" s="186">
        <f>A11</f>
        <v>3400</v>
      </c>
      <c r="B35" s="186"/>
      <c r="C35" s="163" t="s">
        <v>307</v>
      </c>
    </row>
    <row r="36" spans="1:3" ht="15.75" x14ac:dyDescent="0.25">
      <c r="A36" s="186">
        <f>$A$12</f>
        <v>3401</v>
      </c>
      <c r="B36" s="186"/>
      <c r="C36" s="163" t="s">
        <v>309</v>
      </c>
    </row>
    <row r="37" spans="1:3" ht="14.25" x14ac:dyDescent="0.2">
      <c r="A37" s="186">
        <f t="shared" ref="A37:A42" si="0">$A$12</f>
        <v>3401</v>
      </c>
      <c r="B37" s="186">
        <v>1</v>
      </c>
      <c r="C37" s="2" t="s">
        <v>344</v>
      </c>
    </row>
    <row r="38" spans="1:3" ht="14.25" x14ac:dyDescent="0.2">
      <c r="A38" s="186">
        <f t="shared" si="0"/>
        <v>3401</v>
      </c>
      <c r="B38" s="186">
        <v>2</v>
      </c>
      <c r="C38" s="2" t="s">
        <v>345</v>
      </c>
    </row>
    <row r="39" spans="1:3" ht="14.25" x14ac:dyDescent="0.2">
      <c r="A39" s="186">
        <f t="shared" si="0"/>
        <v>3401</v>
      </c>
      <c r="B39" s="186">
        <v>3</v>
      </c>
      <c r="C39" s="2" t="s">
        <v>346</v>
      </c>
    </row>
    <row r="40" spans="1:3" ht="14.25" x14ac:dyDescent="0.2">
      <c r="A40" s="186">
        <f t="shared" si="0"/>
        <v>3401</v>
      </c>
      <c r="B40" s="186">
        <v>4</v>
      </c>
      <c r="C40" s="2" t="s">
        <v>347</v>
      </c>
    </row>
    <row r="41" spans="1:3" ht="14.25" x14ac:dyDescent="0.2">
      <c r="A41" s="186">
        <f t="shared" si="0"/>
        <v>3401</v>
      </c>
      <c r="B41" s="186">
        <v>5</v>
      </c>
      <c r="C41" s="2" t="s">
        <v>348</v>
      </c>
    </row>
    <row r="42" spans="1:3" ht="14.25" x14ac:dyDescent="0.2">
      <c r="A42" s="186">
        <f t="shared" si="0"/>
        <v>3401</v>
      </c>
      <c r="B42" s="186">
        <v>99</v>
      </c>
      <c r="C42" s="2" t="s">
        <v>349</v>
      </c>
    </row>
    <row r="43" spans="1:3" ht="15.75" x14ac:dyDescent="0.25">
      <c r="A43" s="186">
        <f>$A$14</f>
        <v>3500</v>
      </c>
      <c r="B43" s="186"/>
      <c r="C43" s="163" t="s">
        <v>316</v>
      </c>
    </row>
    <row r="44" spans="1:3" ht="14.25" x14ac:dyDescent="0.2">
      <c r="A44" s="186">
        <f t="shared" ref="A44:A50" si="1">$A$14</f>
        <v>3500</v>
      </c>
      <c r="B44" s="186">
        <v>1</v>
      </c>
      <c r="C44" s="2" t="s">
        <v>350</v>
      </c>
    </row>
    <row r="45" spans="1:3" ht="14.25" x14ac:dyDescent="0.2">
      <c r="A45" s="186">
        <f t="shared" si="1"/>
        <v>3500</v>
      </c>
      <c r="B45" s="186">
        <v>2</v>
      </c>
      <c r="C45" s="2" t="s">
        <v>351</v>
      </c>
    </row>
    <row r="46" spans="1:3" ht="14.25" x14ac:dyDescent="0.2">
      <c r="A46" s="186">
        <f t="shared" si="1"/>
        <v>3500</v>
      </c>
      <c r="B46" s="186">
        <v>3</v>
      </c>
      <c r="C46" s="2" t="s">
        <v>352</v>
      </c>
    </row>
    <row r="47" spans="1:3" ht="14.25" x14ac:dyDescent="0.2">
      <c r="A47" s="186">
        <f t="shared" si="1"/>
        <v>3500</v>
      </c>
      <c r="B47" s="186">
        <v>4</v>
      </c>
      <c r="C47" s="2" t="s">
        <v>353</v>
      </c>
    </row>
    <row r="48" spans="1:3" ht="14.25" x14ac:dyDescent="0.2">
      <c r="A48" s="186">
        <f t="shared" si="1"/>
        <v>3500</v>
      </c>
      <c r="B48" s="186">
        <v>5</v>
      </c>
      <c r="C48" s="2" t="s">
        <v>354</v>
      </c>
    </row>
    <row r="49" spans="1:3" ht="14.25" x14ac:dyDescent="0.2">
      <c r="A49" s="186">
        <f t="shared" si="1"/>
        <v>3500</v>
      </c>
      <c r="B49" s="186">
        <v>6</v>
      </c>
      <c r="C49" s="2" t="s">
        <v>355</v>
      </c>
    </row>
    <row r="50" spans="1:3" ht="14.25" x14ac:dyDescent="0.2">
      <c r="A50" s="186">
        <f t="shared" si="1"/>
        <v>3500</v>
      </c>
      <c r="B50" s="186">
        <v>99</v>
      </c>
      <c r="C50" s="2" t="s">
        <v>356</v>
      </c>
    </row>
    <row r="51" spans="1:3" ht="15" x14ac:dyDescent="0.25">
      <c r="A51" s="186">
        <f>A16</f>
        <v>3600</v>
      </c>
      <c r="B51" s="186"/>
      <c r="C51" s="88" t="s">
        <v>320</v>
      </c>
    </row>
    <row r="52" spans="1:3" ht="14.25" x14ac:dyDescent="0.2">
      <c r="A52" s="186">
        <v>3601</v>
      </c>
      <c r="B52" s="186"/>
      <c r="C52" s="185" t="s">
        <v>357</v>
      </c>
    </row>
    <row r="53" spans="1:3" ht="14.25" x14ac:dyDescent="0.2">
      <c r="A53" s="186">
        <v>3601</v>
      </c>
      <c r="B53" s="186">
        <v>1</v>
      </c>
      <c r="C53" s="2" t="s">
        <v>358</v>
      </c>
    </row>
    <row r="54" spans="1:3" ht="14.25" x14ac:dyDescent="0.2">
      <c r="A54" s="186">
        <v>3602</v>
      </c>
      <c r="B54" s="186"/>
      <c r="C54" s="185" t="s">
        <v>359</v>
      </c>
    </row>
    <row r="55" spans="1:3" ht="14.25" x14ac:dyDescent="0.2">
      <c r="A55" s="186">
        <v>3602</v>
      </c>
      <c r="B55" s="186">
        <v>1</v>
      </c>
      <c r="C55" s="2" t="s">
        <v>360</v>
      </c>
    </row>
    <row r="56" spans="1:3" ht="15" x14ac:dyDescent="0.25">
      <c r="A56" s="186">
        <f>$A$17</f>
        <v>3700</v>
      </c>
      <c r="B56" s="186"/>
      <c r="C56" s="88" t="s">
        <v>361</v>
      </c>
    </row>
    <row r="57" spans="1:3" ht="14.25" x14ac:dyDescent="0.2">
      <c r="A57" s="186">
        <f>$A$17</f>
        <v>3700</v>
      </c>
      <c r="B57" s="186">
        <v>1</v>
      </c>
      <c r="C57" s="2" t="s">
        <v>362</v>
      </c>
    </row>
    <row r="72" spans="5:5" x14ac:dyDescent="0.2">
      <c r="E72" s="5" t="s">
        <v>260</v>
      </c>
    </row>
    <row r="73" spans="5:5" x14ac:dyDescent="0.2">
      <c r="E73" s="5" t="s">
        <v>303</v>
      </c>
    </row>
  </sheetData>
  <mergeCells count="1">
    <mergeCell ref="A1:B1"/>
  </mergeCells>
  <dataValidations count="1">
    <dataValidation type="list" allowBlank="1" showInputMessage="1" showErrorMessage="1" sqref="E10 E12 E15 E18:E19">
      <formula1>$E$72:$E$73</formula1>
    </dataValidation>
  </dataValidations>
  <pageMargins left="0.78740157499999996" right="0.78740157499999996" top="0.984251969" bottom="0.984251969" header="0.49212598499999999" footer="0.49212598499999999"/>
  <pageSetup paperSize="9" orientation="portrait" horizontalDpi="200" verticalDpi="2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topLeftCell="A22" workbookViewId="0">
      <selection activeCell="D32" sqref="D32"/>
    </sheetView>
  </sheetViews>
  <sheetFormatPr defaultColWidth="9.140625" defaultRowHeight="12.75" x14ac:dyDescent="0.2"/>
  <cols>
    <col min="1" max="1" width="13.7109375" style="5" customWidth="1"/>
    <col min="2" max="2" width="10.7109375" style="5" customWidth="1"/>
    <col min="3" max="3" width="29.5703125" style="5" customWidth="1"/>
    <col min="4" max="4" width="19.7109375" style="5" customWidth="1"/>
    <col min="5" max="5" width="18.28515625" style="5" customWidth="1"/>
    <col min="6" max="16384" width="9.140625" style="5"/>
  </cols>
  <sheetData>
    <row r="2" spans="1:3" x14ac:dyDescent="0.2">
      <c r="A2" s="172" t="s">
        <v>363</v>
      </c>
      <c r="B2" s="6"/>
    </row>
    <row r="3" spans="1:3" x14ac:dyDescent="0.2">
      <c r="A3" s="161"/>
      <c r="B3" s="161"/>
    </row>
    <row r="4" spans="1:3" x14ac:dyDescent="0.2">
      <c r="A4" s="160" t="s">
        <v>364</v>
      </c>
      <c r="B4" s="160"/>
    </row>
    <row r="5" spans="1:3" x14ac:dyDescent="0.2">
      <c r="A5" s="160" t="s">
        <v>365</v>
      </c>
    </row>
    <row r="7" spans="1:3" ht="15" x14ac:dyDescent="0.25">
      <c r="A7" s="280" t="s">
        <v>366</v>
      </c>
      <c r="B7" s="280"/>
      <c r="C7" s="280"/>
    </row>
    <row r="8" spans="1:3" x14ac:dyDescent="0.2">
      <c r="A8" s="6" t="s">
        <v>252</v>
      </c>
      <c r="B8" s="6" t="s">
        <v>253</v>
      </c>
    </row>
    <row r="9" spans="1:3" x14ac:dyDescent="0.2">
      <c r="A9" s="161" t="s">
        <v>254</v>
      </c>
      <c r="B9" s="161" t="s">
        <v>255</v>
      </c>
      <c r="C9" s="6" t="s">
        <v>367</v>
      </c>
    </row>
    <row r="11" spans="1:3" ht="15.75" x14ac:dyDescent="0.25">
      <c r="A11" s="12">
        <f>'Cadastro PCP'!A35</f>
        <v>1100</v>
      </c>
      <c r="B11" s="12"/>
      <c r="C11" s="12" t="str">
        <f>'Cadastro PCP'!C35</f>
        <v>Ativo Circulante</v>
      </c>
    </row>
    <row r="12" spans="1:3" x14ac:dyDescent="0.2">
      <c r="A12" s="5">
        <f>'Cadastro PCP'!A36</f>
        <v>1100</v>
      </c>
      <c r="B12" s="5">
        <f>'Cadastro PCP'!B36</f>
        <v>1</v>
      </c>
      <c r="C12" s="5" t="str">
        <f>'Cadastro PCP'!C36</f>
        <v>Disponivel</v>
      </c>
    </row>
    <row r="13" spans="1:3" x14ac:dyDescent="0.2">
      <c r="A13" s="5">
        <f>'Cadastro PCP'!A37</f>
        <v>1100</v>
      </c>
      <c r="B13" s="5">
        <f>'Cadastro PCP'!B37</f>
        <v>2</v>
      </c>
      <c r="C13" s="5" t="str">
        <f>'Cadastro PCP'!C37</f>
        <v xml:space="preserve">Contas a Receber </v>
      </c>
    </row>
    <row r="14" spans="1:3" x14ac:dyDescent="0.2">
      <c r="A14" s="5">
        <f>'Cadastro PCP'!A38</f>
        <v>1100</v>
      </c>
      <c r="B14" s="5">
        <f>'Cadastro PCP'!B38</f>
        <v>3</v>
      </c>
      <c r="C14" s="5" t="str">
        <f>'Cadastro PCP'!C38</f>
        <v>Estoques</v>
      </c>
    </row>
    <row r="15" spans="1:3" x14ac:dyDescent="0.2">
      <c r="A15" s="5">
        <f>'Cadastro PCP'!A39</f>
        <v>1100</v>
      </c>
      <c r="B15" s="5">
        <f>'Cadastro PCP'!B39</f>
        <v>4</v>
      </c>
      <c r="C15" s="5" t="str">
        <f>'Cadastro PCP'!C39</f>
        <v>Impostos a Recuperar</v>
      </c>
    </row>
    <row r="16" spans="1:3" x14ac:dyDescent="0.2">
      <c r="A16" s="5">
        <f>'Cadastro PCP'!A40</f>
        <v>1100</v>
      </c>
      <c r="B16" s="5">
        <f>'Cadastro PCP'!B40</f>
        <v>5</v>
      </c>
      <c r="C16" s="5" t="str">
        <f>'Cadastro PCP'!C40</f>
        <v>Outros Créditos</v>
      </c>
    </row>
    <row r="17" spans="1:5" x14ac:dyDescent="0.2">
      <c r="A17" s="5">
        <f>'Cadastro PCP'!A41</f>
        <v>1100</v>
      </c>
      <c r="B17" s="5">
        <f>'Cadastro PCP'!B41</f>
        <v>6</v>
      </c>
      <c r="C17" s="5" t="str">
        <f>'Cadastro PCP'!C41</f>
        <v>Despesas Antecipadas</v>
      </c>
    </row>
    <row r="18" spans="1:5" ht="15.75" x14ac:dyDescent="0.25">
      <c r="A18" s="12">
        <f>'Cadastro PCP'!A54</f>
        <v>2100</v>
      </c>
      <c r="B18" s="12"/>
      <c r="C18" s="12" t="str">
        <f>'Cadastro PCP'!C54</f>
        <v>Passivo Circulante</v>
      </c>
    </row>
    <row r="19" spans="1:5" x14ac:dyDescent="0.2">
      <c r="A19" s="5">
        <f>'Cadastro PCP'!A55</f>
        <v>2100</v>
      </c>
      <c r="B19" s="5">
        <f>'Cadastro PCP'!B55</f>
        <v>1</v>
      </c>
      <c r="C19" s="5" t="str">
        <f>'Cadastro PCP'!C55</f>
        <v>Fornecedores</v>
      </c>
    </row>
    <row r="20" spans="1:5" x14ac:dyDescent="0.2">
      <c r="A20" s="5">
        <f>'Cadastro PCP'!A56</f>
        <v>2100</v>
      </c>
      <c r="B20" s="5">
        <f>'Cadastro PCP'!B56</f>
        <v>2</v>
      </c>
      <c r="C20" s="5" t="str">
        <f>'Cadastro PCP'!C56</f>
        <v>Empréstimos e Financiamentos</v>
      </c>
    </row>
    <row r="21" spans="1:5" x14ac:dyDescent="0.2">
      <c r="A21" s="5">
        <f>'Cadastro PCP'!A57</f>
        <v>2100</v>
      </c>
      <c r="B21" s="5">
        <f>'Cadastro PCP'!B57</f>
        <v>3</v>
      </c>
      <c r="C21" s="5" t="str">
        <f>'Cadastro PCP'!C57</f>
        <v>Salários e Encargos Sociais</v>
      </c>
    </row>
    <row r="22" spans="1:5" x14ac:dyDescent="0.2">
      <c r="A22" s="5">
        <f>'Cadastro PCP'!A58</f>
        <v>2100</v>
      </c>
      <c r="B22" s="5">
        <f>'Cadastro PCP'!B58</f>
        <v>4</v>
      </c>
      <c r="C22" s="5" t="str">
        <f>'Cadastro PCP'!C58</f>
        <v>Provisão para Férias e 13.Salário</v>
      </c>
    </row>
    <row r="23" spans="1:5" x14ac:dyDescent="0.2">
      <c r="A23" s="5">
        <f>'Cadastro PCP'!A59</f>
        <v>2100</v>
      </c>
      <c r="B23" s="5">
        <f>'Cadastro PCP'!B59</f>
        <v>5</v>
      </c>
      <c r="C23" s="5" t="str">
        <f>'Cadastro PCP'!C59</f>
        <v>Obrigações Fiscais</v>
      </c>
    </row>
    <row r="24" spans="1:5" x14ac:dyDescent="0.2">
      <c r="A24" s="5">
        <f>'Cadastro PCP'!A60</f>
        <v>2100</v>
      </c>
      <c r="B24" s="5">
        <f>'Cadastro PCP'!B60</f>
        <v>6</v>
      </c>
      <c r="C24" s="5" t="str">
        <f>'Cadastro PCP'!C60</f>
        <v>Contas a Pagar</v>
      </c>
    </row>
    <row r="25" spans="1:5" x14ac:dyDescent="0.2">
      <c r="A25" s="5">
        <f>'Cadastro PCP'!A61</f>
        <v>2100</v>
      </c>
      <c r="B25" s="5">
        <f>'Cadastro PCP'!B61</f>
        <v>7</v>
      </c>
      <c r="C25" s="5" t="str">
        <f>'Cadastro PCP'!C61</f>
        <v>Provisão para IR e CSSL</v>
      </c>
    </row>
    <row r="28" spans="1:5" ht="15" x14ac:dyDescent="0.25">
      <c r="A28" s="280" t="s">
        <v>368</v>
      </c>
      <c r="B28" s="280"/>
      <c r="C28" s="280"/>
    </row>
    <row r="29" spans="1:5" x14ac:dyDescent="0.2">
      <c r="A29" s="6" t="s">
        <v>252</v>
      </c>
      <c r="B29" s="6" t="s">
        <v>253</v>
      </c>
      <c r="D29" s="187" t="s">
        <v>19</v>
      </c>
      <c r="E29" s="187"/>
    </row>
    <row r="30" spans="1:5" x14ac:dyDescent="0.2">
      <c r="A30" s="161" t="s">
        <v>254</v>
      </c>
      <c r="B30" s="161" t="s">
        <v>255</v>
      </c>
      <c r="C30" s="6" t="s">
        <v>367</v>
      </c>
      <c r="D30" s="5" t="s">
        <v>7</v>
      </c>
      <c r="E30" s="6"/>
    </row>
    <row r="31" spans="1:5" x14ac:dyDescent="0.2">
      <c r="C31" s="160" t="s">
        <v>369</v>
      </c>
    </row>
    <row r="32" spans="1:5" x14ac:dyDescent="0.2">
      <c r="A32" s="5">
        <f t="shared" ref="A32:C35" si="0">A13</f>
        <v>1100</v>
      </c>
      <c r="B32" s="5">
        <f t="shared" si="0"/>
        <v>2</v>
      </c>
      <c r="C32" s="5" t="str">
        <f t="shared" si="0"/>
        <v xml:space="preserve">Contas a Receber </v>
      </c>
      <c r="D32" s="5" t="s">
        <v>119</v>
      </c>
    </row>
    <row r="33" spans="1:4" x14ac:dyDescent="0.2">
      <c r="A33" s="5">
        <f t="shared" si="0"/>
        <v>1100</v>
      </c>
      <c r="B33" s="5">
        <f t="shared" si="0"/>
        <v>3</v>
      </c>
      <c r="C33" s="5" t="str">
        <f t="shared" si="0"/>
        <v>Estoques</v>
      </c>
      <c r="D33" s="5" t="s">
        <v>271</v>
      </c>
    </row>
    <row r="34" spans="1:4" x14ac:dyDescent="0.2">
      <c r="A34" s="5">
        <f t="shared" si="0"/>
        <v>1100</v>
      </c>
      <c r="B34" s="5">
        <f t="shared" si="0"/>
        <v>4</v>
      </c>
      <c r="C34" s="5" t="str">
        <f t="shared" si="0"/>
        <v>Impostos a Recuperar</v>
      </c>
      <c r="D34" s="5" t="s">
        <v>2</v>
      </c>
    </row>
    <row r="35" spans="1:4" x14ac:dyDescent="0.2">
      <c r="A35" s="5">
        <f t="shared" si="0"/>
        <v>1100</v>
      </c>
      <c r="B35" s="5">
        <f t="shared" si="0"/>
        <v>5</v>
      </c>
      <c r="C35" s="5" t="str">
        <f t="shared" si="0"/>
        <v>Outros Créditos</v>
      </c>
      <c r="D35" s="5" t="s">
        <v>370</v>
      </c>
    </row>
    <row r="36" spans="1:4" x14ac:dyDescent="0.2">
      <c r="C36" s="160" t="s">
        <v>371</v>
      </c>
    </row>
    <row r="37" spans="1:4" x14ac:dyDescent="0.2">
      <c r="A37" s="5">
        <f>A19</f>
        <v>2100</v>
      </c>
      <c r="B37" s="5">
        <f>B19</f>
        <v>1</v>
      </c>
      <c r="C37" s="5" t="str">
        <f>C19</f>
        <v>Fornecedores</v>
      </c>
      <c r="D37" s="5" t="s">
        <v>3</v>
      </c>
    </row>
    <row r="38" spans="1:4" x14ac:dyDescent="0.2">
      <c r="A38" s="5">
        <f t="shared" ref="A38:C42" si="1">A21</f>
        <v>2100</v>
      </c>
      <c r="B38" s="5">
        <f t="shared" si="1"/>
        <v>3</v>
      </c>
      <c r="C38" s="5" t="str">
        <f t="shared" si="1"/>
        <v>Salários e Encargos Sociais</v>
      </c>
      <c r="D38" s="5" t="s">
        <v>372</v>
      </c>
    </row>
    <row r="39" spans="1:4" x14ac:dyDescent="0.2">
      <c r="A39" s="5">
        <f t="shared" si="1"/>
        <v>2100</v>
      </c>
      <c r="B39" s="5">
        <f t="shared" si="1"/>
        <v>4</v>
      </c>
      <c r="C39" s="5" t="str">
        <f t="shared" si="1"/>
        <v>Provisão para Férias e 13.Salário</v>
      </c>
      <c r="D39" s="5" t="s">
        <v>372</v>
      </c>
    </row>
    <row r="40" spans="1:4" x14ac:dyDescent="0.2">
      <c r="A40" s="5">
        <f t="shared" si="1"/>
        <v>2100</v>
      </c>
      <c r="B40" s="5">
        <f t="shared" si="1"/>
        <v>5</v>
      </c>
      <c r="C40" s="5" t="str">
        <f t="shared" si="1"/>
        <v>Obrigações Fiscais</v>
      </c>
      <c r="D40" s="5" t="s">
        <v>285</v>
      </c>
    </row>
    <row r="41" spans="1:4" x14ac:dyDescent="0.2">
      <c r="A41" s="5">
        <f t="shared" si="1"/>
        <v>2100</v>
      </c>
      <c r="B41" s="5">
        <f t="shared" si="1"/>
        <v>6</v>
      </c>
      <c r="C41" s="5" t="str">
        <f t="shared" si="1"/>
        <v>Contas a Pagar</v>
      </c>
      <c r="D41" s="5" t="s">
        <v>110</v>
      </c>
    </row>
    <row r="42" spans="1:4" x14ac:dyDescent="0.2">
      <c r="A42" s="5">
        <f t="shared" si="1"/>
        <v>2100</v>
      </c>
      <c r="B42" s="5">
        <f t="shared" si="1"/>
        <v>7</v>
      </c>
      <c r="C42" s="5" t="str">
        <f t="shared" si="1"/>
        <v>Provisão para IR e CSSL</v>
      </c>
      <c r="D42" s="5" t="s">
        <v>285</v>
      </c>
    </row>
    <row r="49" spans="3:4" x14ac:dyDescent="0.2">
      <c r="C49" s="5">
        <v>1</v>
      </c>
      <c r="D49" s="5" t="s">
        <v>119</v>
      </c>
    </row>
    <row r="50" spans="3:4" x14ac:dyDescent="0.2">
      <c r="C50" s="5">
        <v>2</v>
      </c>
      <c r="D50" s="5" t="s">
        <v>271</v>
      </c>
    </row>
    <row r="51" spans="3:4" x14ac:dyDescent="0.2">
      <c r="C51" s="5">
        <v>3</v>
      </c>
      <c r="D51" s="5" t="s">
        <v>2</v>
      </c>
    </row>
    <row r="52" spans="3:4" x14ac:dyDescent="0.2">
      <c r="C52" s="5">
        <v>4</v>
      </c>
      <c r="D52" s="5" t="s">
        <v>370</v>
      </c>
    </row>
    <row r="53" spans="3:4" x14ac:dyDescent="0.2">
      <c r="C53" s="5">
        <v>5</v>
      </c>
      <c r="D53" s="5" t="s">
        <v>3</v>
      </c>
    </row>
    <row r="54" spans="3:4" x14ac:dyDescent="0.2">
      <c r="C54" s="5">
        <v>6</v>
      </c>
      <c r="D54" s="5" t="s">
        <v>372</v>
      </c>
    </row>
    <row r="55" spans="3:4" x14ac:dyDescent="0.2">
      <c r="C55" s="5">
        <v>7</v>
      </c>
      <c r="D55" s="5" t="s">
        <v>285</v>
      </c>
    </row>
    <row r="56" spans="3:4" x14ac:dyDescent="0.2">
      <c r="C56" s="5">
        <v>8</v>
      </c>
      <c r="D56" s="5" t="s">
        <v>110</v>
      </c>
    </row>
    <row r="57" spans="3:4" x14ac:dyDescent="0.2">
      <c r="C57" s="5">
        <v>9</v>
      </c>
      <c r="D57" s="5" t="s">
        <v>373</v>
      </c>
    </row>
  </sheetData>
  <mergeCells count="2">
    <mergeCell ref="A7:C7"/>
    <mergeCell ref="A28:C28"/>
  </mergeCells>
  <dataValidations count="2">
    <dataValidation type="list" allowBlank="1" showInputMessage="1" showErrorMessage="1" sqref="D37:D42">
      <formula1>$D$53:$D$57</formula1>
    </dataValidation>
    <dataValidation type="list" allowBlank="1" showInputMessage="1" showErrorMessage="1" sqref="D32:D35">
      <formula1>$D$49:$D$52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horizontalDpi="200" verticalDpi="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D6" sqref="D6"/>
    </sheetView>
  </sheetViews>
  <sheetFormatPr defaultColWidth="9.140625" defaultRowHeight="12.75" x14ac:dyDescent="0.2"/>
  <cols>
    <col min="1" max="2" width="5.5703125" style="5" customWidth="1"/>
    <col min="3" max="3" width="49.140625" style="5" customWidth="1"/>
    <col min="4" max="4" width="32.42578125" style="5" customWidth="1"/>
    <col min="5" max="16384" width="9.140625" style="5"/>
  </cols>
  <sheetData>
    <row r="1" spans="1:4" x14ac:dyDescent="0.2">
      <c r="A1" s="10"/>
      <c r="B1" s="10"/>
      <c r="C1" s="9" t="s">
        <v>461</v>
      </c>
      <c r="D1" s="6"/>
    </row>
    <row r="2" spans="1:4" x14ac:dyDescent="0.2">
      <c r="A2" s="10"/>
      <c r="B2" s="10"/>
      <c r="D2" s="6" t="s">
        <v>455</v>
      </c>
    </row>
    <row r="3" spans="1:4" x14ac:dyDescent="0.2">
      <c r="A3" s="10"/>
      <c r="B3" s="10"/>
    </row>
    <row r="4" spans="1:4" x14ac:dyDescent="0.2">
      <c r="A4" s="193">
        <f>'Cadastro PCR'!A25</f>
        <v>3000</v>
      </c>
      <c r="B4" s="193">
        <f>'Cadastro PCR'!B25</f>
        <v>0</v>
      </c>
      <c r="C4" s="194" t="str">
        <f>'Cadastro PCR'!C25</f>
        <v xml:space="preserve">Resultado </v>
      </c>
      <c r="D4" s="195"/>
    </row>
    <row r="5" spans="1:4" x14ac:dyDescent="0.2">
      <c r="A5" s="193">
        <f>'Cadastro PCR'!A26</f>
        <v>3100</v>
      </c>
      <c r="B5" s="193">
        <f>'Cadastro PCR'!B26</f>
        <v>0</v>
      </c>
      <c r="C5" s="194" t="str">
        <f>'Cadastro PCR'!C26</f>
        <v>Receita Bruta</v>
      </c>
      <c r="D5" s="195"/>
    </row>
    <row r="6" spans="1:4" x14ac:dyDescent="0.2">
      <c r="A6" s="10">
        <f>'Cadastro PCR'!A27</f>
        <v>3100</v>
      </c>
      <c r="B6" s="10">
        <f>'Cadastro PCR'!B27</f>
        <v>1</v>
      </c>
      <c r="C6" s="13" t="str">
        <f>'Cadastro PCR'!C27</f>
        <v>Revenda de Mercadorias</v>
      </c>
    </row>
    <row r="7" spans="1:4" x14ac:dyDescent="0.2">
      <c r="A7" s="193">
        <f>'Cadastro PCR'!A28</f>
        <v>3200</v>
      </c>
      <c r="B7" s="193">
        <f>'Cadastro PCR'!B28</f>
        <v>0</v>
      </c>
      <c r="C7" s="194" t="str">
        <f>'Cadastro PCR'!C28</f>
        <v>Deduções da Receita Bruta</v>
      </c>
      <c r="D7" s="195"/>
    </row>
    <row r="8" spans="1:4" x14ac:dyDescent="0.2">
      <c r="A8" s="10">
        <f>'Cadastro PCR'!A29</f>
        <v>3201</v>
      </c>
      <c r="B8" s="10">
        <f>'Cadastro PCR'!B29</f>
        <v>1</v>
      </c>
      <c r="C8" s="13" t="str">
        <f>'Cadastro PCR'!C29</f>
        <v>Vendas Canceladas e Devoluções</v>
      </c>
      <c r="D8" s="195"/>
    </row>
    <row r="9" spans="1:4" x14ac:dyDescent="0.2">
      <c r="A9" s="193">
        <f>'Cadastro PCR'!A30</f>
        <v>3202</v>
      </c>
      <c r="B9" s="193">
        <f>'Cadastro PCR'!B30</f>
        <v>0</v>
      </c>
      <c r="C9" s="194" t="str">
        <f>'Cadastro PCR'!C30</f>
        <v>Impostos sobre a Receita</v>
      </c>
      <c r="D9" s="195"/>
    </row>
    <row r="10" spans="1:4" x14ac:dyDescent="0.2">
      <c r="A10" s="10">
        <f>'Cadastro PCR'!A31</f>
        <v>3202</v>
      </c>
      <c r="B10" s="10">
        <f>'Cadastro PCR'!B31</f>
        <v>1</v>
      </c>
      <c r="C10" s="13" t="str">
        <f>'Cadastro PCR'!C31</f>
        <v>ICMS</v>
      </c>
      <c r="D10" s="5" t="s">
        <v>456</v>
      </c>
    </row>
    <row r="11" spans="1:4" x14ac:dyDescent="0.2">
      <c r="A11" s="10">
        <f>'Cadastro PCR'!A32</f>
        <v>3202</v>
      </c>
      <c r="B11" s="10">
        <f>'Cadastro PCR'!B32</f>
        <v>2</v>
      </c>
      <c r="C11" s="13" t="str">
        <f>'Cadastro PCR'!C32</f>
        <v>PIS/COFINS</v>
      </c>
      <c r="D11" s="5" t="s">
        <v>457</v>
      </c>
    </row>
    <row r="12" spans="1:4" x14ac:dyDescent="0.2">
      <c r="A12" s="193">
        <f>'Cadastro PCR'!A33</f>
        <v>3300</v>
      </c>
      <c r="B12" s="193">
        <f>'Cadastro PCR'!B33</f>
        <v>0</v>
      </c>
      <c r="C12" s="194" t="str">
        <f>'Cadastro PCR'!C33</f>
        <v>Custo dos Produtos Vendidos</v>
      </c>
      <c r="D12" s="195"/>
    </row>
    <row r="13" spans="1:4" x14ac:dyDescent="0.2">
      <c r="A13" s="10">
        <f>'Cadastro PCR'!A34</f>
        <v>3300</v>
      </c>
      <c r="B13" s="10">
        <f>'Cadastro PCR'!B34</f>
        <v>1</v>
      </c>
      <c r="C13" s="13" t="str">
        <f>'Cadastro PCR'!C34</f>
        <v>Custo dos Produtos de Revenda</v>
      </c>
      <c r="D13" s="5" t="str">
        <f>'NT7 a NT11'!C4</f>
        <v>NT 8- CPV</v>
      </c>
    </row>
    <row r="14" spans="1:4" ht="15" x14ac:dyDescent="0.25">
      <c r="A14" s="8"/>
      <c r="B14" s="8"/>
      <c r="C14" s="88"/>
    </row>
    <row r="15" spans="1:4" ht="15" x14ac:dyDescent="0.25">
      <c r="A15" s="8"/>
      <c r="B15" s="8"/>
      <c r="C15" s="88"/>
    </row>
    <row r="16" spans="1:4" ht="15" x14ac:dyDescent="0.25">
      <c r="A16" s="8"/>
      <c r="B16" s="8"/>
      <c r="C16" s="88"/>
    </row>
    <row r="17" spans="1:3" ht="15" x14ac:dyDescent="0.25">
      <c r="A17" s="8"/>
      <c r="B17" s="8"/>
      <c r="C17" s="88"/>
    </row>
    <row r="18" spans="1:3" ht="15" x14ac:dyDescent="0.25">
      <c r="A18" s="8"/>
      <c r="B18" s="8"/>
      <c r="C18" s="88"/>
    </row>
    <row r="19" spans="1:3" ht="15" x14ac:dyDescent="0.25">
      <c r="A19" s="8"/>
      <c r="B19" s="8"/>
      <c r="C19" s="88"/>
    </row>
    <row r="20" spans="1:3" ht="15" x14ac:dyDescent="0.25">
      <c r="A20" s="8"/>
      <c r="B20" s="8"/>
      <c r="C20" s="88"/>
    </row>
    <row r="21" spans="1:3" ht="15" x14ac:dyDescent="0.25">
      <c r="A21" s="8"/>
      <c r="B21" s="8"/>
      <c r="C21" s="88"/>
    </row>
    <row r="22" spans="1:3" ht="15" x14ac:dyDescent="0.25">
      <c r="A22" s="8"/>
      <c r="B22" s="8"/>
      <c r="C22" s="88"/>
    </row>
    <row r="23" spans="1:3" ht="15" x14ac:dyDescent="0.25">
      <c r="A23" s="8"/>
      <c r="B23" s="8"/>
      <c r="C23" s="88"/>
    </row>
    <row r="24" spans="1:3" ht="15" x14ac:dyDescent="0.25">
      <c r="A24" s="8"/>
      <c r="B24" s="8"/>
      <c r="C24" s="88"/>
    </row>
    <row r="25" spans="1:3" ht="15" x14ac:dyDescent="0.25">
      <c r="A25" s="8"/>
      <c r="B25" s="8"/>
      <c r="C25" s="88"/>
    </row>
    <row r="26" spans="1:3" ht="15" x14ac:dyDescent="0.25">
      <c r="A26" s="8"/>
      <c r="B26" s="8"/>
      <c r="C26" s="88"/>
    </row>
    <row r="27" spans="1:3" ht="15" x14ac:dyDescent="0.25">
      <c r="A27" s="8"/>
      <c r="B27" s="8"/>
      <c r="C27" s="88"/>
    </row>
    <row r="28" spans="1:3" ht="15" x14ac:dyDescent="0.25">
      <c r="A28" s="8"/>
      <c r="B28" s="8"/>
      <c r="C28" s="88"/>
    </row>
    <row r="29" spans="1:3" ht="15" x14ac:dyDescent="0.25">
      <c r="A29" s="8"/>
      <c r="B29" s="8"/>
      <c r="C29" s="88"/>
    </row>
    <row r="30" spans="1:3" ht="15" x14ac:dyDescent="0.25">
      <c r="A30" s="8"/>
      <c r="B30" s="8"/>
      <c r="C30" s="88"/>
    </row>
    <row r="31" spans="1:3" ht="15" x14ac:dyDescent="0.25">
      <c r="A31" s="8"/>
      <c r="B31" s="8"/>
      <c r="C31" s="88"/>
    </row>
    <row r="32" spans="1:3" ht="15" x14ac:dyDescent="0.25">
      <c r="A32" s="8"/>
      <c r="B32" s="8"/>
      <c r="C32" s="88"/>
    </row>
    <row r="33" spans="1:3" ht="15" x14ac:dyDescent="0.25">
      <c r="A33" s="8"/>
      <c r="B33" s="8"/>
      <c r="C33" s="88"/>
    </row>
    <row r="34" spans="1:3" ht="15" x14ac:dyDescent="0.25">
      <c r="A34" s="8"/>
      <c r="B34" s="8"/>
      <c r="C34" s="88"/>
    </row>
    <row r="35" spans="1:3" ht="15" x14ac:dyDescent="0.25">
      <c r="A35" s="8"/>
      <c r="B35" s="8"/>
      <c r="C35" s="88"/>
    </row>
    <row r="36" spans="1:3" x14ac:dyDescent="0.2">
      <c r="A36" s="7"/>
      <c r="B36" s="7"/>
      <c r="C36" s="7"/>
    </row>
    <row r="37" spans="1:3" x14ac:dyDescent="0.2">
      <c r="A37" s="7"/>
      <c r="B37" s="7"/>
      <c r="C37" s="7"/>
    </row>
  </sheetData>
  <pageMargins left="0.78740157499999996" right="0.78740157499999996" top="0.984251969" bottom="0.984251969" header="0.49212598499999999" footer="0.49212598499999999"/>
  <pageSetup paperSize="9" orientation="portrait" horizontalDpi="200" verticalDpi="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E10" sqref="E10"/>
    </sheetView>
  </sheetViews>
  <sheetFormatPr defaultColWidth="9.140625" defaultRowHeight="12.75" x14ac:dyDescent="0.2"/>
  <cols>
    <col min="1" max="2" width="5.5703125" style="5" customWidth="1"/>
    <col min="3" max="3" width="49.140625" style="5" customWidth="1"/>
    <col min="4" max="4" width="15.85546875" style="5" customWidth="1"/>
    <col min="5" max="5" width="40.5703125" style="5" customWidth="1"/>
    <col min="6" max="16384" width="9.140625" style="5"/>
  </cols>
  <sheetData>
    <row r="1" spans="1:5" x14ac:dyDescent="0.2">
      <c r="A1" s="5" t="s">
        <v>459</v>
      </c>
    </row>
    <row r="4" spans="1:5" x14ac:dyDescent="0.2">
      <c r="A4" s="298"/>
      <c r="B4" s="298"/>
    </row>
    <row r="5" spans="1:5" x14ac:dyDescent="0.2">
      <c r="A5" s="10"/>
      <c r="B5" s="10"/>
      <c r="C5" s="9" t="s">
        <v>442</v>
      </c>
      <c r="D5" s="5" t="s">
        <v>19</v>
      </c>
      <c r="E5" s="6"/>
    </row>
    <row r="6" spans="1:5" x14ac:dyDescent="0.2">
      <c r="A6" s="10"/>
      <c r="B6" s="10"/>
      <c r="D6" s="5" t="s">
        <v>20</v>
      </c>
      <c r="E6" s="6" t="s">
        <v>455</v>
      </c>
    </row>
    <row r="7" spans="1:5" x14ac:dyDescent="0.2">
      <c r="A7" s="10"/>
      <c r="B7" s="10"/>
    </row>
    <row r="8" spans="1:5" x14ac:dyDescent="0.2">
      <c r="A8" s="193">
        <f>'Cadastro PCR'!A35</f>
        <v>3400</v>
      </c>
      <c r="B8" s="193">
        <f>'Cadastro PCR'!B35</f>
        <v>0</v>
      </c>
      <c r="C8" s="194" t="str">
        <f>'Cadastro PCR'!C35</f>
        <v>Despesas Operacionais</v>
      </c>
      <c r="D8" s="195"/>
      <c r="E8" s="195"/>
    </row>
    <row r="9" spans="1:5" ht="14.25" x14ac:dyDescent="0.2">
      <c r="A9" s="196">
        <f>'Cadastro PCR'!A36</f>
        <v>3401</v>
      </c>
      <c r="B9" s="196">
        <f>'Cadastro PCR'!B36</f>
        <v>0</v>
      </c>
      <c r="C9" s="197" t="str">
        <f>'Cadastro PCR'!C36</f>
        <v>Despesas Administrativas</v>
      </c>
      <c r="D9" s="195"/>
      <c r="E9" s="195"/>
    </row>
    <row r="10" spans="1:5" ht="14.25" x14ac:dyDescent="0.2">
      <c r="A10" s="198">
        <f>'Cadastro PCR'!A37</f>
        <v>3401</v>
      </c>
      <c r="B10" s="198">
        <f>'Cadastro PCR'!B37</f>
        <v>1</v>
      </c>
      <c r="C10" s="2" t="str">
        <f>'Cadastro PCR'!C37</f>
        <v>Despesas com Administradores</v>
      </c>
      <c r="D10" s="5" t="s">
        <v>22</v>
      </c>
      <c r="E10" s="5" t="s">
        <v>464</v>
      </c>
    </row>
    <row r="11" spans="1:5" ht="14.25" x14ac:dyDescent="0.2">
      <c r="A11" s="198">
        <f>'Cadastro PCR'!A38</f>
        <v>3401</v>
      </c>
      <c r="B11" s="198">
        <f>'Cadastro PCR'!B38</f>
        <v>2</v>
      </c>
      <c r="C11" s="2" t="str">
        <f>'Cadastro PCR'!C38</f>
        <v xml:space="preserve">Despesas com o Pessoal </v>
      </c>
      <c r="D11" s="5" t="s">
        <v>22</v>
      </c>
      <c r="E11" s="5" t="s">
        <v>464</v>
      </c>
    </row>
    <row r="12" spans="1:5" ht="14.25" x14ac:dyDescent="0.2">
      <c r="A12" s="198">
        <f>'Cadastro PCR'!A39</f>
        <v>3401</v>
      </c>
      <c r="B12" s="198">
        <f>'Cadastro PCR'!B39</f>
        <v>3</v>
      </c>
      <c r="C12" s="2" t="str">
        <f>'Cadastro PCR'!C39</f>
        <v xml:space="preserve">Despesas com Ocupação </v>
      </c>
      <c r="D12" s="5" t="s">
        <v>22</v>
      </c>
      <c r="E12" s="5" t="s">
        <v>465</v>
      </c>
    </row>
    <row r="13" spans="1:5" ht="14.25" x14ac:dyDescent="0.2">
      <c r="A13" s="198">
        <f>'Cadastro PCR'!A40</f>
        <v>3401</v>
      </c>
      <c r="B13" s="198">
        <f>'Cadastro PCR'!B40</f>
        <v>4</v>
      </c>
      <c r="C13" s="2" t="str">
        <f>'Cadastro PCR'!C40</f>
        <v>Despesas com Utilidades</v>
      </c>
      <c r="D13" s="5" t="s">
        <v>22</v>
      </c>
      <c r="E13" s="5" t="s">
        <v>465</v>
      </c>
    </row>
    <row r="14" spans="1:5" ht="14.25" x14ac:dyDescent="0.2">
      <c r="A14" s="198">
        <f>'Cadastro PCR'!A41</f>
        <v>3401</v>
      </c>
      <c r="B14" s="198">
        <f>'Cadastro PCR'!B41</f>
        <v>5</v>
      </c>
      <c r="C14" s="2" t="str">
        <f>'Cadastro PCR'!C41</f>
        <v xml:space="preserve">Despesas  Gerais </v>
      </c>
      <c r="D14" s="5" t="s">
        <v>22</v>
      </c>
      <c r="E14" s="5" t="s">
        <v>465</v>
      </c>
    </row>
    <row r="15" spans="1:5" ht="14.25" x14ac:dyDescent="0.2">
      <c r="A15" s="198">
        <f>'Cadastro PCR'!A42</f>
        <v>3401</v>
      </c>
      <c r="B15" s="198">
        <f>'Cadastro PCR'!B42</f>
        <v>99</v>
      </c>
      <c r="C15" s="2" t="str">
        <f>'Cadastro PCR'!C42</f>
        <v>Depreciações e Amort. Administ.</v>
      </c>
      <c r="D15" s="5" t="s">
        <v>22</v>
      </c>
      <c r="E15" s="5" t="s">
        <v>466</v>
      </c>
    </row>
    <row r="16" spans="1:5" ht="14.25" x14ac:dyDescent="0.2">
      <c r="A16" s="196">
        <f>'Cadastro PCR'!A43</f>
        <v>3500</v>
      </c>
      <c r="B16" s="196">
        <f>'Cadastro PCR'!B43</f>
        <v>0</v>
      </c>
      <c r="C16" s="197" t="str">
        <f>'Cadastro PCR'!C43</f>
        <v>Despesas Comerciais</v>
      </c>
      <c r="D16" s="195"/>
      <c r="E16" s="195"/>
    </row>
    <row r="17" spans="1:5" ht="14.25" x14ac:dyDescent="0.2">
      <c r="A17" s="198">
        <f>'Cadastro PCR'!A44</f>
        <v>3500</v>
      </c>
      <c r="B17" s="198">
        <f>'Cadastro PCR'!B44</f>
        <v>1</v>
      </c>
      <c r="C17" s="2" t="str">
        <f>'Cadastro PCR'!C44</f>
        <v>Comissões</v>
      </c>
      <c r="D17" s="5" t="s">
        <v>24</v>
      </c>
      <c r="E17" s="5" t="s">
        <v>465</v>
      </c>
    </row>
    <row r="18" spans="1:5" ht="14.25" x14ac:dyDescent="0.2">
      <c r="A18" s="198">
        <f>'Cadastro PCR'!A45</f>
        <v>3500</v>
      </c>
      <c r="B18" s="198">
        <f>'Cadastro PCR'!B45</f>
        <v>2</v>
      </c>
      <c r="C18" s="2" t="str">
        <f>'Cadastro PCR'!C45</f>
        <v>Fretes</v>
      </c>
      <c r="D18" s="5" t="s">
        <v>24</v>
      </c>
      <c r="E18" s="5" t="s">
        <v>465</v>
      </c>
    </row>
    <row r="19" spans="1:5" ht="14.25" x14ac:dyDescent="0.2">
      <c r="A19" s="198">
        <f>'Cadastro PCR'!A46</f>
        <v>3500</v>
      </c>
      <c r="B19" s="198">
        <f>'Cadastro PCR'!B46</f>
        <v>3</v>
      </c>
      <c r="C19" s="2" t="str">
        <f>'Cadastro PCR'!C46</f>
        <v>Despesas com o Pessoal Comercial</v>
      </c>
      <c r="D19" s="5" t="s">
        <v>22</v>
      </c>
      <c r="E19" s="5" t="s">
        <v>464</v>
      </c>
    </row>
    <row r="20" spans="1:5" ht="14.25" x14ac:dyDescent="0.2">
      <c r="A20" s="198">
        <f>'Cadastro PCR'!A47</f>
        <v>3500</v>
      </c>
      <c r="B20" s="198">
        <f>'Cadastro PCR'!B47</f>
        <v>4</v>
      </c>
      <c r="C20" s="2" t="str">
        <f>'Cadastro PCR'!C47</f>
        <v>Despesas Comerciais com Ocupação</v>
      </c>
      <c r="D20" s="5" t="s">
        <v>22</v>
      </c>
      <c r="E20" s="5" t="s">
        <v>465</v>
      </c>
    </row>
    <row r="21" spans="1:5" ht="14.25" x14ac:dyDescent="0.2">
      <c r="A21" s="198">
        <f>'Cadastro PCR'!A48</f>
        <v>3500</v>
      </c>
      <c r="B21" s="198">
        <f>'Cadastro PCR'!B48</f>
        <v>5</v>
      </c>
      <c r="C21" s="2" t="str">
        <f>'Cadastro PCR'!C48</f>
        <v>Despesas Comerciais com Utilidades</v>
      </c>
      <c r="D21" s="5" t="s">
        <v>22</v>
      </c>
      <c r="E21" s="5" t="s">
        <v>465</v>
      </c>
    </row>
    <row r="22" spans="1:5" ht="14.25" x14ac:dyDescent="0.2">
      <c r="A22" s="198">
        <f>'Cadastro PCR'!A49</f>
        <v>3500</v>
      </c>
      <c r="B22" s="198">
        <f>'Cadastro PCR'!B49</f>
        <v>6</v>
      </c>
      <c r="C22" s="2" t="str">
        <f>'Cadastro PCR'!C49</f>
        <v xml:space="preserve">Despesas Comerciais Gerais </v>
      </c>
      <c r="D22" s="5" t="s">
        <v>22</v>
      </c>
      <c r="E22" s="5" t="s">
        <v>465</v>
      </c>
    </row>
    <row r="23" spans="1:5" ht="14.25" x14ac:dyDescent="0.2">
      <c r="A23" s="198">
        <f>'Cadastro PCR'!A50</f>
        <v>3500</v>
      </c>
      <c r="B23" s="198">
        <f>'Cadastro PCR'!B50</f>
        <v>99</v>
      </c>
      <c r="C23" s="2" t="str">
        <f>'Cadastro PCR'!C50</f>
        <v>Depreciações e Amort. Comercial</v>
      </c>
      <c r="D23" s="5" t="s">
        <v>22</v>
      </c>
      <c r="E23" s="5" t="s">
        <v>466</v>
      </c>
    </row>
    <row r="24" spans="1:5" ht="14.25" x14ac:dyDescent="0.2">
      <c r="A24" s="196">
        <f>'Cadastro PCR'!A51</f>
        <v>3600</v>
      </c>
      <c r="B24" s="196">
        <f>'Cadastro PCR'!B51</f>
        <v>0</v>
      </c>
      <c r="C24" s="197" t="str">
        <f>'Cadastro PCR'!C51</f>
        <v>Resultado Financeiro Líquido</v>
      </c>
      <c r="D24" s="195"/>
      <c r="E24" s="195"/>
    </row>
    <row r="25" spans="1:5" ht="14.25" x14ac:dyDescent="0.2">
      <c r="A25" s="196">
        <f>'Cadastro PCR'!A52</f>
        <v>3601</v>
      </c>
      <c r="B25" s="196">
        <f>'Cadastro PCR'!B52</f>
        <v>0</v>
      </c>
      <c r="C25" s="197" t="str">
        <f>'Cadastro PCR'!C52</f>
        <v>Despesas Financeiras</v>
      </c>
      <c r="D25" s="195"/>
      <c r="E25" s="195"/>
    </row>
    <row r="26" spans="1:5" ht="14.25" x14ac:dyDescent="0.2">
      <c r="A26" s="198">
        <f>'Cadastro PCR'!A53</f>
        <v>3601</v>
      </c>
      <c r="B26" s="198">
        <f>'Cadastro PCR'!B53</f>
        <v>1</v>
      </c>
      <c r="C26" s="2" t="str">
        <f>'Cadastro PCR'!C53</f>
        <v>Despesa de Juros</v>
      </c>
      <c r="D26" s="5" t="s">
        <v>24</v>
      </c>
      <c r="E26" s="5" t="s">
        <v>467</v>
      </c>
    </row>
    <row r="27" spans="1:5" ht="14.25" x14ac:dyDescent="0.2">
      <c r="A27" s="196">
        <f>'Cadastro PCR'!A54</f>
        <v>3602</v>
      </c>
      <c r="B27" s="196">
        <f>'Cadastro PCR'!B54</f>
        <v>0</v>
      </c>
      <c r="C27" s="197" t="str">
        <f>'Cadastro PCR'!C54</f>
        <v>Receitas Financeiras</v>
      </c>
      <c r="D27" s="195"/>
      <c r="E27" s="195"/>
    </row>
    <row r="28" spans="1:5" ht="14.25" x14ac:dyDescent="0.2">
      <c r="A28" s="198">
        <f>'Cadastro PCR'!A55</f>
        <v>3602</v>
      </c>
      <c r="B28" s="198">
        <f>'Cadastro PCR'!B55</f>
        <v>1</v>
      </c>
      <c r="C28" s="2" t="str">
        <f>'Cadastro PCR'!C55</f>
        <v>Juros Auferidos</v>
      </c>
      <c r="D28" s="5" t="s">
        <v>24</v>
      </c>
      <c r="E28" s="5" t="s">
        <v>468</v>
      </c>
    </row>
    <row r="29" spans="1:5" ht="14.25" x14ac:dyDescent="0.2">
      <c r="A29" s="196">
        <f>'Cadastro PCR'!A56</f>
        <v>3700</v>
      </c>
      <c r="B29" s="196">
        <f>'Cadastro PCR'!B56</f>
        <v>0</v>
      </c>
      <c r="C29" s="197" t="str">
        <f>'Cadastro PCR'!C56</f>
        <v>IR/CSSL e Participações</v>
      </c>
      <c r="D29" s="195"/>
      <c r="E29" s="195"/>
    </row>
    <row r="30" spans="1:5" ht="14.25" x14ac:dyDescent="0.2">
      <c r="A30" s="198">
        <f>'Cadastro PCR'!A57</f>
        <v>3700</v>
      </c>
      <c r="B30" s="198">
        <f>'Cadastro PCR'!B57</f>
        <v>1</v>
      </c>
      <c r="C30" s="2" t="str">
        <f>'Cadastro PCR'!C57</f>
        <v>Prov. p/ IR e CSSL</v>
      </c>
    </row>
    <row r="31" spans="1:5" ht="15" x14ac:dyDescent="0.25">
      <c r="A31" s="8"/>
      <c r="B31" s="8"/>
      <c r="C31" s="88"/>
    </row>
    <row r="32" spans="1:5" ht="15" x14ac:dyDescent="0.25">
      <c r="A32" s="8"/>
      <c r="B32" s="8"/>
      <c r="C32" s="88"/>
    </row>
    <row r="33" spans="1:5" ht="15" x14ac:dyDescent="0.25">
      <c r="A33" s="8"/>
      <c r="B33" s="8"/>
      <c r="C33" s="88"/>
    </row>
    <row r="34" spans="1:5" ht="15" x14ac:dyDescent="0.25">
      <c r="A34" s="8"/>
      <c r="B34" s="8"/>
      <c r="C34" s="88"/>
    </row>
    <row r="35" spans="1:5" ht="15" x14ac:dyDescent="0.25">
      <c r="A35" s="8"/>
      <c r="B35" s="8"/>
      <c r="C35" s="88"/>
    </row>
    <row r="36" spans="1:5" ht="15" x14ac:dyDescent="0.25">
      <c r="A36" s="8"/>
      <c r="B36" s="8"/>
      <c r="C36" s="88"/>
      <c r="D36" s="5" t="s">
        <v>23</v>
      </c>
      <c r="E36" s="5" t="str">
        <f>CONCATENATE('Cadastro PCP'!A36,'Cadastro PCP'!B36,'Cadastro PCP'!C36)</f>
        <v>11001Disponivel</v>
      </c>
    </row>
    <row r="37" spans="1:5" ht="15" x14ac:dyDescent="0.25">
      <c r="A37" s="8"/>
      <c r="B37" s="8"/>
      <c r="C37" s="88"/>
      <c r="D37" s="5" t="s">
        <v>21</v>
      </c>
      <c r="E37" s="5" t="str">
        <f>CONCATENATE('Cadastro PCP'!A37,'Cadastro PCP'!B37,'Cadastro PCP'!C37)</f>
        <v xml:space="preserve">11002Contas a Receber </v>
      </c>
    </row>
    <row r="38" spans="1:5" ht="15" x14ac:dyDescent="0.25">
      <c r="A38" s="8"/>
      <c r="B38" s="8"/>
      <c r="C38" s="88"/>
      <c r="D38" s="5" t="s">
        <v>24</v>
      </c>
      <c r="E38" s="5" t="str">
        <f>CONCATENATE('Cadastro PCP'!A38,'Cadastro PCP'!B38,'Cadastro PCP'!C38)</f>
        <v>11003Estoques</v>
      </c>
    </row>
    <row r="39" spans="1:5" ht="15" x14ac:dyDescent="0.25">
      <c r="A39" s="8"/>
      <c r="B39" s="8"/>
      <c r="C39" s="88"/>
      <c r="D39" s="5" t="s">
        <v>22</v>
      </c>
      <c r="E39" s="5" t="str">
        <f>CONCATENATE('Cadastro PCP'!A39,'Cadastro PCP'!B39,'Cadastro PCP'!C39)</f>
        <v>11004Impostos a Recuperar</v>
      </c>
    </row>
    <row r="40" spans="1:5" ht="15" x14ac:dyDescent="0.25">
      <c r="A40" s="8"/>
      <c r="B40" s="8"/>
      <c r="C40" s="88"/>
      <c r="E40" s="5" t="str">
        <f>CONCATENATE('Cadastro PCP'!A40,'Cadastro PCP'!B40,'Cadastro PCP'!C40)</f>
        <v>11005Outros Créditos</v>
      </c>
    </row>
    <row r="41" spans="1:5" ht="15" x14ac:dyDescent="0.25">
      <c r="A41" s="8"/>
      <c r="B41" s="8"/>
      <c r="C41" s="88"/>
      <c r="E41" s="5" t="str">
        <f>CONCATENATE('Cadastro PCP'!A41,'Cadastro PCP'!B41,'Cadastro PCP'!C41)</f>
        <v>11006Despesas Antecipadas</v>
      </c>
    </row>
    <row r="42" spans="1:5" ht="15" x14ac:dyDescent="0.25">
      <c r="A42" s="8"/>
      <c r="B42" s="8"/>
      <c r="C42" s="88"/>
      <c r="E42" s="5" t="str">
        <f>CONCATENATE('Cadastro PCP'!A44,'Cadastro PCP'!B44,'Cadastro PCP'!C44)</f>
        <v>12011Investimentos Temporários</v>
      </c>
    </row>
    <row r="43" spans="1:5" ht="15" x14ac:dyDescent="0.25">
      <c r="A43" s="8"/>
      <c r="B43" s="8"/>
      <c r="C43" s="88"/>
      <c r="E43" s="5" t="str">
        <f>CONCATENATE('Cadastro PCP'!A45,'Cadastro PCP'!B45,'Cadastro PCP'!C45)</f>
        <v>12012Outros Créditos</v>
      </c>
    </row>
    <row r="44" spans="1:5" ht="15" x14ac:dyDescent="0.25">
      <c r="A44" s="8"/>
      <c r="B44" s="8"/>
      <c r="C44" s="88"/>
      <c r="E44" s="5" t="str">
        <f>CONCATENATE('Cadastro PCP'!A47,'Cadastro PCP'!B47,'Cadastro PCP'!C47)</f>
        <v>12021Participações em Outras Sociedades</v>
      </c>
    </row>
    <row r="45" spans="1:5" ht="15" x14ac:dyDescent="0.25">
      <c r="A45" s="8"/>
      <c r="B45" s="8"/>
      <c r="C45" s="88"/>
      <c r="E45" s="5" t="str">
        <f>CONCATENATE('Cadastro PCP'!A49,'Cadastro PCP'!B49,'Cadastro PCP'!C49)</f>
        <v>12031Imobilizado em Operação</v>
      </c>
    </row>
    <row r="46" spans="1:5" ht="15" x14ac:dyDescent="0.25">
      <c r="A46" s="8"/>
      <c r="B46" s="8"/>
      <c r="C46" s="88"/>
      <c r="E46" s="5" t="str">
        <f>CONCATENATE('Cadastro PCP'!A50,'Cadastro PCP'!B50,'Cadastro PCP'!C50)</f>
        <v>12032Depreciação Acumulada</v>
      </c>
    </row>
    <row r="47" spans="1:5" ht="15" x14ac:dyDescent="0.25">
      <c r="A47" s="8"/>
      <c r="B47" s="8"/>
      <c r="C47" s="88"/>
      <c r="E47" s="5" t="str">
        <f>CONCATENATE('Cadastro PCP'!A52,'Cadastro PCP'!B52,'Cadastro PCP'!C52)</f>
        <v>12041Softwares</v>
      </c>
    </row>
    <row r="48" spans="1:5" ht="15" x14ac:dyDescent="0.25">
      <c r="A48" s="8"/>
      <c r="B48" s="8"/>
      <c r="C48" s="88"/>
      <c r="E48" s="5" t="str">
        <f>CONCATENATE('Cadastro PCP'!A55,'Cadastro PCP'!B55,'Cadastro PCP'!C55)</f>
        <v>21001Fornecedores</v>
      </c>
    </row>
    <row r="49" spans="1:5" ht="15" x14ac:dyDescent="0.25">
      <c r="A49" s="8"/>
      <c r="B49" s="8"/>
      <c r="C49" s="88"/>
      <c r="E49" s="5" t="str">
        <f>CONCATENATE('Cadastro PCP'!A56,'Cadastro PCP'!B56,'Cadastro PCP'!C56)</f>
        <v>21002Empréstimos e Financiamentos</v>
      </c>
    </row>
    <row r="50" spans="1:5" ht="15" x14ac:dyDescent="0.25">
      <c r="A50" s="8"/>
      <c r="B50" s="8"/>
      <c r="C50" s="88"/>
      <c r="E50" s="5" t="str">
        <f>CONCATENATE('Cadastro PCP'!A57,'Cadastro PCP'!B57,'Cadastro PCP'!C57)</f>
        <v>21003Salários e Encargos Sociais</v>
      </c>
    </row>
    <row r="51" spans="1:5" ht="15" x14ac:dyDescent="0.25">
      <c r="A51" s="8"/>
      <c r="B51" s="8"/>
      <c r="C51" s="88"/>
      <c r="E51" s="5" t="str">
        <f>CONCATENATE('Cadastro PCP'!A58,'Cadastro PCP'!B58,'Cadastro PCP'!C58)</f>
        <v>21004Provisão para Férias e 13.Salário</v>
      </c>
    </row>
    <row r="52" spans="1:5" ht="15" x14ac:dyDescent="0.25">
      <c r="A52" s="8"/>
      <c r="B52" s="8"/>
      <c r="C52" s="88"/>
      <c r="E52" s="5" t="str">
        <f>CONCATENATE('Cadastro PCP'!A59,'Cadastro PCP'!B59,'Cadastro PCP'!C59)</f>
        <v>21005Obrigações Fiscais</v>
      </c>
    </row>
    <row r="53" spans="1:5" ht="15" x14ac:dyDescent="0.25">
      <c r="A53" s="8"/>
      <c r="B53" s="8"/>
      <c r="C53" s="88"/>
      <c r="E53" s="5" t="str">
        <f>CONCATENATE('Cadastro PCP'!A60,'Cadastro PCP'!B60,'Cadastro PCP'!C60)</f>
        <v>21006Contas a Pagar</v>
      </c>
    </row>
    <row r="54" spans="1:5" ht="15" x14ac:dyDescent="0.25">
      <c r="A54" s="8"/>
      <c r="B54" s="8"/>
      <c r="C54" s="88"/>
      <c r="E54" s="5" t="str">
        <f>CONCATENATE('Cadastro PCP'!A61,'Cadastro PCP'!B61,'Cadastro PCP'!C61)</f>
        <v>21007Provisão para IR e CSSL</v>
      </c>
    </row>
    <row r="55" spans="1:5" ht="15" x14ac:dyDescent="0.25">
      <c r="A55" s="8"/>
      <c r="B55" s="8"/>
      <c r="C55" s="88"/>
      <c r="E55" s="5" t="str">
        <f>CONCATENATE('Cadastro PCP'!A63,'Cadastro PCP'!B63,'Cadastro PCP'!C63)</f>
        <v>22001Empréstimos e Financiamentos</v>
      </c>
    </row>
    <row r="56" spans="1:5" ht="15" x14ac:dyDescent="0.25">
      <c r="A56" s="8"/>
      <c r="B56" s="8"/>
      <c r="C56" s="88"/>
      <c r="E56" s="5" t="str">
        <f>CONCATENATE('Cadastro PCP'!A64,'Cadastro PCP'!B64,'Cadastro PCP'!C64)</f>
        <v>22002Obrigações Fiscais</v>
      </c>
    </row>
    <row r="57" spans="1:5" ht="15" x14ac:dyDescent="0.25">
      <c r="A57" s="8"/>
      <c r="B57" s="8"/>
      <c r="C57" s="88"/>
      <c r="E57" s="5" t="str">
        <f>CONCATENATE('Cadastro PCP'!A66,'Cadastro PCP'!B66,'Cadastro PCP'!C66)</f>
        <v>23001Capital Social</v>
      </c>
    </row>
    <row r="58" spans="1:5" ht="15" x14ac:dyDescent="0.25">
      <c r="A58" s="8"/>
      <c r="B58" s="8"/>
      <c r="C58" s="88"/>
    </row>
    <row r="59" spans="1:5" ht="15" x14ac:dyDescent="0.25">
      <c r="A59" s="8"/>
      <c r="B59" s="8"/>
      <c r="C59" s="88"/>
    </row>
    <row r="60" spans="1:5" ht="15" x14ac:dyDescent="0.25">
      <c r="A60" s="8"/>
      <c r="B60" s="8"/>
      <c r="C60" s="88"/>
    </row>
    <row r="61" spans="1:5" ht="15" x14ac:dyDescent="0.25">
      <c r="A61" s="8"/>
      <c r="B61" s="8"/>
      <c r="C61" s="88"/>
    </row>
    <row r="62" spans="1:5" ht="15" x14ac:dyDescent="0.25">
      <c r="A62" s="8"/>
      <c r="B62" s="8"/>
      <c r="C62" s="88"/>
    </row>
    <row r="63" spans="1:5" ht="15" x14ac:dyDescent="0.25">
      <c r="A63" s="8"/>
      <c r="B63" s="8"/>
      <c r="C63" s="88"/>
    </row>
    <row r="64" spans="1:5" ht="15" x14ac:dyDescent="0.25">
      <c r="A64" s="8"/>
      <c r="B64" s="8"/>
      <c r="C64" s="88"/>
    </row>
    <row r="65" spans="1:3" ht="15" x14ac:dyDescent="0.25">
      <c r="A65" s="8"/>
      <c r="B65" s="8"/>
      <c r="C65" s="88"/>
    </row>
    <row r="66" spans="1:3" ht="15" x14ac:dyDescent="0.25">
      <c r="A66" s="8"/>
      <c r="B66" s="8"/>
      <c r="C66" s="88"/>
    </row>
    <row r="67" spans="1:3" x14ac:dyDescent="0.2">
      <c r="A67" s="7"/>
      <c r="B67" s="7"/>
      <c r="C67" s="7"/>
    </row>
    <row r="68" spans="1:3" x14ac:dyDescent="0.2">
      <c r="A68" s="7"/>
      <c r="B68" s="7"/>
      <c r="C68" s="7"/>
    </row>
  </sheetData>
  <mergeCells count="1">
    <mergeCell ref="A4:B4"/>
  </mergeCells>
  <dataValidations count="2">
    <dataValidation type="list" allowBlank="1" showInputMessage="1" showErrorMessage="1" sqref="D8:D30">
      <formula1>$D$36:$D$62</formula1>
    </dataValidation>
    <dataValidation type="list" allowBlank="1" showInputMessage="1" showErrorMessage="1" sqref="E28 E10:E15 E26 E17:E23">
      <formula1>$E$36:$E$57</formula1>
    </dataValidation>
  </dataValidations>
  <pageMargins left="0.78740157499999996" right="0.78740157499999996" top="0.984251969" bottom="0.984251969" header="0.49212598499999999" footer="0.49212598499999999"/>
  <pageSetup paperSize="9" orientation="portrait" horizontalDpi="200" verticalDpi="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1"/>
  <sheetViews>
    <sheetView topLeftCell="A6" workbookViewId="0">
      <selection activeCell="C47" sqref="C47"/>
    </sheetView>
  </sheetViews>
  <sheetFormatPr defaultColWidth="9.140625" defaultRowHeight="12.75" x14ac:dyDescent="0.2"/>
  <cols>
    <col min="1" max="2" width="5.5703125" style="5" customWidth="1"/>
    <col min="3" max="3" width="49.140625" style="5" customWidth="1"/>
    <col min="4" max="4" width="42.7109375" style="5" hidden="1" customWidth="1"/>
    <col min="5" max="7" width="28.7109375" style="5" customWidth="1"/>
    <col min="8" max="8" width="19.140625" style="5" customWidth="1"/>
    <col min="9" max="16384" width="9.140625" style="5"/>
  </cols>
  <sheetData>
    <row r="2" spans="1:9" x14ac:dyDescent="0.2">
      <c r="A2" s="5" t="s">
        <v>446</v>
      </c>
      <c r="C2" s="5" t="s">
        <v>447</v>
      </c>
    </row>
    <row r="3" spans="1:9" x14ac:dyDescent="0.2">
      <c r="C3" s="5" t="s">
        <v>448</v>
      </c>
    </row>
    <row r="4" spans="1:9" x14ac:dyDescent="0.2">
      <c r="C4" s="5" t="s">
        <v>449</v>
      </c>
    </row>
    <row r="5" spans="1:9" x14ac:dyDescent="0.2">
      <c r="C5" s="5" t="s">
        <v>450</v>
      </c>
    </row>
    <row r="6" spans="1:9" ht="15.75" x14ac:dyDescent="0.25">
      <c r="C6" s="12" t="s">
        <v>451</v>
      </c>
    </row>
    <row r="8" spans="1:9" x14ac:dyDescent="0.2">
      <c r="A8" s="298"/>
      <c r="B8" s="298"/>
    </row>
    <row r="9" spans="1:9" x14ac:dyDescent="0.2">
      <c r="A9" s="6"/>
      <c r="B9" s="6"/>
      <c r="C9" s="9" t="s">
        <v>441</v>
      </c>
    </row>
    <row r="10" spans="1:9" x14ac:dyDescent="0.2">
      <c r="A10" s="10"/>
      <c r="B10" s="10"/>
      <c r="E10" s="6" t="s">
        <v>452</v>
      </c>
      <c r="F10" s="6" t="s">
        <v>453</v>
      </c>
      <c r="G10" s="6" t="s">
        <v>454</v>
      </c>
      <c r="H10" s="187" t="s">
        <v>470</v>
      </c>
      <c r="I10" s="187"/>
    </row>
    <row r="11" spans="1:9" x14ac:dyDescent="0.2">
      <c r="A11" s="193">
        <f>'Cadastro PCP'!A34</f>
        <v>1000</v>
      </c>
      <c r="B11" s="193">
        <f>'Cadastro PCP'!B34</f>
        <v>0</v>
      </c>
      <c r="C11" s="195" t="str">
        <f>'Cadastro PCP'!C34</f>
        <v>ATIVO</v>
      </c>
      <c r="E11" s="195"/>
      <c r="F11" s="195"/>
      <c r="G11" s="195"/>
      <c r="H11" s="195"/>
    </row>
    <row r="12" spans="1:9" x14ac:dyDescent="0.2">
      <c r="A12" s="193">
        <f>'Cadastro PCP'!A35</f>
        <v>1100</v>
      </c>
      <c r="B12" s="193">
        <f>'Cadastro PCP'!B35</f>
        <v>0</v>
      </c>
      <c r="C12" s="195" t="str">
        <f>'Cadastro PCP'!C35</f>
        <v>Ativo Circulante</v>
      </c>
      <c r="E12" s="195"/>
      <c r="F12" s="195"/>
      <c r="G12" s="195"/>
      <c r="H12" s="195"/>
    </row>
    <row r="13" spans="1:9" ht="15" x14ac:dyDescent="0.25">
      <c r="A13" s="10">
        <f>'Cadastro PCP'!A36</f>
        <v>1100</v>
      </c>
      <c r="B13" s="10">
        <f>'Cadastro PCP'!B36</f>
        <v>1</v>
      </c>
      <c r="C13" s="5" t="str">
        <f>'Cadastro PCP'!C36</f>
        <v>Disponivel</v>
      </c>
      <c r="E13" s="208"/>
      <c r="F13" s="208"/>
      <c r="G13" s="208"/>
      <c r="H13" s="208"/>
    </row>
    <row r="14" spans="1:9" x14ac:dyDescent="0.2">
      <c r="A14" s="10">
        <f>'Cadastro PCP'!A37</f>
        <v>1100</v>
      </c>
      <c r="B14" s="10">
        <f>'Cadastro PCP'!B37</f>
        <v>2</v>
      </c>
      <c r="C14" s="5" t="str">
        <f>'Cadastro PCP'!C37</f>
        <v xml:space="preserve">Contas a Receber </v>
      </c>
    </row>
    <row r="15" spans="1:9" x14ac:dyDescent="0.2">
      <c r="A15" s="10">
        <f>'Cadastro PCP'!A38</f>
        <v>1100</v>
      </c>
      <c r="B15" s="10">
        <f>'Cadastro PCP'!B38</f>
        <v>3</v>
      </c>
      <c r="C15" s="5" t="str">
        <f>'Cadastro PCP'!C38</f>
        <v>Estoques</v>
      </c>
    </row>
    <row r="16" spans="1:9" x14ac:dyDescent="0.2">
      <c r="A16" s="10">
        <f>'Cadastro PCP'!A39</f>
        <v>1100</v>
      </c>
      <c r="B16" s="10">
        <f>'Cadastro PCP'!B39</f>
        <v>4</v>
      </c>
      <c r="C16" s="5" t="str">
        <f>'Cadastro PCP'!C39</f>
        <v>Impostos a Recuperar</v>
      </c>
    </row>
    <row r="17" spans="1:8" x14ac:dyDescent="0.2">
      <c r="A17" s="10">
        <f>'Cadastro PCP'!A40</f>
        <v>1100</v>
      </c>
      <c r="B17" s="10">
        <f>'Cadastro PCP'!B40</f>
        <v>5</v>
      </c>
      <c r="C17" s="5" t="str">
        <f>'Cadastro PCP'!C40</f>
        <v>Outros Créditos</v>
      </c>
      <c r="E17" s="195"/>
      <c r="F17" s="195"/>
      <c r="G17" s="195"/>
      <c r="H17" s="207"/>
    </row>
    <row r="18" spans="1:8" x14ac:dyDescent="0.2">
      <c r="A18" s="10">
        <f>'Cadastro PCP'!A41</f>
        <v>1100</v>
      </c>
      <c r="B18" s="10">
        <f>'Cadastro PCP'!B41</f>
        <v>6</v>
      </c>
      <c r="C18" s="5" t="str">
        <f>'Cadastro PCP'!C41</f>
        <v>Despesas Antecipadas</v>
      </c>
      <c r="E18" s="195"/>
      <c r="F18" s="195"/>
      <c r="G18" s="195"/>
      <c r="H18" s="207"/>
    </row>
    <row r="19" spans="1:8" x14ac:dyDescent="0.2">
      <c r="A19" s="193">
        <f>'Cadastro PCP'!A42</f>
        <v>1200</v>
      </c>
      <c r="B19" s="193">
        <f>'Cadastro PCP'!B42</f>
        <v>0</v>
      </c>
      <c r="C19" s="195" t="str">
        <f>'Cadastro PCP'!C42</f>
        <v>Ativo Não Circulante</v>
      </c>
      <c r="E19" s="195"/>
      <c r="F19" s="195"/>
      <c r="G19" s="195"/>
      <c r="H19" s="195"/>
    </row>
    <row r="20" spans="1:8" x14ac:dyDescent="0.2">
      <c r="A20" s="193">
        <f>'Cadastro PCP'!A43</f>
        <v>1201</v>
      </c>
      <c r="B20" s="193">
        <f>'Cadastro PCP'!B43</f>
        <v>0</v>
      </c>
      <c r="C20" s="195" t="str">
        <f>'Cadastro PCP'!C43</f>
        <v>Realizável a Longo Prazo</v>
      </c>
      <c r="E20" s="195"/>
      <c r="F20" s="195"/>
      <c r="G20" s="195"/>
      <c r="H20" s="195"/>
    </row>
    <row r="21" spans="1:8" x14ac:dyDescent="0.2">
      <c r="A21" s="10">
        <f>'Cadastro PCP'!A44</f>
        <v>1201</v>
      </c>
      <c r="B21" s="10">
        <f>'Cadastro PCP'!B44</f>
        <v>1</v>
      </c>
      <c r="C21" s="5" t="str">
        <f>'Cadastro PCP'!C44</f>
        <v>Investimentos Temporários</v>
      </c>
      <c r="E21" s="195"/>
      <c r="F21" s="195"/>
      <c r="G21" s="195"/>
      <c r="H21" s="207"/>
    </row>
    <row r="22" spans="1:8" x14ac:dyDescent="0.2">
      <c r="A22" s="10">
        <f>'Cadastro PCP'!A45</f>
        <v>1201</v>
      </c>
      <c r="B22" s="10">
        <f>'Cadastro PCP'!B45</f>
        <v>2</v>
      </c>
      <c r="C22" s="5" t="str">
        <f>'Cadastro PCP'!C45</f>
        <v>Outros Créditos</v>
      </c>
      <c r="E22" s="195"/>
      <c r="F22" s="195"/>
      <c r="G22" s="195"/>
      <c r="H22" s="207"/>
    </row>
    <row r="23" spans="1:8" x14ac:dyDescent="0.2">
      <c r="A23" s="193">
        <f>'Cadastro PCP'!A46</f>
        <v>1202</v>
      </c>
      <c r="B23" s="193">
        <f>'Cadastro PCP'!B46</f>
        <v>0</v>
      </c>
      <c r="C23" s="195" t="str">
        <f>'Cadastro PCP'!C46</f>
        <v>Investimentos</v>
      </c>
      <c r="E23" s="195"/>
      <c r="F23" s="195"/>
      <c r="G23" s="195"/>
      <c r="H23" s="195"/>
    </row>
    <row r="24" spans="1:8" x14ac:dyDescent="0.2">
      <c r="A24" s="10">
        <f>'Cadastro PCP'!A47</f>
        <v>1202</v>
      </c>
      <c r="B24" s="10">
        <f>'Cadastro PCP'!B47</f>
        <v>1</v>
      </c>
      <c r="C24" s="5" t="str">
        <f>'Cadastro PCP'!C47</f>
        <v>Participações em Outras Sociedades</v>
      </c>
      <c r="E24" s="195"/>
      <c r="F24" s="195"/>
      <c r="G24" s="195"/>
      <c r="H24" s="207"/>
    </row>
    <row r="25" spans="1:8" x14ac:dyDescent="0.2">
      <c r="A25" s="193">
        <f>'Cadastro PCP'!A48</f>
        <v>1203</v>
      </c>
      <c r="B25" s="193">
        <f>'Cadastro PCP'!B48</f>
        <v>0</v>
      </c>
      <c r="C25" s="195" t="str">
        <f>'Cadastro PCP'!C48</f>
        <v>Imobilizado</v>
      </c>
      <c r="E25" s="195"/>
      <c r="F25" s="195"/>
      <c r="G25" s="195"/>
      <c r="H25" s="195"/>
    </row>
    <row r="26" spans="1:8" x14ac:dyDescent="0.2">
      <c r="A26" s="10">
        <f>'Cadastro PCP'!A49</f>
        <v>1203</v>
      </c>
      <c r="B26" s="10">
        <f>'Cadastro PCP'!B49</f>
        <v>1</v>
      </c>
      <c r="C26" s="5" t="str">
        <f>'Cadastro PCP'!C49</f>
        <v>Imobilizado em Operação</v>
      </c>
      <c r="E26" s="195"/>
      <c r="F26" s="195"/>
      <c r="G26" s="195"/>
      <c r="H26" s="207"/>
    </row>
    <row r="27" spans="1:8" x14ac:dyDescent="0.2">
      <c r="A27" s="10">
        <f>'Cadastro PCP'!A50</f>
        <v>1203</v>
      </c>
      <c r="B27" s="10">
        <f>'Cadastro PCP'!B50</f>
        <v>2</v>
      </c>
      <c r="C27" s="5" t="str">
        <f>'Cadastro PCP'!C50</f>
        <v>Depreciação Acumulada</v>
      </c>
      <c r="E27" s="195"/>
      <c r="F27" s="195"/>
      <c r="G27" s="195"/>
      <c r="H27" s="207"/>
    </row>
    <row r="28" spans="1:8" x14ac:dyDescent="0.2">
      <c r="A28" s="193">
        <f>'Cadastro PCP'!A51</f>
        <v>1204</v>
      </c>
      <c r="B28" s="193">
        <f>'Cadastro PCP'!B51</f>
        <v>0</v>
      </c>
      <c r="C28" s="195" t="str">
        <f>'Cadastro PCP'!C51</f>
        <v>Intangível</v>
      </c>
      <c r="E28" s="195"/>
      <c r="F28" s="195"/>
      <c r="G28" s="195"/>
      <c r="H28" s="195"/>
    </row>
    <row r="29" spans="1:8" x14ac:dyDescent="0.2">
      <c r="A29" s="10">
        <f>'Cadastro PCP'!A52</f>
        <v>1204</v>
      </c>
      <c r="B29" s="10">
        <f>'Cadastro PCP'!B52</f>
        <v>1</v>
      </c>
      <c r="C29" s="5" t="str">
        <f>'Cadastro PCP'!C52</f>
        <v>Softwares</v>
      </c>
      <c r="E29" s="195"/>
      <c r="F29" s="195"/>
      <c r="G29" s="195"/>
      <c r="H29" s="207"/>
    </row>
    <row r="30" spans="1:8" x14ac:dyDescent="0.2">
      <c r="A30" s="193">
        <f>'Cadastro PCP'!A53</f>
        <v>2000</v>
      </c>
      <c r="B30" s="193">
        <f>'Cadastro PCP'!B53</f>
        <v>0</v>
      </c>
      <c r="C30" s="195" t="str">
        <f>'Cadastro PCP'!C53</f>
        <v>PASSIVO</v>
      </c>
      <c r="E30" s="195"/>
      <c r="F30" s="195"/>
      <c r="G30" s="195"/>
      <c r="H30" s="195"/>
    </row>
    <row r="31" spans="1:8" x14ac:dyDescent="0.2">
      <c r="A31" s="193">
        <f>'Cadastro PCP'!A54</f>
        <v>2100</v>
      </c>
      <c r="B31" s="193">
        <f>'Cadastro PCP'!B54</f>
        <v>0</v>
      </c>
      <c r="C31" s="195" t="str">
        <f>'Cadastro PCP'!C54</f>
        <v>Passivo Circulante</v>
      </c>
      <c r="E31" s="195"/>
      <c r="F31" s="195"/>
      <c r="G31" s="195"/>
      <c r="H31" s="195"/>
    </row>
    <row r="32" spans="1:8" x14ac:dyDescent="0.2">
      <c r="A32" s="10">
        <f>'Cadastro PCP'!A55</f>
        <v>2100</v>
      </c>
      <c r="B32" s="10">
        <f>'Cadastro PCP'!B55</f>
        <v>1</v>
      </c>
      <c r="C32" s="5" t="str">
        <f>'Cadastro PCP'!C55</f>
        <v>Fornecedores</v>
      </c>
    </row>
    <row r="33" spans="1:8" x14ac:dyDescent="0.2">
      <c r="A33" s="10">
        <f>'Cadastro PCP'!A56</f>
        <v>2100</v>
      </c>
      <c r="B33" s="10">
        <f>'Cadastro PCP'!B56</f>
        <v>2</v>
      </c>
      <c r="C33" s="5" t="str">
        <f>'Cadastro PCP'!C56</f>
        <v>Empréstimos e Financiamentos</v>
      </c>
      <c r="E33" s="195"/>
      <c r="F33" s="195"/>
      <c r="G33" s="195"/>
      <c r="H33" s="207"/>
    </row>
    <row r="34" spans="1:8" x14ac:dyDescent="0.2">
      <c r="A34" s="10">
        <f>'Cadastro PCP'!A57</f>
        <v>2100</v>
      </c>
      <c r="B34" s="10">
        <f>'Cadastro PCP'!B57</f>
        <v>3</v>
      </c>
      <c r="C34" s="5" t="str">
        <f>'Cadastro PCP'!C57</f>
        <v>Salários e Encargos Sociais</v>
      </c>
      <c r="E34" s="195"/>
      <c r="F34" s="195"/>
      <c r="G34" s="195"/>
      <c r="H34" s="207"/>
    </row>
    <row r="35" spans="1:8" x14ac:dyDescent="0.2">
      <c r="A35" s="10">
        <f>'Cadastro PCP'!A58</f>
        <v>2100</v>
      </c>
      <c r="B35" s="10">
        <f>'Cadastro PCP'!B58</f>
        <v>4</v>
      </c>
      <c r="C35" s="5" t="str">
        <f>'Cadastro PCP'!C58</f>
        <v>Provisão para Férias e 13.Salário</v>
      </c>
      <c r="E35" s="195"/>
      <c r="F35" s="195"/>
      <c r="G35" s="195"/>
      <c r="H35" s="207"/>
    </row>
    <row r="36" spans="1:8" x14ac:dyDescent="0.2">
      <c r="A36" s="10">
        <f>'Cadastro PCP'!A59</f>
        <v>2100</v>
      </c>
      <c r="B36" s="10">
        <f>'Cadastro PCP'!B59</f>
        <v>5</v>
      </c>
      <c r="C36" s="5" t="str">
        <f>'Cadastro PCP'!C59</f>
        <v>Obrigações Fiscais</v>
      </c>
      <c r="H36" s="207"/>
    </row>
    <row r="37" spans="1:8" x14ac:dyDescent="0.2">
      <c r="A37" s="10">
        <f>'Cadastro PCP'!A60</f>
        <v>2100</v>
      </c>
      <c r="B37" s="10">
        <f>'Cadastro PCP'!B60</f>
        <v>6</v>
      </c>
      <c r="C37" s="5" t="str">
        <f>'Cadastro PCP'!C60</f>
        <v>Contas a Pagar</v>
      </c>
      <c r="E37" s="195"/>
      <c r="F37" s="195"/>
      <c r="G37" s="195"/>
      <c r="H37" s="207"/>
    </row>
    <row r="38" spans="1:8" x14ac:dyDescent="0.2">
      <c r="A38" s="10">
        <f>'Cadastro PCP'!A61</f>
        <v>2100</v>
      </c>
      <c r="B38" s="10">
        <f>'Cadastro PCP'!B61</f>
        <v>7</v>
      </c>
      <c r="C38" s="5" t="str">
        <f>'Cadastro PCP'!C61</f>
        <v>Provisão para IR e CSSL</v>
      </c>
      <c r="E38" s="195"/>
      <c r="F38" s="195"/>
      <c r="G38" s="195"/>
      <c r="H38" s="207"/>
    </row>
    <row r="39" spans="1:8" x14ac:dyDescent="0.2">
      <c r="A39" s="193">
        <f>'Cadastro PCP'!A62</f>
        <v>2200</v>
      </c>
      <c r="B39" s="193">
        <f>'Cadastro PCP'!B62</f>
        <v>0</v>
      </c>
      <c r="C39" s="195" t="str">
        <f>'Cadastro PCP'!C62</f>
        <v>Passivo Não Circulante</v>
      </c>
      <c r="E39" s="195"/>
      <c r="F39" s="195"/>
      <c r="G39" s="195"/>
      <c r="H39" s="210"/>
    </row>
    <row r="40" spans="1:8" x14ac:dyDescent="0.2">
      <c r="A40" s="10">
        <f>'Cadastro PCP'!A63</f>
        <v>2200</v>
      </c>
      <c r="B40" s="10">
        <f>'Cadastro PCP'!B63</f>
        <v>1</v>
      </c>
      <c r="C40" s="5" t="str">
        <f>'Cadastro PCP'!C63</f>
        <v>Empréstimos e Financiamentos</v>
      </c>
      <c r="E40" s="195"/>
      <c r="F40" s="195"/>
      <c r="G40" s="195"/>
      <c r="H40" s="207"/>
    </row>
    <row r="41" spans="1:8" x14ac:dyDescent="0.2">
      <c r="A41" s="10">
        <f>'Cadastro PCP'!A64</f>
        <v>2200</v>
      </c>
      <c r="B41" s="10">
        <f>'Cadastro PCP'!B64</f>
        <v>2</v>
      </c>
      <c r="C41" s="5" t="str">
        <f>'Cadastro PCP'!C64</f>
        <v>Obrigações Fiscais</v>
      </c>
      <c r="E41" s="195"/>
      <c r="F41" s="195"/>
      <c r="G41" s="195"/>
      <c r="H41" s="207"/>
    </row>
    <row r="42" spans="1:8" x14ac:dyDescent="0.2">
      <c r="A42" s="193">
        <f>'Cadastro PCP'!A65</f>
        <v>2300</v>
      </c>
      <c r="B42" s="193">
        <f>'Cadastro PCP'!B65</f>
        <v>0</v>
      </c>
      <c r="C42" s="195" t="str">
        <f>'Cadastro PCP'!C65</f>
        <v>Patrimônio Líquido</v>
      </c>
      <c r="E42" s="195"/>
      <c r="F42" s="195"/>
      <c r="G42" s="195"/>
      <c r="H42" s="207"/>
    </row>
    <row r="43" spans="1:8" x14ac:dyDescent="0.2">
      <c r="A43" s="10">
        <f>'Cadastro PCP'!A66</f>
        <v>2300</v>
      </c>
      <c r="B43" s="10">
        <f>'Cadastro PCP'!B66</f>
        <v>1</v>
      </c>
      <c r="C43" s="5" t="str">
        <f>'Cadastro PCP'!C66</f>
        <v>Capital Social</v>
      </c>
      <c r="E43" s="195"/>
      <c r="F43" s="195"/>
      <c r="G43" s="195"/>
      <c r="H43" s="195"/>
    </row>
    <row r="44" spans="1:8" x14ac:dyDescent="0.2">
      <c r="A44" s="10">
        <f>'Cadastro PCP'!A67</f>
        <v>2300</v>
      </c>
      <c r="B44" s="10">
        <f>'Cadastro PCP'!B67</f>
        <v>2</v>
      </c>
      <c r="C44" s="5" t="str">
        <f>'Cadastro PCP'!C67</f>
        <v>Reservas de Capital</v>
      </c>
      <c r="E44" s="195"/>
      <c r="F44" s="195"/>
      <c r="G44" s="195"/>
      <c r="H44" s="195"/>
    </row>
    <row r="45" spans="1:8" x14ac:dyDescent="0.2">
      <c r="A45" s="10">
        <f>'Cadastro PCP'!A68</f>
        <v>2300</v>
      </c>
      <c r="B45" s="10">
        <f>'Cadastro PCP'!B68</f>
        <v>3</v>
      </c>
      <c r="C45" s="5" t="str">
        <f>'Cadastro PCP'!C68</f>
        <v>Reservas de Lucros</v>
      </c>
      <c r="E45" s="195"/>
      <c r="F45" s="195"/>
      <c r="G45" s="195"/>
      <c r="H45" s="195"/>
    </row>
    <row r="46" spans="1:8" x14ac:dyDescent="0.2">
      <c r="A46" s="10">
        <f>'Cadastro PCP'!A69</f>
        <v>2300</v>
      </c>
      <c r="B46" s="10">
        <f>'Cadastro PCP'!B69</f>
        <v>4</v>
      </c>
      <c r="C46" s="5" t="str">
        <f>'Cadastro PCP'!C69</f>
        <v>Lucros/Prejuizos Acumulados</v>
      </c>
      <c r="E46" s="195"/>
      <c r="F46" s="195"/>
      <c r="G46" s="195"/>
      <c r="H46" s="195"/>
    </row>
    <row r="47" spans="1:8" x14ac:dyDescent="0.2">
      <c r="A47" s="10">
        <f>'Cadastro PCP'!A70</f>
        <v>2300</v>
      </c>
      <c r="B47" s="10">
        <f>'Cadastro PCP'!B70</f>
        <v>5</v>
      </c>
      <c r="C47" s="5" t="str">
        <f>'Cadastro PCP'!C70</f>
        <v>Lucro/Prejuizo do Período</v>
      </c>
      <c r="E47" s="195"/>
      <c r="F47" s="195"/>
      <c r="G47" s="195"/>
      <c r="H47" s="195"/>
    </row>
    <row r="48" spans="1:8" x14ac:dyDescent="0.2">
      <c r="A48" s="10"/>
      <c r="B48" s="10"/>
    </row>
    <row r="49" spans="1:5" ht="15" x14ac:dyDescent="0.25">
      <c r="A49" s="8"/>
      <c r="B49" s="8"/>
      <c r="C49" s="88"/>
      <c r="D49" s="13"/>
      <c r="E49" s="116"/>
    </row>
    <row r="50" spans="1:5" ht="15" x14ac:dyDescent="0.25">
      <c r="A50" s="8"/>
      <c r="B50" s="8"/>
      <c r="C50" s="88"/>
      <c r="D50" s="13"/>
      <c r="E50" s="116"/>
    </row>
    <row r="51" spans="1:5" ht="15" x14ac:dyDescent="0.25">
      <c r="A51" s="8"/>
      <c r="B51" s="8"/>
      <c r="C51" s="88"/>
      <c r="D51" s="13"/>
      <c r="E51" s="116"/>
    </row>
    <row r="52" spans="1:5" ht="15" x14ac:dyDescent="0.25">
      <c r="A52" s="8"/>
      <c r="B52" s="8"/>
      <c r="C52" s="88"/>
      <c r="D52" s="13"/>
      <c r="E52" s="116"/>
    </row>
    <row r="53" spans="1:5" ht="15" x14ac:dyDescent="0.25">
      <c r="A53" s="8"/>
      <c r="B53" s="8"/>
      <c r="C53" s="88"/>
      <c r="D53" s="13"/>
      <c r="E53" s="116"/>
    </row>
    <row r="54" spans="1:5" ht="15" x14ac:dyDescent="0.25">
      <c r="A54" s="8"/>
      <c r="B54" s="8"/>
      <c r="C54" s="88"/>
      <c r="D54" s="13"/>
      <c r="E54" s="116"/>
    </row>
    <row r="55" spans="1:5" ht="15" x14ac:dyDescent="0.25">
      <c r="A55" s="8"/>
      <c r="B55" s="8"/>
      <c r="C55" s="88"/>
      <c r="D55" s="13"/>
      <c r="E55" s="116"/>
    </row>
    <row r="56" spans="1:5" ht="15" x14ac:dyDescent="0.25">
      <c r="A56" s="8"/>
      <c r="B56" s="8"/>
      <c r="C56" s="88"/>
      <c r="D56" s="13"/>
      <c r="E56" s="116"/>
    </row>
    <row r="57" spans="1:5" ht="15" x14ac:dyDescent="0.25">
      <c r="A57" s="8"/>
      <c r="B57" s="8"/>
      <c r="C57" s="88"/>
      <c r="D57" s="13"/>
      <c r="E57" s="116"/>
    </row>
    <row r="58" spans="1:5" ht="15" x14ac:dyDescent="0.25">
      <c r="A58" s="8"/>
      <c r="B58" s="8"/>
      <c r="C58" s="88"/>
      <c r="D58" s="13"/>
      <c r="E58" s="116"/>
    </row>
    <row r="59" spans="1:5" ht="15" x14ac:dyDescent="0.25">
      <c r="A59" s="8"/>
      <c r="B59" s="8"/>
      <c r="C59" s="88"/>
      <c r="D59" s="13"/>
      <c r="E59" s="116"/>
    </row>
    <row r="60" spans="1:5" x14ac:dyDescent="0.2">
      <c r="A60" s="7"/>
      <c r="B60" s="7"/>
      <c r="C60" s="7"/>
    </row>
    <row r="61" spans="1:5" x14ac:dyDescent="0.2">
      <c r="A61" s="7"/>
      <c r="B61" s="7"/>
      <c r="C61" s="7"/>
    </row>
  </sheetData>
  <mergeCells count="1">
    <mergeCell ref="A8:B8"/>
  </mergeCells>
  <dataValidations count="1">
    <dataValidation type="list" allowBlank="1" showInputMessage="1" showErrorMessage="1" sqref="E49:E59">
      <formula1>$E$61:$E$64</formula1>
    </dataValidation>
  </dataValidations>
  <pageMargins left="0.78740157499999996" right="0.78740157499999996" top="0.984251969" bottom="0.984251969" header="0.49212598499999999" footer="0.49212598499999999"/>
  <pageSetup paperSize="9" orientation="portrait" horizontalDpi="200" verticalDpi="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workbookViewId="0">
      <selection activeCell="D7" sqref="D7"/>
    </sheetView>
  </sheetViews>
  <sheetFormatPr defaultRowHeight="12.75" x14ac:dyDescent="0.2"/>
  <cols>
    <col min="1" max="1" width="43.7109375" customWidth="1"/>
    <col min="2" max="2" width="20.28515625" customWidth="1"/>
    <col min="3" max="3" width="6.42578125" customWidth="1"/>
    <col min="4" max="15" width="11.7109375" customWidth="1"/>
  </cols>
  <sheetData>
    <row r="1" spans="1:15" x14ac:dyDescent="0.2">
      <c r="A1" s="43"/>
    </row>
    <row r="2" spans="1:15" x14ac:dyDescent="0.2">
      <c r="A2" s="43"/>
    </row>
    <row r="3" spans="1:15" x14ac:dyDescent="0.2">
      <c r="A3" s="43" t="s">
        <v>493</v>
      </c>
      <c r="B3" s="299" t="s">
        <v>374</v>
      </c>
      <c r="C3" s="299"/>
    </row>
    <row r="4" spans="1:15" x14ac:dyDescent="0.2">
      <c r="D4" s="43" t="s">
        <v>96</v>
      </c>
      <c r="E4" s="43" t="s">
        <v>97</v>
      </c>
      <c r="F4" s="43" t="s">
        <v>98</v>
      </c>
      <c r="G4" s="43" t="s">
        <v>99</v>
      </c>
      <c r="H4" s="43" t="s">
        <v>100</v>
      </c>
      <c r="I4" s="43" t="s">
        <v>101</v>
      </c>
      <c r="J4" s="43" t="s">
        <v>102</v>
      </c>
      <c r="K4" s="43" t="s">
        <v>103</v>
      </c>
      <c r="L4" s="43" t="s">
        <v>104</v>
      </c>
      <c r="M4" s="43" t="s">
        <v>105</v>
      </c>
      <c r="N4" s="43" t="s">
        <v>106</v>
      </c>
      <c r="O4" s="43" t="s">
        <v>107</v>
      </c>
    </row>
    <row r="5" spans="1:15" ht="15.75" x14ac:dyDescent="0.25">
      <c r="A5" s="125" t="s">
        <v>562</v>
      </c>
      <c r="B5" s="1" t="s">
        <v>367</v>
      </c>
      <c r="C5" s="1" t="s">
        <v>375</v>
      </c>
    </row>
    <row r="6" spans="1:15" ht="15" x14ac:dyDescent="0.25">
      <c r="A6" t="s">
        <v>165</v>
      </c>
      <c r="D6" s="126"/>
      <c r="E6" s="124">
        <f>D14</f>
        <v>100</v>
      </c>
      <c r="F6" s="124">
        <f t="shared" ref="F6:O6" si="0">E14</f>
        <v>100</v>
      </c>
      <c r="G6" s="124">
        <f t="shared" si="0"/>
        <v>100</v>
      </c>
      <c r="H6" s="124">
        <f t="shared" si="0"/>
        <v>100</v>
      </c>
      <c r="I6" s="124">
        <f t="shared" si="0"/>
        <v>100</v>
      </c>
      <c r="J6" s="124">
        <f t="shared" si="0"/>
        <v>100</v>
      </c>
      <c r="K6" s="124">
        <f t="shared" si="0"/>
        <v>100</v>
      </c>
      <c r="L6" s="124">
        <f t="shared" si="0"/>
        <v>100</v>
      </c>
      <c r="M6" s="124">
        <f t="shared" si="0"/>
        <v>100</v>
      </c>
      <c r="N6" s="124">
        <f t="shared" si="0"/>
        <v>100</v>
      </c>
      <c r="O6" s="124">
        <f t="shared" si="0"/>
        <v>100</v>
      </c>
    </row>
    <row r="7" spans="1:15" x14ac:dyDescent="0.2">
      <c r="A7" s="1" t="s">
        <v>555</v>
      </c>
      <c r="B7" t="str">
        <f>CONCATENATE('Cadastro PCP'!A36,'Cadastro PCP'!B36,'Cadastro PCP'!C36)</f>
        <v>11001Disponivel</v>
      </c>
      <c r="C7" s="1" t="s">
        <v>377</v>
      </c>
      <c r="D7" s="85">
        <v>1000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</row>
    <row r="8" spans="1:15" x14ac:dyDescent="0.2">
      <c r="A8" s="1" t="s">
        <v>556</v>
      </c>
      <c r="B8" t="str">
        <f>CONCATENATE('Cadastro PCP'!A45,'Cadastro PCP'!B45,'Cadastro PCP'!C45)</f>
        <v>12012Outros Créditos</v>
      </c>
      <c r="C8" s="1" t="s">
        <v>377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</row>
    <row r="9" spans="1:15" x14ac:dyDescent="0.2">
      <c r="A9" s="1" t="s">
        <v>561</v>
      </c>
      <c r="B9" t="str">
        <f>CONCATENATE('Cadastro PCR'!A55,'Cadastro PCR'!B55,'Cadastro PCR'!C55)</f>
        <v>36021Juros Auferidos</v>
      </c>
      <c r="C9" s="158" t="s">
        <v>377</v>
      </c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</row>
    <row r="10" spans="1:15" x14ac:dyDescent="0.2">
      <c r="A10" s="1" t="s">
        <v>557</v>
      </c>
      <c r="B10" t="str">
        <f>CONCATENATE('Cadastro PCP'!A60,'Cadastro PCP'!B60,'Cadastro PCP'!C60)</f>
        <v>21006Contas a Pagar</v>
      </c>
      <c r="C10" s="158" t="s">
        <v>376</v>
      </c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</row>
    <row r="11" spans="1:15" x14ac:dyDescent="0.2">
      <c r="A11" s="1" t="s">
        <v>558</v>
      </c>
      <c r="B11" t="str">
        <f>$B$7</f>
        <v>11001Disponivel</v>
      </c>
      <c r="C11" s="158" t="s">
        <v>376</v>
      </c>
      <c r="D11" s="85">
        <v>900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</row>
    <row r="12" spans="1:15" x14ac:dyDescent="0.2">
      <c r="A12" s="1" t="s">
        <v>559</v>
      </c>
      <c r="B12" t="str">
        <f>$B$8</f>
        <v>12012Outros Créditos</v>
      </c>
      <c r="C12" s="158" t="s">
        <v>376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</row>
    <row r="13" spans="1:15" x14ac:dyDescent="0.2">
      <c r="A13" s="1" t="s">
        <v>560</v>
      </c>
      <c r="B13" t="str">
        <f>CONCATENATE('Cadastro PCR'!A41,'Cadastro PCR'!B41,'Cadastro PCR'!C41)</f>
        <v xml:space="preserve">34015Despesas  Gerais </v>
      </c>
      <c r="C13" s="158" t="s">
        <v>376</v>
      </c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</row>
    <row r="14" spans="1:15" ht="15" x14ac:dyDescent="0.25">
      <c r="A14" t="s">
        <v>115</v>
      </c>
      <c r="D14" s="124">
        <f>D6+D7+D8+D9-D10-D11-D12-D13</f>
        <v>100</v>
      </c>
      <c r="E14" s="124">
        <f t="shared" ref="E14:O14" si="1">E6+E7+E8+E9-E10-E11-E12-E13</f>
        <v>100</v>
      </c>
      <c r="F14" s="124">
        <f t="shared" si="1"/>
        <v>100</v>
      </c>
      <c r="G14" s="124">
        <f t="shared" si="1"/>
        <v>100</v>
      </c>
      <c r="H14" s="124">
        <f t="shared" si="1"/>
        <v>100</v>
      </c>
      <c r="I14" s="124">
        <f t="shared" si="1"/>
        <v>100</v>
      </c>
      <c r="J14" s="124">
        <f t="shared" si="1"/>
        <v>100</v>
      </c>
      <c r="K14" s="124">
        <f t="shared" si="1"/>
        <v>100</v>
      </c>
      <c r="L14" s="124">
        <f t="shared" si="1"/>
        <v>100</v>
      </c>
      <c r="M14" s="124">
        <f t="shared" si="1"/>
        <v>100</v>
      </c>
      <c r="N14" s="124">
        <f t="shared" si="1"/>
        <v>100</v>
      </c>
      <c r="O14" s="124">
        <f t="shared" si="1"/>
        <v>100</v>
      </c>
    </row>
    <row r="15" spans="1:15" ht="15" x14ac:dyDescent="0.25">
      <c r="D15" s="228"/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8"/>
    </row>
    <row r="17" spans="1:15" ht="15.75" x14ac:dyDescent="0.25">
      <c r="A17" s="125" t="s">
        <v>563</v>
      </c>
      <c r="B17" s="1" t="s">
        <v>367</v>
      </c>
      <c r="C17" s="1" t="s">
        <v>375</v>
      </c>
    </row>
    <row r="18" spans="1:15" ht="15" x14ac:dyDescent="0.25">
      <c r="A18" t="s">
        <v>165</v>
      </c>
      <c r="D18" s="126"/>
      <c r="E18" s="124">
        <f>D26</f>
        <v>0</v>
      </c>
      <c r="F18" s="124">
        <f t="shared" ref="F18:O18" si="2">E26</f>
        <v>0</v>
      </c>
      <c r="G18" s="124">
        <f t="shared" si="2"/>
        <v>0</v>
      </c>
      <c r="H18" s="124">
        <f t="shared" si="2"/>
        <v>0</v>
      </c>
      <c r="I18" s="124">
        <f t="shared" si="2"/>
        <v>0</v>
      </c>
      <c r="J18" s="124">
        <f t="shared" si="2"/>
        <v>0</v>
      </c>
      <c r="K18" s="124">
        <f t="shared" si="2"/>
        <v>0</v>
      </c>
      <c r="L18" s="124">
        <f t="shared" si="2"/>
        <v>0</v>
      </c>
      <c r="M18" s="124">
        <f t="shared" si="2"/>
        <v>0</v>
      </c>
      <c r="N18" s="124">
        <f t="shared" si="2"/>
        <v>0</v>
      </c>
      <c r="O18" s="124">
        <f t="shared" si="2"/>
        <v>0</v>
      </c>
    </row>
    <row r="19" spans="1:15" x14ac:dyDescent="0.2">
      <c r="A19" s="1" t="s">
        <v>555</v>
      </c>
      <c r="B19" t="str">
        <f>$B$7</f>
        <v>11001Disponivel</v>
      </c>
      <c r="C19" s="1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</row>
    <row r="20" spans="1:15" x14ac:dyDescent="0.2">
      <c r="A20" s="1" t="s">
        <v>564</v>
      </c>
      <c r="C20" s="1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</row>
    <row r="21" spans="1:15" x14ac:dyDescent="0.2">
      <c r="A21" s="1" t="s">
        <v>561</v>
      </c>
      <c r="B21" t="str">
        <f>$B$9</f>
        <v>36021Juros Auferidos</v>
      </c>
      <c r="C21" s="158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</row>
    <row r="22" spans="1:15" x14ac:dyDescent="0.2">
      <c r="A22" s="1" t="s">
        <v>565</v>
      </c>
      <c r="C22" s="158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</row>
    <row r="23" spans="1:15" x14ac:dyDescent="0.2">
      <c r="A23" s="1" t="s">
        <v>558</v>
      </c>
      <c r="B23" t="str">
        <f>$B$11</f>
        <v>11001Disponivel</v>
      </c>
      <c r="C23" s="158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</row>
    <row r="24" spans="1:15" x14ac:dyDescent="0.2">
      <c r="A24" s="1" t="s">
        <v>566</v>
      </c>
      <c r="C24" s="158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</row>
    <row r="25" spans="1:15" x14ac:dyDescent="0.2">
      <c r="A25" s="1" t="s">
        <v>560</v>
      </c>
      <c r="C25" s="158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</row>
    <row r="26" spans="1:15" ht="15" x14ac:dyDescent="0.25">
      <c r="A26" t="s">
        <v>115</v>
      </c>
      <c r="D26" s="124">
        <f>D18+D19+D20+D21-D22-D23-D24-D25</f>
        <v>0</v>
      </c>
      <c r="E26" s="124">
        <f t="shared" ref="E26" si="3">E18+E19+E20+E21-E22-E23-E24-E25</f>
        <v>0</v>
      </c>
      <c r="F26" s="124">
        <f t="shared" ref="F26" si="4">F18+F19+F20+F21-F22-F23-F24-F25</f>
        <v>0</v>
      </c>
      <c r="G26" s="124">
        <f t="shared" ref="G26" si="5">G18+G19+G20+G21-G22-G23-G24-G25</f>
        <v>0</v>
      </c>
      <c r="H26" s="124">
        <f t="shared" ref="H26" si="6">H18+H19+H20+H21-H22-H23-H24-H25</f>
        <v>0</v>
      </c>
      <c r="I26" s="124">
        <f t="shared" ref="I26" si="7">I18+I19+I20+I21-I22-I23-I24-I25</f>
        <v>0</v>
      </c>
      <c r="J26" s="124">
        <f t="shared" ref="J26" si="8">J18+J19+J20+J21-J22-J23-J24-J25</f>
        <v>0</v>
      </c>
      <c r="K26" s="124">
        <f t="shared" ref="K26" si="9">K18+K19+K20+K21-K22-K23-K24-K25</f>
        <v>0</v>
      </c>
      <c r="L26" s="124">
        <f t="shared" ref="L26" si="10">L18+L19+L20+L21-L22-L23-L24-L25</f>
        <v>0</v>
      </c>
      <c r="M26" s="124">
        <f t="shared" ref="M26" si="11">M18+M19+M20+M21-M22-M23-M24-M25</f>
        <v>0</v>
      </c>
      <c r="N26" s="124">
        <f t="shared" ref="N26" si="12">N18+N19+N20+N21-N22-N23-N24-N25</f>
        <v>0</v>
      </c>
      <c r="O26" s="124">
        <f t="shared" ref="O26" si="13">O18+O19+O20+O21-O22-O23-O24-O25</f>
        <v>0</v>
      </c>
    </row>
    <row r="27" spans="1:15" ht="15" x14ac:dyDescent="0.25">
      <c r="D27" s="228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8"/>
    </row>
    <row r="28" spans="1:15" ht="15.75" x14ac:dyDescent="0.25">
      <c r="A28" s="125" t="s">
        <v>568</v>
      </c>
      <c r="B28" s="1" t="s">
        <v>367</v>
      </c>
      <c r="C28" s="1" t="s">
        <v>375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</row>
    <row r="29" spans="1:15" ht="15" x14ac:dyDescent="0.25">
      <c r="A29" s="1" t="s">
        <v>473</v>
      </c>
      <c r="D29" s="126"/>
      <c r="E29" s="124">
        <f>D39</f>
        <v>0</v>
      </c>
      <c r="F29" s="124">
        <f t="shared" ref="F29:F30" si="14">E39</f>
        <v>0</v>
      </c>
      <c r="G29" s="124">
        <f t="shared" ref="G29:G30" si="15">F39</f>
        <v>0</v>
      </c>
      <c r="H29" s="124">
        <f t="shared" ref="H29:H30" si="16">G39</f>
        <v>0</v>
      </c>
      <c r="I29" s="124">
        <f t="shared" ref="I29:I30" si="17">H39</f>
        <v>0</v>
      </c>
      <c r="J29" s="124">
        <f t="shared" ref="J29:J30" si="18">I39</f>
        <v>0</v>
      </c>
      <c r="K29" s="124">
        <f t="shared" ref="K29:K30" si="19">J39</f>
        <v>0</v>
      </c>
      <c r="L29" s="124">
        <f t="shared" ref="L29:L30" si="20">K39</f>
        <v>0</v>
      </c>
      <c r="M29" s="124">
        <f t="shared" ref="M29:M30" si="21">L39</f>
        <v>0</v>
      </c>
      <c r="N29" s="124">
        <f t="shared" ref="N29:N30" si="22">M39</f>
        <v>0</v>
      </c>
      <c r="O29" s="124">
        <f t="shared" ref="O29:O30" si="23">N39</f>
        <v>0</v>
      </c>
    </row>
    <row r="30" spans="1:15" ht="15" x14ac:dyDescent="0.25">
      <c r="A30" s="1" t="s">
        <v>567</v>
      </c>
      <c r="D30" s="117"/>
      <c r="E30" s="124">
        <f>D40</f>
        <v>0</v>
      </c>
      <c r="F30" s="124">
        <f t="shared" si="14"/>
        <v>0</v>
      </c>
      <c r="G30" s="124">
        <f t="shared" si="15"/>
        <v>0</v>
      </c>
      <c r="H30" s="124">
        <f t="shared" si="16"/>
        <v>0</v>
      </c>
      <c r="I30" s="124">
        <f t="shared" si="17"/>
        <v>0</v>
      </c>
      <c r="J30" s="124">
        <f t="shared" si="18"/>
        <v>0</v>
      </c>
      <c r="K30" s="124">
        <f t="shared" si="19"/>
        <v>0</v>
      </c>
      <c r="L30" s="124">
        <f t="shared" si="20"/>
        <v>0</v>
      </c>
      <c r="M30" s="124">
        <f t="shared" si="21"/>
        <v>0</v>
      </c>
      <c r="N30" s="124">
        <f t="shared" si="22"/>
        <v>0</v>
      </c>
      <c r="O30" s="124">
        <f t="shared" si="23"/>
        <v>0</v>
      </c>
    </row>
    <row r="31" spans="1:15" ht="15" x14ac:dyDescent="0.25">
      <c r="A31" s="1" t="s">
        <v>569</v>
      </c>
      <c r="D31" s="124">
        <f>D29-D30</f>
        <v>0</v>
      </c>
      <c r="E31" s="124">
        <f t="shared" ref="E31:O31" si="24">E29-E30</f>
        <v>0</v>
      </c>
      <c r="F31" s="124">
        <f t="shared" si="24"/>
        <v>0</v>
      </c>
      <c r="G31" s="124">
        <f t="shared" si="24"/>
        <v>0</v>
      </c>
      <c r="H31" s="124">
        <f t="shared" si="24"/>
        <v>0</v>
      </c>
      <c r="I31" s="124">
        <f t="shared" si="24"/>
        <v>0</v>
      </c>
      <c r="J31" s="124">
        <f t="shared" si="24"/>
        <v>0</v>
      </c>
      <c r="K31" s="124">
        <f t="shared" si="24"/>
        <v>0</v>
      </c>
      <c r="L31" s="124">
        <f t="shared" si="24"/>
        <v>0</v>
      </c>
      <c r="M31" s="124">
        <f t="shared" si="24"/>
        <v>0</v>
      </c>
      <c r="N31" s="124">
        <f t="shared" si="24"/>
        <v>0</v>
      </c>
      <c r="O31" s="124">
        <f t="shared" si="24"/>
        <v>0</v>
      </c>
    </row>
    <row r="32" spans="1:15" x14ac:dyDescent="0.2">
      <c r="A32" s="1" t="s">
        <v>575</v>
      </c>
      <c r="B32" s="214"/>
      <c r="C32" s="214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</row>
    <row r="33" spans="1:15" x14ac:dyDescent="0.2">
      <c r="A33" s="1" t="s">
        <v>576</v>
      </c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</row>
    <row r="34" spans="1:15" x14ac:dyDescent="0.2">
      <c r="A34" s="1" t="s">
        <v>577</v>
      </c>
      <c r="B34" s="1"/>
      <c r="C34" s="1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</row>
    <row r="35" spans="1:15" x14ac:dyDescent="0.2">
      <c r="A35" s="1" t="s">
        <v>578</v>
      </c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</row>
    <row r="36" spans="1:15" ht="15" x14ac:dyDescent="0.25">
      <c r="A36" s="1" t="s">
        <v>570</v>
      </c>
      <c r="D36" s="124">
        <f>D31+D32-D33-D34+D35</f>
        <v>0</v>
      </c>
      <c r="E36" s="124">
        <f t="shared" ref="E36:O36" si="25">E31+E32-E33-E34+E35</f>
        <v>0</v>
      </c>
      <c r="F36" s="124">
        <f t="shared" si="25"/>
        <v>0</v>
      </c>
      <c r="G36" s="124">
        <f t="shared" si="25"/>
        <v>0</v>
      </c>
      <c r="H36" s="124">
        <f t="shared" si="25"/>
        <v>0</v>
      </c>
      <c r="I36" s="124">
        <f t="shared" si="25"/>
        <v>0</v>
      </c>
      <c r="J36" s="124">
        <f t="shared" si="25"/>
        <v>0</v>
      </c>
      <c r="K36" s="124">
        <f t="shared" si="25"/>
        <v>0</v>
      </c>
      <c r="L36" s="124">
        <f t="shared" si="25"/>
        <v>0</v>
      </c>
      <c r="M36" s="124">
        <f t="shared" si="25"/>
        <v>0</v>
      </c>
      <c r="N36" s="124">
        <f t="shared" si="25"/>
        <v>0</v>
      </c>
      <c r="O36" s="124">
        <f t="shared" si="25"/>
        <v>0</v>
      </c>
    </row>
    <row r="37" spans="1:15" x14ac:dyDescent="0.2">
      <c r="A37" s="1" t="s">
        <v>471</v>
      </c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</row>
    <row r="38" spans="1:15" ht="15" x14ac:dyDescent="0.25">
      <c r="A38" s="1" t="s">
        <v>571</v>
      </c>
      <c r="D38" s="124">
        <f>D37-D33+D35</f>
        <v>0</v>
      </c>
      <c r="E38" s="124">
        <f t="shared" ref="E38:O38" si="26">E37-E33+E35</f>
        <v>0</v>
      </c>
      <c r="F38" s="124">
        <f t="shared" si="26"/>
        <v>0</v>
      </c>
      <c r="G38" s="124">
        <f t="shared" si="26"/>
        <v>0</v>
      </c>
      <c r="H38" s="124">
        <f t="shared" si="26"/>
        <v>0</v>
      </c>
      <c r="I38" s="124">
        <f t="shared" si="26"/>
        <v>0</v>
      </c>
      <c r="J38" s="124">
        <f t="shared" si="26"/>
        <v>0</v>
      </c>
      <c r="K38" s="124">
        <f t="shared" si="26"/>
        <v>0</v>
      </c>
      <c r="L38" s="124">
        <f t="shared" si="26"/>
        <v>0</v>
      </c>
      <c r="M38" s="124">
        <f t="shared" si="26"/>
        <v>0</v>
      </c>
      <c r="N38" s="124">
        <f t="shared" si="26"/>
        <v>0</v>
      </c>
      <c r="O38" s="124">
        <f t="shared" si="26"/>
        <v>0</v>
      </c>
    </row>
    <row r="39" spans="1:15" ht="15" x14ac:dyDescent="0.25">
      <c r="A39" s="1" t="s">
        <v>477</v>
      </c>
      <c r="D39" s="124">
        <f>D29+D32-D33</f>
        <v>0</v>
      </c>
      <c r="E39" s="124">
        <f t="shared" ref="E39:O39" si="27">E29+E32-E33</f>
        <v>0</v>
      </c>
      <c r="F39" s="124">
        <f t="shared" si="27"/>
        <v>0</v>
      </c>
      <c r="G39" s="124">
        <f t="shared" si="27"/>
        <v>0</v>
      </c>
      <c r="H39" s="124">
        <f t="shared" si="27"/>
        <v>0</v>
      </c>
      <c r="I39" s="124">
        <f t="shared" si="27"/>
        <v>0</v>
      </c>
      <c r="J39" s="124">
        <f t="shared" si="27"/>
        <v>0</v>
      </c>
      <c r="K39" s="124">
        <f t="shared" si="27"/>
        <v>0</v>
      </c>
      <c r="L39" s="124">
        <f t="shared" si="27"/>
        <v>0</v>
      </c>
      <c r="M39" s="124">
        <f t="shared" si="27"/>
        <v>0</v>
      </c>
      <c r="N39" s="124">
        <f t="shared" si="27"/>
        <v>0</v>
      </c>
      <c r="O39" s="124">
        <f t="shared" si="27"/>
        <v>0</v>
      </c>
    </row>
    <row r="40" spans="1:15" ht="15" x14ac:dyDescent="0.25">
      <c r="A40" s="1" t="s">
        <v>572</v>
      </c>
      <c r="D40" s="124">
        <f>D30+D34-D35</f>
        <v>0</v>
      </c>
      <c r="E40" s="124">
        <f t="shared" ref="E40:O40" si="28">E30+E34-E35</f>
        <v>0</v>
      </c>
      <c r="F40" s="124">
        <f t="shared" si="28"/>
        <v>0</v>
      </c>
      <c r="G40" s="124">
        <f t="shared" si="28"/>
        <v>0</v>
      </c>
      <c r="H40" s="124">
        <f t="shared" si="28"/>
        <v>0</v>
      </c>
      <c r="I40" s="124">
        <f t="shared" si="28"/>
        <v>0</v>
      </c>
      <c r="J40" s="124">
        <f t="shared" si="28"/>
        <v>0</v>
      </c>
      <c r="K40" s="124">
        <f t="shared" si="28"/>
        <v>0</v>
      </c>
      <c r="L40" s="124">
        <f t="shared" si="28"/>
        <v>0</v>
      </c>
      <c r="M40" s="124">
        <f t="shared" si="28"/>
        <v>0</v>
      </c>
      <c r="N40" s="124">
        <f t="shared" si="28"/>
        <v>0</v>
      </c>
      <c r="O40" s="124">
        <f t="shared" si="28"/>
        <v>0</v>
      </c>
    </row>
    <row r="41" spans="1:15" ht="15" x14ac:dyDescent="0.25">
      <c r="D41" s="228"/>
      <c r="E41" s="228"/>
      <c r="F41" s="228"/>
      <c r="G41" s="228"/>
      <c r="H41" s="228"/>
      <c r="I41" s="228"/>
      <c r="J41" s="228"/>
      <c r="K41" s="228"/>
      <c r="L41" s="228"/>
      <c r="M41" s="228"/>
      <c r="N41" s="228"/>
      <c r="O41" s="228"/>
    </row>
    <row r="43" spans="1:15" ht="15.75" x14ac:dyDescent="0.25">
      <c r="A43" s="125" t="s">
        <v>191</v>
      </c>
      <c r="B43" s="1" t="s">
        <v>367</v>
      </c>
      <c r="C43" s="1" t="s">
        <v>375</v>
      </c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</row>
    <row r="44" spans="1:15" ht="15" x14ac:dyDescent="0.25">
      <c r="A44" s="1" t="s">
        <v>473</v>
      </c>
      <c r="D44" s="126"/>
      <c r="E44" s="124">
        <f>D54</f>
        <v>0</v>
      </c>
      <c r="F44" s="124">
        <f t="shared" ref="F44:O44" si="29">E54</f>
        <v>0</v>
      </c>
      <c r="G44" s="124">
        <f t="shared" si="29"/>
        <v>0</v>
      </c>
      <c r="H44" s="124">
        <f t="shared" si="29"/>
        <v>0</v>
      </c>
      <c r="I44" s="124">
        <f t="shared" si="29"/>
        <v>0</v>
      </c>
      <c r="J44" s="124">
        <f t="shared" si="29"/>
        <v>0</v>
      </c>
      <c r="K44" s="124">
        <f t="shared" si="29"/>
        <v>0</v>
      </c>
      <c r="L44" s="124">
        <f t="shared" si="29"/>
        <v>0</v>
      </c>
      <c r="M44" s="124">
        <f t="shared" si="29"/>
        <v>0</v>
      </c>
      <c r="N44" s="124">
        <f t="shared" si="29"/>
        <v>0</v>
      </c>
      <c r="O44" s="124">
        <f t="shared" si="29"/>
        <v>0</v>
      </c>
    </row>
    <row r="45" spans="1:15" ht="15" x14ac:dyDescent="0.25">
      <c r="A45" s="1" t="s">
        <v>474</v>
      </c>
      <c r="D45" s="117"/>
      <c r="E45" s="124">
        <f>D55</f>
        <v>0</v>
      </c>
      <c r="F45" s="124">
        <f t="shared" ref="F45:O45" si="30">E55</f>
        <v>0</v>
      </c>
      <c r="G45" s="124">
        <f t="shared" si="30"/>
        <v>0</v>
      </c>
      <c r="H45" s="124">
        <f t="shared" si="30"/>
        <v>0</v>
      </c>
      <c r="I45" s="124">
        <f t="shared" si="30"/>
        <v>0</v>
      </c>
      <c r="J45" s="124">
        <f t="shared" si="30"/>
        <v>0</v>
      </c>
      <c r="K45" s="124">
        <f t="shared" si="30"/>
        <v>0</v>
      </c>
      <c r="L45" s="124">
        <f t="shared" si="30"/>
        <v>0</v>
      </c>
      <c r="M45" s="124">
        <f t="shared" si="30"/>
        <v>0</v>
      </c>
      <c r="N45" s="124">
        <f t="shared" si="30"/>
        <v>0</v>
      </c>
      <c r="O45" s="124">
        <f t="shared" si="30"/>
        <v>0</v>
      </c>
    </row>
    <row r="46" spans="1:15" ht="15" x14ac:dyDescent="0.25">
      <c r="A46" s="1" t="s">
        <v>475</v>
      </c>
      <c r="D46" s="124">
        <f>D44-D45</f>
        <v>0</v>
      </c>
      <c r="E46" s="124">
        <f t="shared" ref="E46:O46" si="31">E44-E45</f>
        <v>0</v>
      </c>
      <c r="F46" s="124">
        <f t="shared" si="31"/>
        <v>0</v>
      </c>
      <c r="G46" s="124">
        <f t="shared" si="31"/>
        <v>0</v>
      </c>
      <c r="H46" s="124">
        <f t="shared" si="31"/>
        <v>0</v>
      </c>
      <c r="I46" s="124">
        <f t="shared" si="31"/>
        <v>0</v>
      </c>
      <c r="J46" s="124">
        <f t="shared" si="31"/>
        <v>0</v>
      </c>
      <c r="K46" s="124">
        <f t="shared" si="31"/>
        <v>0</v>
      </c>
      <c r="L46" s="124">
        <f t="shared" si="31"/>
        <v>0</v>
      </c>
      <c r="M46" s="124">
        <f t="shared" si="31"/>
        <v>0</v>
      </c>
      <c r="N46" s="124">
        <f t="shared" si="31"/>
        <v>0</v>
      </c>
      <c r="O46" s="124">
        <f t="shared" si="31"/>
        <v>0</v>
      </c>
    </row>
    <row r="47" spans="1:15" x14ac:dyDescent="0.2">
      <c r="A47" s="1" t="s">
        <v>579</v>
      </c>
      <c r="B47" s="214"/>
      <c r="C47" s="214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</row>
    <row r="48" spans="1:15" x14ac:dyDescent="0.2">
      <c r="A48" s="1" t="s">
        <v>580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</row>
    <row r="49" spans="1:15" x14ac:dyDescent="0.2">
      <c r="A49" s="1" t="s">
        <v>581</v>
      </c>
      <c r="B49" s="1"/>
      <c r="C49" s="1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</row>
    <row r="50" spans="1:15" x14ac:dyDescent="0.2">
      <c r="A50" s="1" t="s">
        <v>582</v>
      </c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</row>
    <row r="51" spans="1:15" ht="15" x14ac:dyDescent="0.25">
      <c r="A51" s="1" t="s">
        <v>476</v>
      </c>
      <c r="D51" s="124">
        <f>D46+D47-D48-D49+D50</f>
        <v>0</v>
      </c>
      <c r="E51" s="124">
        <f t="shared" ref="E51:O51" si="32">E46+E47-E48-E49+E50</f>
        <v>0</v>
      </c>
      <c r="F51" s="124">
        <f t="shared" si="32"/>
        <v>0</v>
      </c>
      <c r="G51" s="124">
        <f t="shared" si="32"/>
        <v>0</v>
      </c>
      <c r="H51" s="124">
        <f t="shared" si="32"/>
        <v>0</v>
      </c>
      <c r="I51" s="124">
        <f t="shared" si="32"/>
        <v>0</v>
      </c>
      <c r="J51" s="124">
        <f t="shared" si="32"/>
        <v>0</v>
      </c>
      <c r="K51" s="124">
        <f t="shared" si="32"/>
        <v>0</v>
      </c>
      <c r="L51" s="124">
        <f t="shared" si="32"/>
        <v>0</v>
      </c>
      <c r="M51" s="124">
        <f t="shared" si="32"/>
        <v>0</v>
      </c>
      <c r="N51" s="124">
        <f t="shared" si="32"/>
        <v>0</v>
      </c>
      <c r="O51" s="124">
        <f t="shared" si="32"/>
        <v>0</v>
      </c>
    </row>
    <row r="52" spans="1:15" x14ac:dyDescent="0.2">
      <c r="A52" s="1" t="s">
        <v>471</v>
      </c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</row>
    <row r="53" spans="1:15" ht="15" x14ac:dyDescent="0.25">
      <c r="A53" s="1" t="s">
        <v>472</v>
      </c>
      <c r="D53" s="124">
        <f>D52-D48+D50</f>
        <v>0</v>
      </c>
      <c r="E53" s="124">
        <f t="shared" ref="E53:O53" si="33">E52-E48+E50</f>
        <v>0</v>
      </c>
      <c r="F53" s="124">
        <f t="shared" si="33"/>
        <v>0</v>
      </c>
      <c r="G53" s="124">
        <f t="shared" si="33"/>
        <v>0</v>
      </c>
      <c r="H53" s="124">
        <f t="shared" si="33"/>
        <v>0</v>
      </c>
      <c r="I53" s="124">
        <f t="shared" si="33"/>
        <v>0</v>
      </c>
      <c r="J53" s="124">
        <f t="shared" si="33"/>
        <v>0</v>
      </c>
      <c r="K53" s="124">
        <f t="shared" si="33"/>
        <v>0</v>
      </c>
      <c r="L53" s="124">
        <f t="shared" si="33"/>
        <v>0</v>
      </c>
      <c r="M53" s="124">
        <f t="shared" si="33"/>
        <v>0</v>
      </c>
      <c r="N53" s="124">
        <f t="shared" si="33"/>
        <v>0</v>
      </c>
      <c r="O53" s="124">
        <f t="shared" si="33"/>
        <v>0</v>
      </c>
    </row>
    <row r="54" spans="1:15" ht="15" x14ac:dyDescent="0.25">
      <c r="A54" s="1" t="s">
        <v>477</v>
      </c>
      <c r="D54" s="124">
        <f>D44+D47-D48</f>
        <v>0</v>
      </c>
      <c r="E54" s="124">
        <f t="shared" ref="E54:O54" si="34">E44+E47-E48</f>
        <v>0</v>
      </c>
      <c r="F54" s="124">
        <f t="shared" si="34"/>
        <v>0</v>
      </c>
      <c r="G54" s="124">
        <f t="shared" si="34"/>
        <v>0</v>
      </c>
      <c r="H54" s="124">
        <f t="shared" si="34"/>
        <v>0</v>
      </c>
      <c r="I54" s="124">
        <f t="shared" si="34"/>
        <v>0</v>
      </c>
      <c r="J54" s="124">
        <f t="shared" si="34"/>
        <v>0</v>
      </c>
      <c r="K54" s="124">
        <f t="shared" si="34"/>
        <v>0</v>
      </c>
      <c r="L54" s="124">
        <f t="shared" si="34"/>
        <v>0</v>
      </c>
      <c r="M54" s="124">
        <f t="shared" si="34"/>
        <v>0</v>
      </c>
      <c r="N54" s="124">
        <f t="shared" si="34"/>
        <v>0</v>
      </c>
      <c r="O54" s="124">
        <f t="shared" si="34"/>
        <v>0</v>
      </c>
    </row>
    <row r="55" spans="1:15" ht="15" x14ac:dyDescent="0.25">
      <c r="A55" s="1" t="s">
        <v>478</v>
      </c>
      <c r="D55" s="124">
        <f>D45+D49-D50</f>
        <v>0</v>
      </c>
      <c r="E55" s="124">
        <f t="shared" ref="E55:O55" si="35">E45+E49-E50</f>
        <v>0</v>
      </c>
      <c r="F55" s="124">
        <f t="shared" si="35"/>
        <v>0</v>
      </c>
      <c r="G55" s="124">
        <f t="shared" si="35"/>
        <v>0</v>
      </c>
      <c r="H55" s="124">
        <f t="shared" si="35"/>
        <v>0</v>
      </c>
      <c r="I55" s="124">
        <f t="shared" si="35"/>
        <v>0</v>
      </c>
      <c r="J55" s="124">
        <f t="shared" si="35"/>
        <v>0</v>
      </c>
      <c r="K55" s="124">
        <f t="shared" si="35"/>
        <v>0</v>
      </c>
      <c r="L55" s="124">
        <f t="shared" si="35"/>
        <v>0</v>
      </c>
      <c r="M55" s="124">
        <f t="shared" si="35"/>
        <v>0</v>
      </c>
      <c r="N55" s="124">
        <f t="shared" si="35"/>
        <v>0</v>
      </c>
      <c r="O55" s="124">
        <f t="shared" si="35"/>
        <v>0</v>
      </c>
    </row>
    <row r="58" spans="1:15" ht="15.75" x14ac:dyDescent="0.25">
      <c r="A58" s="125" t="s">
        <v>573</v>
      </c>
      <c r="B58" s="1" t="s">
        <v>367</v>
      </c>
      <c r="C58" s="1" t="s">
        <v>375</v>
      </c>
    </row>
    <row r="59" spans="1:15" ht="15" x14ac:dyDescent="0.25">
      <c r="A59" s="1" t="s">
        <v>479</v>
      </c>
      <c r="D59" s="126"/>
      <c r="E59" s="124">
        <f>D65</f>
        <v>0</v>
      </c>
      <c r="F59" s="124">
        <f t="shared" ref="F59:O59" si="36">E65</f>
        <v>0</v>
      </c>
      <c r="G59" s="124">
        <f t="shared" si="36"/>
        <v>0</v>
      </c>
      <c r="H59" s="124">
        <f t="shared" si="36"/>
        <v>0</v>
      </c>
      <c r="I59" s="124">
        <f t="shared" si="36"/>
        <v>0</v>
      </c>
      <c r="J59" s="124">
        <f t="shared" si="36"/>
        <v>0</v>
      </c>
      <c r="K59" s="124">
        <f t="shared" si="36"/>
        <v>0</v>
      </c>
      <c r="L59" s="124">
        <f t="shared" si="36"/>
        <v>0</v>
      </c>
      <c r="M59" s="124">
        <f t="shared" si="36"/>
        <v>0</v>
      </c>
      <c r="N59" s="124">
        <f t="shared" si="36"/>
        <v>0</v>
      </c>
      <c r="O59" s="124">
        <f t="shared" si="36"/>
        <v>0</v>
      </c>
    </row>
    <row r="60" spans="1:15" x14ac:dyDescent="0.2">
      <c r="A60" s="1" t="s">
        <v>583</v>
      </c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</row>
    <row r="61" spans="1:15" x14ac:dyDescent="0.2">
      <c r="A61" s="1" t="s">
        <v>584</v>
      </c>
      <c r="B61" s="16"/>
      <c r="C61" s="16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</row>
    <row r="62" spans="1:15" x14ac:dyDescent="0.2">
      <c r="A62" s="1" t="s">
        <v>585</v>
      </c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</row>
    <row r="63" spans="1:15" x14ac:dyDescent="0.2">
      <c r="A63" s="1" t="s">
        <v>586</v>
      </c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</row>
    <row r="64" spans="1:15" x14ac:dyDescent="0.2">
      <c r="A64" s="1" t="s">
        <v>587</v>
      </c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</row>
    <row r="65" spans="1:15" ht="15" x14ac:dyDescent="0.25">
      <c r="A65" s="1" t="s">
        <v>480</v>
      </c>
      <c r="D65" s="124">
        <f>D59+D60+D61+D62-D63-D64</f>
        <v>0</v>
      </c>
      <c r="E65" s="124">
        <f t="shared" ref="E65:O65" si="37">E59+E60+E61+E62-E63-E64</f>
        <v>0</v>
      </c>
      <c r="F65" s="124">
        <f t="shared" si="37"/>
        <v>0</v>
      </c>
      <c r="G65" s="124">
        <f t="shared" si="37"/>
        <v>0</v>
      </c>
      <c r="H65" s="124">
        <f t="shared" si="37"/>
        <v>0</v>
      </c>
      <c r="I65" s="124">
        <f t="shared" si="37"/>
        <v>0</v>
      </c>
      <c r="J65" s="124">
        <f t="shared" si="37"/>
        <v>0</v>
      </c>
      <c r="K65" s="124">
        <f t="shared" si="37"/>
        <v>0</v>
      </c>
      <c r="L65" s="124">
        <f t="shared" si="37"/>
        <v>0</v>
      </c>
      <c r="M65" s="124">
        <f t="shared" si="37"/>
        <v>0</v>
      </c>
      <c r="N65" s="124">
        <f t="shared" si="37"/>
        <v>0</v>
      </c>
      <c r="O65" s="124">
        <f t="shared" si="37"/>
        <v>0</v>
      </c>
    </row>
    <row r="66" spans="1:15" ht="15" x14ac:dyDescent="0.25">
      <c r="A66" s="1"/>
      <c r="D66" s="228"/>
      <c r="E66" s="228"/>
      <c r="F66" s="228"/>
      <c r="G66" s="228"/>
      <c r="H66" s="228"/>
      <c r="I66" s="228"/>
      <c r="J66" s="228"/>
      <c r="K66" s="228"/>
      <c r="L66" s="228"/>
      <c r="M66" s="228"/>
      <c r="N66" s="228"/>
      <c r="O66" s="228"/>
    </row>
    <row r="67" spans="1:15" ht="15.75" x14ac:dyDescent="0.25">
      <c r="A67" s="125" t="s">
        <v>574</v>
      </c>
      <c r="B67" s="1" t="s">
        <v>367</v>
      </c>
      <c r="C67" s="1" t="s">
        <v>375</v>
      </c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</row>
    <row r="68" spans="1:15" ht="15" x14ac:dyDescent="0.25">
      <c r="A68" s="1" t="s">
        <v>481</v>
      </c>
      <c r="D68" s="117"/>
      <c r="E68" s="85">
        <f>D74</f>
        <v>0</v>
      </c>
      <c r="F68" s="85">
        <f t="shared" ref="F68:O68" si="38">E74</f>
        <v>0</v>
      </c>
      <c r="G68" s="85">
        <f t="shared" si="38"/>
        <v>0</v>
      </c>
      <c r="H68" s="85">
        <f t="shared" si="38"/>
        <v>0</v>
      </c>
      <c r="I68" s="85">
        <f t="shared" si="38"/>
        <v>0</v>
      </c>
      <c r="J68" s="85">
        <f t="shared" si="38"/>
        <v>0</v>
      </c>
      <c r="K68" s="85">
        <f t="shared" si="38"/>
        <v>0</v>
      </c>
      <c r="L68" s="85">
        <f t="shared" si="38"/>
        <v>0</v>
      </c>
      <c r="M68" s="85">
        <f t="shared" si="38"/>
        <v>0</v>
      </c>
      <c r="N68" s="85">
        <f t="shared" si="38"/>
        <v>0</v>
      </c>
      <c r="O68" s="85">
        <f t="shared" si="38"/>
        <v>0</v>
      </c>
    </row>
    <row r="69" spans="1:15" x14ac:dyDescent="0.2">
      <c r="A69" s="1" t="s">
        <v>588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</row>
    <row r="70" spans="1:15" x14ac:dyDescent="0.2">
      <c r="A70" s="1" t="s">
        <v>589</v>
      </c>
      <c r="B70" s="16"/>
      <c r="C70" s="16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</row>
    <row r="71" spans="1:15" x14ac:dyDescent="0.2">
      <c r="A71" s="1" t="s">
        <v>590</v>
      </c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</row>
    <row r="72" spans="1:15" x14ac:dyDescent="0.2">
      <c r="A72" s="1" t="s">
        <v>591</v>
      </c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</row>
    <row r="73" spans="1:15" ht="15" x14ac:dyDescent="0.25">
      <c r="A73" s="1" t="s">
        <v>566</v>
      </c>
      <c r="D73" s="124">
        <f>D62</f>
        <v>0</v>
      </c>
      <c r="E73" s="124">
        <f t="shared" ref="E73:O73" si="39">E62</f>
        <v>0</v>
      </c>
      <c r="F73" s="124">
        <f t="shared" si="39"/>
        <v>0</v>
      </c>
      <c r="G73" s="124">
        <f t="shared" si="39"/>
        <v>0</v>
      </c>
      <c r="H73" s="124">
        <f t="shared" si="39"/>
        <v>0</v>
      </c>
      <c r="I73" s="124">
        <f t="shared" si="39"/>
        <v>0</v>
      </c>
      <c r="J73" s="124">
        <f t="shared" si="39"/>
        <v>0</v>
      </c>
      <c r="K73" s="124">
        <f t="shared" si="39"/>
        <v>0</v>
      </c>
      <c r="L73" s="124">
        <f t="shared" si="39"/>
        <v>0</v>
      </c>
      <c r="M73" s="124">
        <f t="shared" si="39"/>
        <v>0</v>
      </c>
      <c r="N73" s="124">
        <f t="shared" si="39"/>
        <v>0</v>
      </c>
      <c r="O73" s="124">
        <f t="shared" si="39"/>
        <v>0</v>
      </c>
    </row>
    <row r="74" spans="1:15" ht="15" x14ac:dyDescent="0.25">
      <c r="A74" s="1" t="s">
        <v>482</v>
      </c>
      <c r="D74" s="211">
        <f>D68+D69+D70-D71-D72-D73</f>
        <v>0</v>
      </c>
      <c r="E74" s="211">
        <f t="shared" ref="E74:O74" si="40">E68+E69+E70-E71-E72-E73</f>
        <v>0</v>
      </c>
      <c r="F74" s="211">
        <f t="shared" si="40"/>
        <v>0</v>
      </c>
      <c r="G74" s="211">
        <f t="shared" si="40"/>
        <v>0</v>
      </c>
      <c r="H74" s="211">
        <f t="shared" si="40"/>
        <v>0</v>
      </c>
      <c r="I74" s="211">
        <f t="shared" si="40"/>
        <v>0</v>
      </c>
      <c r="J74" s="211">
        <f t="shared" si="40"/>
        <v>0</v>
      </c>
      <c r="K74" s="211">
        <f t="shared" si="40"/>
        <v>0</v>
      </c>
      <c r="L74" s="211">
        <f t="shared" si="40"/>
        <v>0</v>
      </c>
      <c r="M74" s="211">
        <f t="shared" si="40"/>
        <v>0</v>
      </c>
      <c r="N74" s="211">
        <f t="shared" si="40"/>
        <v>0</v>
      </c>
      <c r="O74" s="211">
        <f t="shared" si="40"/>
        <v>0</v>
      </c>
    </row>
    <row r="75" spans="1:15" x14ac:dyDescent="0.2"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</row>
    <row r="77" spans="1:15" ht="15.75" x14ac:dyDescent="0.25">
      <c r="A77" s="125" t="s">
        <v>14</v>
      </c>
      <c r="B77" s="1" t="s">
        <v>367</v>
      </c>
      <c r="C77" s="1" t="s">
        <v>375</v>
      </c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</row>
    <row r="78" spans="1:15" ht="15" x14ac:dyDescent="0.25">
      <c r="A78" t="s">
        <v>165</v>
      </c>
      <c r="D78" s="117"/>
      <c r="E78" s="124">
        <f>D86</f>
        <v>0</v>
      </c>
      <c r="F78" s="124">
        <f t="shared" ref="F78:O78" si="41">E86</f>
        <v>0</v>
      </c>
      <c r="G78" s="124">
        <f t="shared" si="41"/>
        <v>0</v>
      </c>
      <c r="H78" s="124">
        <f t="shared" si="41"/>
        <v>0</v>
      </c>
      <c r="I78" s="124">
        <f t="shared" si="41"/>
        <v>0</v>
      </c>
      <c r="J78" s="124">
        <f t="shared" si="41"/>
        <v>0</v>
      </c>
      <c r="K78" s="124">
        <f t="shared" si="41"/>
        <v>0</v>
      </c>
      <c r="L78" s="124">
        <f t="shared" si="41"/>
        <v>0</v>
      </c>
      <c r="M78" s="124">
        <f t="shared" si="41"/>
        <v>0</v>
      </c>
      <c r="N78" s="124">
        <f t="shared" si="41"/>
        <v>0</v>
      </c>
      <c r="O78" s="124">
        <f t="shared" si="41"/>
        <v>0</v>
      </c>
    </row>
    <row r="79" spans="1:15" ht="15" x14ac:dyDescent="0.25">
      <c r="A79" s="1" t="s">
        <v>592</v>
      </c>
      <c r="B79" s="1"/>
      <c r="C79" s="1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</row>
    <row r="80" spans="1:15" x14ac:dyDescent="0.2">
      <c r="A80" s="1" t="s">
        <v>593</v>
      </c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</row>
    <row r="81" spans="1:15" x14ac:dyDescent="0.2">
      <c r="A81" s="1" t="s">
        <v>594</v>
      </c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</row>
    <row r="82" spans="1:15" x14ac:dyDescent="0.2">
      <c r="A82" s="1" t="s">
        <v>595</v>
      </c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</row>
    <row r="83" spans="1:15" x14ac:dyDescent="0.2">
      <c r="A83" s="1" t="s">
        <v>596</v>
      </c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</row>
    <row r="84" spans="1:15" x14ac:dyDescent="0.2">
      <c r="A84" s="1" t="s">
        <v>597</v>
      </c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</row>
    <row r="85" spans="1:15" ht="15" x14ac:dyDescent="0.25">
      <c r="A85" s="1" t="s">
        <v>598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5" x14ac:dyDescent="0.25">
      <c r="A86" s="1" t="s">
        <v>115</v>
      </c>
      <c r="D86" s="124">
        <f>D78+D79+D80+D81-D82-D83-D84-D85</f>
        <v>0</v>
      </c>
      <c r="E86" s="124">
        <f t="shared" ref="E86:O86" si="42">E78+E79+E80+E81-E82-E83-E84-E85</f>
        <v>0</v>
      </c>
      <c r="F86" s="124">
        <f t="shared" si="42"/>
        <v>0</v>
      </c>
      <c r="G86" s="124">
        <f t="shared" si="42"/>
        <v>0</v>
      </c>
      <c r="H86" s="124">
        <f t="shared" si="42"/>
        <v>0</v>
      </c>
      <c r="I86" s="124">
        <f t="shared" si="42"/>
        <v>0</v>
      </c>
      <c r="J86" s="124">
        <f t="shared" si="42"/>
        <v>0</v>
      </c>
      <c r="K86" s="124">
        <f t="shared" si="42"/>
        <v>0</v>
      </c>
      <c r="L86" s="124">
        <f t="shared" si="42"/>
        <v>0</v>
      </c>
      <c r="M86" s="124">
        <f t="shared" si="42"/>
        <v>0</v>
      </c>
      <c r="N86" s="124">
        <f t="shared" si="42"/>
        <v>0</v>
      </c>
      <c r="O86" s="124">
        <f t="shared" si="42"/>
        <v>0</v>
      </c>
    </row>
    <row r="88" spans="1:15" ht="15.75" x14ac:dyDescent="0.25">
      <c r="A88" s="125" t="s">
        <v>599</v>
      </c>
      <c r="B88" s="1" t="s">
        <v>367</v>
      </c>
      <c r="C88" s="1" t="s">
        <v>375</v>
      </c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</row>
    <row r="89" spans="1:15" ht="15" x14ac:dyDescent="0.25">
      <c r="A89" t="s">
        <v>165</v>
      </c>
      <c r="D89" s="117"/>
      <c r="E89" s="124">
        <f>D97</f>
        <v>0</v>
      </c>
      <c r="F89" s="124">
        <f t="shared" ref="F89" si="43">E97</f>
        <v>0</v>
      </c>
      <c r="G89" s="124">
        <f t="shared" ref="G89" si="44">F97</f>
        <v>0</v>
      </c>
      <c r="H89" s="124">
        <f t="shared" ref="H89" si="45">G97</f>
        <v>0</v>
      </c>
      <c r="I89" s="124">
        <f t="shared" ref="I89" si="46">H97</f>
        <v>0</v>
      </c>
      <c r="J89" s="124">
        <f t="shared" ref="J89" si="47">I97</f>
        <v>0</v>
      </c>
      <c r="K89" s="124">
        <f t="shared" ref="K89" si="48">J97</f>
        <v>0</v>
      </c>
      <c r="L89" s="124">
        <f t="shared" ref="L89" si="49">K97</f>
        <v>0</v>
      </c>
      <c r="M89" s="124">
        <f t="shared" ref="M89" si="50">L97</f>
        <v>0</v>
      </c>
      <c r="N89" s="124">
        <f t="shared" ref="N89" si="51">M97</f>
        <v>0</v>
      </c>
      <c r="O89" s="124">
        <f t="shared" ref="O89" si="52">N97</f>
        <v>0</v>
      </c>
    </row>
    <row r="90" spans="1:15" ht="15" x14ac:dyDescent="0.25">
      <c r="A90" s="1" t="s">
        <v>592</v>
      </c>
      <c r="B90" s="1"/>
      <c r="C90" s="1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</row>
    <row r="91" spans="1:15" x14ac:dyDescent="0.2">
      <c r="A91" s="1" t="s">
        <v>593</v>
      </c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</row>
    <row r="92" spans="1:15" x14ac:dyDescent="0.2">
      <c r="A92" s="1" t="s">
        <v>600</v>
      </c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</row>
    <row r="93" spans="1:15" x14ac:dyDescent="0.2">
      <c r="A93" s="1" t="s">
        <v>595</v>
      </c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</row>
    <row r="94" spans="1:15" x14ac:dyDescent="0.2">
      <c r="A94" s="1" t="s">
        <v>596</v>
      </c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</row>
    <row r="95" spans="1:15" x14ac:dyDescent="0.2">
      <c r="A95" s="1" t="s">
        <v>601</v>
      </c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</row>
    <row r="96" spans="1:15" ht="15" x14ac:dyDescent="0.25">
      <c r="A96" s="1" t="s">
        <v>598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5" x14ac:dyDescent="0.25">
      <c r="A97" s="1" t="s">
        <v>115</v>
      </c>
      <c r="D97" s="124">
        <f>D89+D90+D91+D92-D93-D94-D95-D96</f>
        <v>0</v>
      </c>
      <c r="E97" s="124">
        <f t="shared" ref="E97:O97" si="53">E89+E90+E91+E92-E93-E94-E95-E96</f>
        <v>0</v>
      </c>
      <c r="F97" s="124">
        <f t="shared" si="53"/>
        <v>0</v>
      </c>
      <c r="G97" s="124">
        <f t="shared" si="53"/>
        <v>0</v>
      </c>
      <c r="H97" s="124">
        <f t="shared" si="53"/>
        <v>0</v>
      </c>
      <c r="I97" s="124">
        <f t="shared" si="53"/>
        <v>0</v>
      </c>
      <c r="J97" s="124">
        <f t="shared" si="53"/>
        <v>0</v>
      </c>
      <c r="K97" s="124">
        <f t="shared" si="53"/>
        <v>0</v>
      </c>
      <c r="L97" s="124">
        <f t="shared" si="53"/>
        <v>0</v>
      </c>
      <c r="M97" s="124">
        <f t="shared" si="53"/>
        <v>0</v>
      </c>
      <c r="N97" s="124">
        <f t="shared" si="53"/>
        <v>0</v>
      </c>
      <c r="O97" s="124">
        <f t="shared" si="53"/>
        <v>0</v>
      </c>
    </row>
    <row r="99" spans="1:15" ht="15.75" x14ac:dyDescent="0.25">
      <c r="A99" s="125" t="s">
        <v>264</v>
      </c>
      <c r="B99" s="1" t="s">
        <v>367</v>
      </c>
      <c r="C99" s="1" t="s">
        <v>375</v>
      </c>
    </row>
    <row r="100" spans="1:15" ht="15" x14ac:dyDescent="0.25">
      <c r="A100" s="1" t="s">
        <v>483</v>
      </c>
      <c r="D100" s="126"/>
      <c r="E100" s="84">
        <f>D105</f>
        <v>0</v>
      </c>
      <c r="F100" s="84">
        <f t="shared" ref="F100:O100" si="54">E105</f>
        <v>0</v>
      </c>
      <c r="G100" s="84">
        <f t="shared" si="54"/>
        <v>0</v>
      </c>
      <c r="H100" s="84">
        <f t="shared" si="54"/>
        <v>0</v>
      </c>
      <c r="I100" s="84">
        <f t="shared" si="54"/>
        <v>0</v>
      </c>
      <c r="J100" s="84">
        <f t="shared" si="54"/>
        <v>0</v>
      </c>
      <c r="K100" s="84">
        <f t="shared" si="54"/>
        <v>0</v>
      </c>
      <c r="L100" s="84">
        <f t="shared" si="54"/>
        <v>0</v>
      </c>
      <c r="M100" s="84">
        <f t="shared" si="54"/>
        <v>0</v>
      </c>
      <c r="N100" s="84">
        <f t="shared" si="54"/>
        <v>0</v>
      </c>
      <c r="O100" s="84">
        <f t="shared" si="54"/>
        <v>0</v>
      </c>
    </row>
    <row r="101" spans="1:15" x14ac:dyDescent="0.2">
      <c r="A101" s="1" t="s">
        <v>522</v>
      </c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</row>
    <row r="102" spans="1:15" x14ac:dyDescent="0.2">
      <c r="A102" s="1" t="s">
        <v>523</v>
      </c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</row>
    <row r="103" spans="1:15" x14ac:dyDescent="0.2">
      <c r="A103" s="1" t="s">
        <v>602</v>
      </c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</row>
    <row r="104" spans="1:15" x14ac:dyDescent="0.2">
      <c r="A104" s="1" t="s">
        <v>524</v>
      </c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</row>
    <row r="105" spans="1:15" ht="15" x14ac:dyDescent="0.25">
      <c r="A105" s="1" t="s">
        <v>484</v>
      </c>
      <c r="D105" s="124">
        <f>D100+D101+D102-D103-D104</f>
        <v>0</v>
      </c>
      <c r="E105" s="124">
        <f t="shared" ref="E105:O105" si="55">E100+E101+E102-E103-E104</f>
        <v>0</v>
      </c>
      <c r="F105" s="124">
        <f t="shared" si="55"/>
        <v>0</v>
      </c>
      <c r="G105" s="124">
        <f t="shared" si="55"/>
        <v>0</v>
      </c>
      <c r="H105" s="124">
        <f t="shared" si="55"/>
        <v>0</v>
      </c>
      <c r="I105" s="124">
        <f t="shared" si="55"/>
        <v>0</v>
      </c>
      <c r="J105" s="124">
        <f t="shared" si="55"/>
        <v>0</v>
      </c>
      <c r="K105" s="124">
        <f t="shared" si="55"/>
        <v>0</v>
      </c>
      <c r="L105" s="124">
        <f t="shared" si="55"/>
        <v>0</v>
      </c>
      <c r="M105" s="124">
        <f t="shared" si="55"/>
        <v>0</v>
      </c>
      <c r="N105" s="124">
        <f t="shared" si="55"/>
        <v>0</v>
      </c>
      <c r="O105" s="124">
        <f t="shared" si="55"/>
        <v>0</v>
      </c>
    </row>
    <row r="106" spans="1:15" x14ac:dyDescent="0.2">
      <c r="A106" s="1"/>
    </row>
    <row r="107" spans="1:15" ht="15" x14ac:dyDescent="0.25">
      <c r="A107" s="1" t="s">
        <v>485</v>
      </c>
      <c r="D107" s="117"/>
      <c r="E107" s="124">
        <f>$D$107</f>
        <v>0</v>
      </c>
      <c r="F107" s="124">
        <f t="shared" ref="F107:O107" si="56">$D$107</f>
        <v>0</v>
      </c>
      <c r="G107" s="124">
        <f t="shared" si="56"/>
        <v>0</v>
      </c>
      <c r="H107" s="124">
        <f t="shared" si="56"/>
        <v>0</v>
      </c>
      <c r="I107" s="124">
        <f t="shared" si="56"/>
        <v>0</v>
      </c>
      <c r="J107" s="124">
        <f t="shared" si="56"/>
        <v>0</v>
      </c>
      <c r="K107" s="124">
        <f t="shared" si="56"/>
        <v>0</v>
      </c>
      <c r="L107" s="124">
        <f t="shared" si="56"/>
        <v>0</v>
      </c>
      <c r="M107" s="124">
        <f t="shared" si="56"/>
        <v>0</v>
      </c>
      <c r="N107" s="124">
        <f t="shared" si="56"/>
        <v>0</v>
      </c>
      <c r="O107" s="124">
        <f t="shared" si="56"/>
        <v>0</v>
      </c>
    </row>
    <row r="108" spans="1:15" ht="15" x14ac:dyDescent="0.25">
      <c r="A108" s="1" t="s">
        <v>486</v>
      </c>
      <c r="D108" s="117"/>
      <c r="E108" s="124">
        <f>$D$108</f>
        <v>0</v>
      </c>
      <c r="F108" s="124">
        <f t="shared" ref="F108:O108" si="57">$D$108</f>
        <v>0</v>
      </c>
      <c r="G108" s="124">
        <f t="shared" si="57"/>
        <v>0</v>
      </c>
      <c r="H108" s="124">
        <f t="shared" si="57"/>
        <v>0</v>
      </c>
      <c r="I108" s="124">
        <f t="shared" si="57"/>
        <v>0</v>
      </c>
      <c r="J108" s="124">
        <f t="shared" si="57"/>
        <v>0</v>
      </c>
      <c r="K108" s="124">
        <f t="shared" si="57"/>
        <v>0</v>
      </c>
      <c r="L108" s="124">
        <f t="shared" si="57"/>
        <v>0</v>
      </c>
      <c r="M108" s="124">
        <f t="shared" si="57"/>
        <v>0</v>
      </c>
      <c r="N108" s="124">
        <f t="shared" si="57"/>
        <v>0</v>
      </c>
      <c r="O108" s="124">
        <f t="shared" si="57"/>
        <v>0</v>
      </c>
    </row>
    <row r="109" spans="1:15" x14ac:dyDescent="0.2">
      <c r="A109" s="1"/>
    </row>
    <row r="110" spans="1:15" ht="15" x14ac:dyDescent="0.25">
      <c r="A110" s="1" t="s">
        <v>487</v>
      </c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</row>
    <row r="111" spans="1:15" x14ac:dyDescent="0.2">
      <c r="A111" s="1"/>
    </row>
    <row r="112" spans="1:15" ht="15" x14ac:dyDescent="0.25">
      <c r="A112" s="1" t="s">
        <v>115</v>
      </c>
      <c r="D112" s="211">
        <f>D105+D107+D108+D110</f>
        <v>0</v>
      </c>
      <c r="E112" s="211">
        <f t="shared" ref="E112:O112" si="58">E105+E107+E108+E110</f>
        <v>0</v>
      </c>
      <c r="F112" s="211">
        <f t="shared" si="58"/>
        <v>0</v>
      </c>
      <c r="G112" s="211">
        <f t="shared" si="58"/>
        <v>0</v>
      </c>
      <c r="H112" s="211">
        <f t="shared" si="58"/>
        <v>0</v>
      </c>
      <c r="I112" s="211">
        <f t="shared" si="58"/>
        <v>0</v>
      </c>
      <c r="J112" s="211">
        <f t="shared" si="58"/>
        <v>0</v>
      </c>
      <c r="K112" s="211">
        <f t="shared" si="58"/>
        <v>0</v>
      </c>
      <c r="L112" s="211">
        <f t="shared" si="58"/>
        <v>0</v>
      </c>
      <c r="M112" s="211">
        <f t="shared" si="58"/>
        <v>0</v>
      </c>
      <c r="N112" s="211">
        <f t="shared" si="58"/>
        <v>0</v>
      </c>
      <c r="O112" s="211">
        <f t="shared" si="58"/>
        <v>0</v>
      </c>
    </row>
  </sheetData>
  <mergeCells count="1">
    <mergeCell ref="B3:C3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7" workbookViewId="0">
      <selection activeCell="B56" sqref="B56"/>
    </sheetView>
  </sheetViews>
  <sheetFormatPr defaultRowHeight="12.75" x14ac:dyDescent="0.2"/>
  <cols>
    <col min="2" max="2" width="31.28515625" bestFit="1" customWidth="1"/>
    <col min="3" max="3" width="12.42578125" customWidth="1"/>
    <col min="4" max="4" width="16.28515625" customWidth="1"/>
    <col min="5" max="5" width="13.7109375" customWidth="1"/>
    <col min="6" max="6" width="16.85546875" customWidth="1"/>
  </cols>
  <sheetData>
    <row r="1" spans="1:6" x14ac:dyDescent="0.2">
      <c r="A1" s="1" t="s">
        <v>378</v>
      </c>
      <c r="D1" s="1" t="s">
        <v>379</v>
      </c>
    </row>
    <row r="3" spans="1:6" x14ac:dyDescent="0.2">
      <c r="C3" s="1" t="s">
        <v>380</v>
      </c>
      <c r="D3" s="1"/>
      <c r="E3" s="188"/>
      <c r="F3" s="188"/>
    </row>
    <row r="4" spans="1:6" ht="15" x14ac:dyDescent="0.25">
      <c r="A4" s="5"/>
      <c r="B4" s="189" t="s">
        <v>381</v>
      </c>
    </row>
    <row r="5" spans="1:6" x14ac:dyDescent="0.2">
      <c r="A5" s="5">
        <v>1</v>
      </c>
      <c r="B5" s="190" t="s">
        <v>382</v>
      </c>
      <c r="C5" t="s">
        <v>260</v>
      </c>
      <c r="D5" s="1"/>
      <c r="E5" s="1"/>
      <c r="F5" s="1"/>
    </row>
    <row r="6" spans="1:6" x14ac:dyDescent="0.2">
      <c r="A6" s="5">
        <v>2</v>
      </c>
      <c r="B6" s="190" t="s">
        <v>383</v>
      </c>
      <c r="C6" t="s">
        <v>260</v>
      </c>
    </row>
    <row r="7" spans="1:6" x14ac:dyDescent="0.2">
      <c r="A7" s="5">
        <v>3</v>
      </c>
      <c r="B7" s="190" t="s">
        <v>384</v>
      </c>
      <c r="C7" t="s">
        <v>260</v>
      </c>
    </row>
    <row r="8" spans="1:6" ht="15" x14ac:dyDescent="0.25">
      <c r="A8" s="5"/>
      <c r="B8" s="189" t="s">
        <v>385</v>
      </c>
    </row>
    <row r="9" spans="1:6" x14ac:dyDescent="0.2">
      <c r="A9" s="5">
        <v>4</v>
      </c>
      <c r="B9" s="190" t="s">
        <v>386</v>
      </c>
      <c r="C9" t="s">
        <v>260</v>
      </c>
    </row>
    <row r="10" spans="1:6" x14ac:dyDescent="0.2">
      <c r="A10" s="5">
        <v>5</v>
      </c>
      <c r="B10" s="190" t="s">
        <v>387</v>
      </c>
      <c r="C10" t="s">
        <v>260</v>
      </c>
    </row>
    <row r="11" spans="1:6" x14ac:dyDescent="0.2">
      <c r="A11" s="5">
        <v>6</v>
      </c>
      <c r="B11" s="190" t="s">
        <v>388</v>
      </c>
      <c r="C11" t="s">
        <v>260</v>
      </c>
    </row>
    <row r="12" spans="1:6" ht="15" x14ac:dyDescent="0.25">
      <c r="A12" s="5"/>
      <c r="B12" s="189" t="s">
        <v>389</v>
      </c>
    </row>
    <row r="13" spans="1:6" x14ac:dyDescent="0.2">
      <c r="A13" s="5">
        <v>7</v>
      </c>
      <c r="B13" s="190" t="s">
        <v>390</v>
      </c>
      <c r="C13" t="s">
        <v>260</v>
      </c>
    </row>
    <row r="14" spans="1:6" x14ac:dyDescent="0.2">
      <c r="A14" s="5">
        <v>8</v>
      </c>
      <c r="B14" s="190" t="s">
        <v>391</v>
      </c>
      <c r="C14" t="s">
        <v>260</v>
      </c>
    </row>
    <row r="15" spans="1:6" x14ac:dyDescent="0.2">
      <c r="A15" s="5">
        <v>9</v>
      </c>
      <c r="B15" s="190" t="s">
        <v>392</v>
      </c>
      <c r="C15" t="s">
        <v>260</v>
      </c>
    </row>
    <row r="16" spans="1:6" x14ac:dyDescent="0.2">
      <c r="A16" s="5">
        <v>10</v>
      </c>
      <c r="B16" s="190" t="s">
        <v>133</v>
      </c>
      <c r="C16" t="s">
        <v>260</v>
      </c>
    </row>
    <row r="17" spans="1:3" x14ac:dyDescent="0.2">
      <c r="A17" s="5">
        <v>11</v>
      </c>
      <c r="B17" s="190" t="s">
        <v>393</v>
      </c>
      <c r="C17" t="s">
        <v>260</v>
      </c>
    </row>
    <row r="18" spans="1:3" x14ac:dyDescent="0.2">
      <c r="A18" s="5">
        <v>12</v>
      </c>
      <c r="B18" s="190" t="s">
        <v>394</v>
      </c>
      <c r="C18" t="s">
        <v>260</v>
      </c>
    </row>
    <row r="19" spans="1:3" x14ac:dyDescent="0.2">
      <c r="A19" s="5">
        <v>13</v>
      </c>
      <c r="B19" s="190" t="s">
        <v>395</v>
      </c>
      <c r="C19" t="s">
        <v>260</v>
      </c>
    </row>
    <row r="20" spans="1:3" x14ac:dyDescent="0.2">
      <c r="A20" s="5">
        <v>14</v>
      </c>
      <c r="B20" s="190" t="s">
        <v>396</v>
      </c>
      <c r="C20" t="s">
        <v>260</v>
      </c>
    </row>
    <row r="21" spans="1:3" ht="15" x14ac:dyDescent="0.25">
      <c r="A21" s="5"/>
      <c r="B21" s="191" t="s">
        <v>397</v>
      </c>
    </row>
    <row r="22" spans="1:3" x14ac:dyDescent="0.2">
      <c r="A22" s="5">
        <v>15</v>
      </c>
      <c r="B22" s="190" t="s">
        <v>398</v>
      </c>
      <c r="C22" t="s">
        <v>260</v>
      </c>
    </row>
    <row r="23" spans="1:3" x14ac:dyDescent="0.2">
      <c r="A23" s="5">
        <v>16</v>
      </c>
      <c r="B23" s="190" t="s">
        <v>399</v>
      </c>
      <c r="C23" t="s">
        <v>260</v>
      </c>
    </row>
    <row r="24" spans="1:3" x14ac:dyDescent="0.2">
      <c r="A24" s="5">
        <v>17</v>
      </c>
      <c r="B24" s="190" t="s">
        <v>400</v>
      </c>
      <c r="C24" t="s">
        <v>260</v>
      </c>
    </row>
    <row r="25" spans="1:3" x14ac:dyDescent="0.2">
      <c r="A25" s="5">
        <v>18</v>
      </c>
      <c r="B25" s="190" t="s">
        <v>401</v>
      </c>
      <c r="C25" t="s">
        <v>260</v>
      </c>
    </row>
    <row r="26" spans="1:3" x14ac:dyDescent="0.2">
      <c r="A26" s="5">
        <v>19</v>
      </c>
      <c r="B26" s="190" t="s">
        <v>402</v>
      </c>
      <c r="C26" t="s">
        <v>260</v>
      </c>
    </row>
    <row r="27" spans="1:3" x14ac:dyDescent="0.2">
      <c r="A27" s="5">
        <v>20</v>
      </c>
      <c r="B27" s="190" t="s">
        <v>403</v>
      </c>
      <c r="C27" t="s">
        <v>260</v>
      </c>
    </row>
    <row r="28" spans="1:3" ht="15" x14ac:dyDescent="0.25">
      <c r="A28" s="5"/>
      <c r="B28" s="189" t="s">
        <v>404</v>
      </c>
    </row>
    <row r="29" spans="1:3" x14ac:dyDescent="0.2">
      <c r="A29" s="5">
        <v>21</v>
      </c>
      <c r="B29" s="190" t="s">
        <v>405</v>
      </c>
      <c r="C29" t="s">
        <v>260</v>
      </c>
    </row>
    <row r="30" spans="1:3" x14ac:dyDescent="0.2">
      <c r="A30" s="5">
        <v>22</v>
      </c>
      <c r="B30" s="190" t="s">
        <v>406</v>
      </c>
      <c r="C30" t="s">
        <v>260</v>
      </c>
    </row>
    <row r="31" spans="1:3" x14ac:dyDescent="0.2">
      <c r="A31" s="5">
        <v>23</v>
      </c>
      <c r="B31" s="190" t="s">
        <v>407</v>
      </c>
      <c r="C31" t="s">
        <v>260</v>
      </c>
    </row>
    <row r="32" spans="1:3" x14ac:dyDescent="0.2">
      <c r="A32" s="5">
        <v>24</v>
      </c>
      <c r="B32" s="190" t="s">
        <v>408</v>
      </c>
      <c r="C32" t="s">
        <v>260</v>
      </c>
    </row>
    <row r="33" spans="1:3" x14ac:dyDescent="0.2">
      <c r="A33" s="5">
        <v>25</v>
      </c>
      <c r="B33" s="190" t="s">
        <v>409</v>
      </c>
      <c r="C33" t="s">
        <v>260</v>
      </c>
    </row>
    <row r="34" spans="1:3" x14ac:dyDescent="0.2">
      <c r="A34" s="5">
        <v>26</v>
      </c>
      <c r="B34" s="190" t="s">
        <v>410</v>
      </c>
      <c r="C34" t="s">
        <v>260</v>
      </c>
    </row>
    <row r="35" spans="1:3" x14ac:dyDescent="0.2">
      <c r="A35" s="5">
        <v>27</v>
      </c>
      <c r="B35" s="190" t="s">
        <v>411</v>
      </c>
      <c r="C35" t="s">
        <v>260</v>
      </c>
    </row>
    <row r="36" spans="1:3" x14ac:dyDescent="0.2">
      <c r="A36" s="5">
        <v>28</v>
      </c>
      <c r="B36" s="190" t="s">
        <v>412</v>
      </c>
      <c r="C36" t="s">
        <v>260</v>
      </c>
    </row>
    <row r="37" spans="1:3" x14ac:dyDescent="0.2">
      <c r="A37" s="5">
        <v>29</v>
      </c>
      <c r="B37" s="190" t="s">
        <v>413</v>
      </c>
      <c r="C37" t="s">
        <v>260</v>
      </c>
    </row>
    <row r="38" spans="1:3" x14ac:dyDescent="0.2">
      <c r="A38" s="5">
        <v>30</v>
      </c>
      <c r="B38" s="190" t="s">
        <v>414</v>
      </c>
      <c r="C38" t="s">
        <v>260</v>
      </c>
    </row>
    <row r="41" spans="1:3" x14ac:dyDescent="0.2">
      <c r="C41" s="1" t="s">
        <v>260</v>
      </c>
    </row>
    <row r="42" spans="1:3" x14ac:dyDescent="0.2">
      <c r="C42" s="1" t="s">
        <v>303</v>
      </c>
    </row>
  </sheetData>
  <dataValidations count="1">
    <dataValidation type="list" allowBlank="1" showInputMessage="1" showErrorMessage="1" sqref="C5:C38">
      <formula1>$C$41:$C$42</formula1>
    </dataValidation>
  </dataValidation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H39" sqref="H39"/>
    </sheetView>
  </sheetViews>
  <sheetFormatPr defaultRowHeight="12.75" x14ac:dyDescent="0.2"/>
  <cols>
    <col min="1" max="1" width="27.85546875" bestFit="1" customWidth="1"/>
    <col min="2" max="2" width="17.85546875" customWidth="1"/>
    <col min="3" max="3" width="13.7109375" customWidth="1"/>
    <col min="4" max="4" width="20.85546875" customWidth="1"/>
    <col min="5" max="5" width="14.140625" customWidth="1"/>
    <col min="6" max="6" width="15.42578125" customWidth="1"/>
    <col min="8" max="8" width="23.140625" bestFit="1" customWidth="1"/>
    <col min="10" max="10" width="13.28515625" bestFit="1" customWidth="1"/>
  </cols>
  <sheetData>
    <row r="1" spans="1:6" ht="15" x14ac:dyDescent="0.25">
      <c r="A1" s="280" t="s">
        <v>415</v>
      </c>
      <c r="B1" s="280"/>
      <c r="C1" s="280"/>
      <c r="D1" s="280"/>
      <c r="E1" s="280"/>
      <c r="F1" s="280"/>
    </row>
    <row r="2" spans="1:6" x14ac:dyDescent="0.2">
      <c r="A2" s="1"/>
    </row>
    <row r="3" spans="1:6" ht="13.5" thickBot="1" x14ac:dyDescent="0.25">
      <c r="A3" s="140" t="s">
        <v>644</v>
      </c>
    </row>
    <row r="4" spans="1:6" ht="16.5" thickTop="1" thickBot="1" x14ac:dyDescent="0.3">
      <c r="A4" s="192">
        <v>41142</v>
      </c>
    </row>
    <row r="5" spans="1:6" ht="13.5" thickTop="1" x14ac:dyDescent="0.2"/>
    <row r="6" spans="1:6" ht="15" x14ac:dyDescent="0.25">
      <c r="A6" s="283" t="s">
        <v>633</v>
      </c>
      <c r="B6" s="283"/>
      <c r="C6" s="283"/>
      <c r="D6" s="283"/>
    </row>
    <row r="7" spans="1:6" x14ac:dyDescent="0.2">
      <c r="A7" s="1" t="s">
        <v>547</v>
      </c>
      <c r="B7" s="244" t="s">
        <v>632</v>
      </c>
      <c r="C7" s="140" t="s">
        <v>548</v>
      </c>
      <c r="D7" s="140" t="s">
        <v>551</v>
      </c>
    </row>
    <row r="8" spans="1:6" ht="15" x14ac:dyDescent="0.25">
      <c r="A8" s="221"/>
      <c r="B8" s="117">
        <v>1000000</v>
      </c>
      <c r="C8" s="221">
        <v>30</v>
      </c>
      <c r="D8" s="124">
        <f>B8/C8*30</f>
        <v>1000000.0000000001</v>
      </c>
    </row>
    <row r="9" spans="1:6" ht="15" x14ac:dyDescent="0.25">
      <c r="A9" s="221"/>
      <c r="B9" s="117">
        <v>1000000</v>
      </c>
      <c r="C9" s="221">
        <v>30</v>
      </c>
      <c r="D9" s="124">
        <f>B9/C9*30</f>
        <v>1000000.0000000001</v>
      </c>
    </row>
    <row r="10" spans="1:6" ht="15" x14ac:dyDescent="0.25">
      <c r="A10" s="221"/>
      <c r="B10" s="117">
        <v>1000000</v>
      </c>
      <c r="C10" s="221">
        <v>30</v>
      </c>
      <c r="D10" s="124">
        <f>B10/C10*30</f>
        <v>1000000.0000000001</v>
      </c>
    </row>
    <row r="11" spans="1:6" ht="15" x14ac:dyDescent="0.25">
      <c r="A11" s="221"/>
      <c r="B11" s="117">
        <v>1000000</v>
      </c>
      <c r="C11" s="221">
        <v>30</v>
      </c>
      <c r="D11" s="124">
        <f>B11/C11*30</f>
        <v>1000000.0000000001</v>
      </c>
    </row>
    <row r="13" spans="1:6" ht="15" x14ac:dyDescent="0.25">
      <c r="B13" s="124">
        <f>SUM(B8:B11)</f>
        <v>4000000</v>
      </c>
      <c r="C13" s="223">
        <f>SUMPRODUCT(D8:D11,C8:C11)/D13</f>
        <v>30</v>
      </c>
      <c r="D13" s="124">
        <f>SUM(D8:D11)</f>
        <v>4000000.0000000005</v>
      </c>
    </row>
    <row r="15" spans="1:6" ht="15" x14ac:dyDescent="0.25">
      <c r="A15" s="283" t="s">
        <v>634</v>
      </c>
      <c r="B15" s="283"/>
      <c r="C15" s="283"/>
      <c r="D15" s="283"/>
    </row>
    <row r="16" spans="1:6" ht="13.5" thickBot="1" x14ac:dyDescent="0.25">
      <c r="A16" t="s">
        <v>549</v>
      </c>
      <c r="B16" t="s">
        <v>416</v>
      </c>
      <c r="C16" s="140" t="s">
        <v>550</v>
      </c>
      <c r="D16" s="140" t="s">
        <v>660</v>
      </c>
    </row>
    <row r="17" spans="1:4" ht="16.5" thickTop="1" thickBot="1" x14ac:dyDescent="0.3">
      <c r="A17" s="221" t="s">
        <v>635</v>
      </c>
      <c r="B17" s="224">
        <v>9.7999999999999997E-3</v>
      </c>
      <c r="C17" s="222">
        <v>4000000</v>
      </c>
      <c r="D17" s="255">
        <v>3.0000000000000001E-3</v>
      </c>
    </row>
    <row r="18" spans="1:4" ht="16.5" thickTop="1" thickBot="1" x14ac:dyDescent="0.3">
      <c r="A18" s="221" t="s">
        <v>636</v>
      </c>
      <c r="B18" s="224">
        <v>1.15E-2</v>
      </c>
      <c r="C18" s="222">
        <v>2000000</v>
      </c>
      <c r="D18" s="255">
        <v>3.0000000000000001E-3</v>
      </c>
    </row>
    <row r="19" spans="1:4" ht="16.5" thickTop="1" thickBot="1" x14ac:dyDescent="0.3">
      <c r="A19" s="221" t="s">
        <v>637</v>
      </c>
      <c r="B19" s="224">
        <v>1.14E-2</v>
      </c>
      <c r="C19" s="222">
        <v>3000000</v>
      </c>
      <c r="D19" s="255">
        <v>3.0000000000000001E-3</v>
      </c>
    </row>
    <row r="20" spans="1:4" ht="15.75" thickTop="1" x14ac:dyDescent="0.25">
      <c r="A20" s="221" t="s">
        <v>645</v>
      </c>
      <c r="B20" s="246">
        <f>SUMPRODUCT(C17:C19,B17:B19)/C20</f>
        <v>1.071111111111111E-2</v>
      </c>
      <c r="C20" s="245">
        <f>SUM(C17:C19)</f>
        <v>9000000</v>
      </c>
      <c r="D20" s="254">
        <f>SUMPRODUCT(C17:C19,D17:D19)/C20</f>
        <v>3.0000000000000001E-3</v>
      </c>
    </row>
    <row r="22" spans="1:4" ht="15" x14ac:dyDescent="0.25">
      <c r="A22" s="252" t="s">
        <v>641</v>
      </c>
      <c r="B22" s="252"/>
      <c r="C22" s="252"/>
    </row>
    <row r="23" spans="1:4" ht="13.5" thickBot="1" x14ac:dyDescent="0.25">
      <c r="A23" t="s">
        <v>549</v>
      </c>
      <c r="B23" t="s">
        <v>416</v>
      </c>
      <c r="C23" s="140" t="s">
        <v>550</v>
      </c>
      <c r="D23" s="140" t="s">
        <v>660</v>
      </c>
    </row>
    <row r="24" spans="1:4" ht="16.5" thickTop="1" thickBot="1" x14ac:dyDescent="0.3">
      <c r="A24" s="221" t="s">
        <v>638</v>
      </c>
      <c r="B24" s="224">
        <v>1.2999999999999999E-2</v>
      </c>
      <c r="C24" s="222">
        <v>2000000</v>
      </c>
      <c r="D24" s="255">
        <v>3.0000000000000001E-3</v>
      </c>
    </row>
    <row r="25" spans="1:4" ht="16.5" thickTop="1" thickBot="1" x14ac:dyDescent="0.3">
      <c r="A25" s="221" t="s">
        <v>640</v>
      </c>
      <c r="B25" s="224">
        <v>9.7999999999999997E-3</v>
      </c>
      <c r="C25" s="222">
        <v>1000000</v>
      </c>
      <c r="D25" s="255">
        <v>3.0000000000000001E-3</v>
      </c>
    </row>
    <row r="26" spans="1:4" ht="15.75" thickTop="1" x14ac:dyDescent="0.25">
      <c r="A26" s="221" t="s">
        <v>645</v>
      </c>
      <c r="B26" s="247">
        <f>SUMPRODUCT($C24:$C25,B24:B25)/$C$26</f>
        <v>1.1933333333333334E-2</v>
      </c>
      <c r="C26" s="248">
        <f>C24+C25</f>
        <v>3000000</v>
      </c>
      <c r="D26" s="60">
        <f>SUMPRODUCT(C24:C25,D24:D25)/C26</f>
        <v>3.0000000000000001E-3</v>
      </c>
    </row>
    <row r="28" spans="1:4" ht="15" x14ac:dyDescent="0.25">
      <c r="A28" s="283" t="s">
        <v>642</v>
      </c>
      <c r="B28" s="283"/>
      <c r="C28" s="283"/>
    </row>
    <row r="29" spans="1:4" ht="13.5" thickBot="1" x14ac:dyDescent="0.25">
      <c r="A29" t="s">
        <v>549</v>
      </c>
      <c r="B29" t="s">
        <v>416</v>
      </c>
      <c r="C29" s="140" t="s">
        <v>550</v>
      </c>
      <c r="D29" s="140" t="s">
        <v>660</v>
      </c>
    </row>
    <row r="30" spans="1:4" ht="16.5" thickTop="1" thickBot="1" x14ac:dyDescent="0.3">
      <c r="A30" s="221" t="s">
        <v>643</v>
      </c>
      <c r="B30" s="224">
        <v>1.7000000000000001E-2</v>
      </c>
      <c r="C30" s="222">
        <v>2000000</v>
      </c>
      <c r="D30" s="255">
        <v>3.0000000000000001E-3</v>
      </c>
    </row>
    <row r="31" spans="1:4" ht="16.5" thickTop="1" thickBot="1" x14ac:dyDescent="0.3">
      <c r="A31" s="221" t="s">
        <v>639</v>
      </c>
      <c r="B31" s="224">
        <v>1.6500000000000001E-2</v>
      </c>
      <c r="C31" s="222">
        <v>1000000</v>
      </c>
      <c r="D31" s="255">
        <v>3.0000000000000001E-3</v>
      </c>
    </row>
    <row r="32" spans="1:4" ht="15.75" thickTop="1" x14ac:dyDescent="0.25">
      <c r="A32" s="221" t="s">
        <v>645</v>
      </c>
      <c r="B32" s="60">
        <f>SUMPRODUCT($C30:$C31,B30:B31)/$C$32</f>
        <v>1.6833333333333332E-2</v>
      </c>
      <c r="C32" s="249">
        <f>C30+C31</f>
        <v>3000000</v>
      </c>
      <c r="D32" s="60">
        <f>SUMPRODUCT(C30:C31,D30:D31)/C32</f>
        <v>3.0000000000000001E-3</v>
      </c>
    </row>
    <row r="34" spans="1:3" ht="15" x14ac:dyDescent="0.25">
      <c r="A34" s="300" t="s">
        <v>658</v>
      </c>
      <c r="B34" s="300"/>
      <c r="C34" s="300"/>
    </row>
    <row r="35" spans="1:3" ht="15" x14ac:dyDescent="0.25">
      <c r="A35" s="251" t="s">
        <v>659</v>
      </c>
      <c r="B35" s="225">
        <v>4.1E-5</v>
      </c>
    </row>
    <row r="36" spans="1:3" ht="15" x14ac:dyDescent="0.25">
      <c r="A36" s="251" t="s">
        <v>661</v>
      </c>
      <c r="B36" s="224">
        <v>3.8E-3</v>
      </c>
    </row>
  </sheetData>
  <mergeCells count="5">
    <mergeCell ref="A34:C34"/>
    <mergeCell ref="A15:D15"/>
    <mergeCell ref="A28:C28"/>
    <mergeCell ref="A1:F1"/>
    <mergeCell ref="A6:D6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35"/>
  <sheetViews>
    <sheetView topLeftCell="C1" workbookViewId="0">
      <selection activeCell="E10" sqref="E10"/>
    </sheetView>
  </sheetViews>
  <sheetFormatPr defaultColWidth="9.140625" defaultRowHeight="12.75" x14ac:dyDescent="0.2"/>
  <cols>
    <col min="1" max="2" width="10.7109375" style="5" customWidth="1"/>
    <col min="3" max="3" width="35.140625" style="5" bestFit="1" customWidth="1"/>
    <col min="4" max="4" width="18.140625" style="5" customWidth="1"/>
    <col min="5" max="5" width="35.140625" style="5" bestFit="1" customWidth="1"/>
    <col min="6" max="6" width="42.7109375" style="5" hidden="1" customWidth="1"/>
    <col min="7" max="7" width="11.7109375" style="5" customWidth="1"/>
    <col min="8" max="16" width="10.5703125" style="5" bestFit="1" customWidth="1"/>
    <col min="17" max="17" width="11.42578125" style="5" bestFit="1" customWidth="1"/>
    <col min="18" max="18" width="10.5703125" style="5" bestFit="1" customWidth="1"/>
    <col min="19" max="19" width="11.5703125" style="5" bestFit="1" customWidth="1"/>
    <col min="20" max="16384" width="9.140625" style="5"/>
  </cols>
  <sheetData>
    <row r="1" spans="1:19" x14ac:dyDescent="0.2">
      <c r="A1" s="298"/>
      <c r="B1" s="298"/>
      <c r="C1" s="127"/>
      <c r="D1" s="127"/>
      <c r="E1" s="127"/>
    </row>
    <row r="2" spans="1:19" x14ac:dyDescent="0.2">
      <c r="A2" s="301" t="s">
        <v>469</v>
      </c>
      <c r="B2" s="301"/>
      <c r="C2" s="301"/>
      <c r="D2" s="301"/>
      <c r="E2" s="6"/>
    </row>
    <row r="3" spans="1:19" x14ac:dyDescent="0.2">
      <c r="A3" s="10"/>
      <c r="B3" s="10"/>
      <c r="C3" s="10"/>
      <c r="D3" s="10"/>
      <c r="E3" s="10"/>
    </row>
    <row r="4" spans="1:19" x14ac:dyDescent="0.2">
      <c r="A4" s="10"/>
      <c r="B4" s="10"/>
      <c r="C4" s="10" t="s">
        <v>307</v>
      </c>
      <c r="D4" s="10" t="s">
        <v>19</v>
      </c>
      <c r="E4" s="10" t="s">
        <v>460</v>
      </c>
    </row>
    <row r="5" spans="1:19" x14ac:dyDescent="0.2">
      <c r="A5" s="10"/>
      <c r="B5" s="10"/>
      <c r="C5" s="10"/>
      <c r="D5" s="10"/>
      <c r="E5" s="10"/>
      <c r="G5" s="6" t="s">
        <v>96</v>
      </c>
      <c r="H5" s="6" t="s">
        <v>97</v>
      </c>
      <c r="I5" s="6" t="s">
        <v>98</v>
      </c>
      <c r="J5" s="6" t="s">
        <v>99</v>
      </c>
      <c r="K5" s="6" t="s">
        <v>100</v>
      </c>
      <c r="L5" s="6" t="s">
        <v>101</v>
      </c>
      <c r="M5" s="6" t="s">
        <v>102</v>
      </c>
      <c r="N5" s="6" t="s">
        <v>103</v>
      </c>
      <c r="O5" s="6" t="s">
        <v>104</v>
      </c>
      <c r="P5" s="6" t="s">
        <v>105</v>
      </c>
      <c r="Q5" s="6" t="s">
        <v>106</v>
      </c>
      <c r="R5" s="6" t="s">
        <v>107</v>
      </c>
      <c r="S5" s="5" t="s">
        <v>28</v>
      </c>
    </row>
    <row r="6" spans="1:19" x14ac:dyDescent="0.2">
      <c r="A6" s="8">
        <f>'Parametriza 2'!A8</f>
        <v>3400</v>
      </c>
      <c r="B6" s="8"/>
      <c r="C6" s="8" t="str">
        <f>'Parametriza 2'!C8</f>
        <v>Despesas Operacionais</v>
      </c>
      <c r="D6" s="8"/>
      <c r="E6" s="8"/>
      <c r="F6" s="13"/>
    </row>
    <row r="7" spans="1:19" x14ac:dyDescent="0.2">
      <c r="A7" s="8">
        <f>'Parametriza 2'!A9</f>
        <v>3401</v>
      </c>
      <c r="B7" s="8"/>
      <c r="C7" s="8" t="str">
        <f>'Parametriza 2'!C9</f>
        <v>Despesas Administrativas</v>
      </c>
      <c r="D7" s="8"/>
      <c r="E7" s="8"/>
      <c r="F7" s="13"/>
    </row>
    <row r="8" spans="1:19" ht="15" x14ac:dyDescent="0.25">
      <c r="A8" s="8">
        <f>'Parametriza 2'!A10</f>
        <v>3401</v>
      </c>
      <c r="B8" s="8">
        <f>'Parametriza 2'!B10</f>
        <v>1</v>
      </c>
      <c r="C8" s="8" t="str">
        <f>'Parametriza 2'!C10</f>
        <v>Despesas com Administradores</v>
      </c>
      <c r="D8" s="8" t="str">
        <f>'Parametriza 2'!D10</f>
        <v>Despesa Fixa</v>
      </c>
      <c r="E8" s="8" t="str">
        <f>'Parametriza 2'!E10</f>
        <v>21003Salários e Encargos Sociais</v>
      </c>
      <c r="F8" s="13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24">
        <f t="shared" ref="S8:S13" si="0">SUM(G8:R8)</f>
        <v>0</v>
      </c>
    </row>
    <row r="9" spans="1:19" ht="15" x14ac:dyDescent="0.25">
      <c r="A9" s="8">
        <f>'Parametriza 2'!A11</f>
        <v>3401</v>
      </c>
      <c r="B9" s="8">
        <f>'Parametriza 2'!B11</f>
        <v>2</v>
      </c>
      <c r="C9" s="8" t="str">
        <f>'Parametriza 2'!C11</f>
        <v xml:space="preserve">Despesas com o Pessoal </v>
      </c>
      <c r="D9" s="8" t="str">
        <f>'Parametriza 2'!D11</f>
        <v>Despesa Fixa</v>
      </c>
      <c r="E9" s="8" t="str">
        <f>'Parametriza 2'!E11</f>
        <v>21003Salários e Encargos Sociais</v>
      </c>
      <c r="F9" s="13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24">
        <f t="shared" si="0"/>
        <v>0</v>
      </c>
    </row>
    <row r="10" spans="1:19" ht="15" x14ac:dyDescent="0.25">
      <c r="A10" s="8">
        <f>'Parametriza 2'!A12</f>
        <v>3401</v>
      </c>
      <c r="B10" s="8">
        <f>'Parametriza 2'!B12</f>
        <v>3</v>
      </c>
      <c r="C10" s="8" t="str">
        <f>'Parametriza 2'!C12</f>
        <v xml:space="preserve">Despesas com Ocupação </v>
      </c>
      <c r="D10" s="8" t="str">
        <f>'Parametriza 2'!D12</f>
        <v>Despesa Fixa</v>
      </c>
      <c r="E10" s="8" t="str">
        <f>'Parametriza 2'!E12</f>
        <v>21006Contas a Pagar</v>
      </c>
      <c r="F10" s="11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24">
        <f t="shared" si="0"/>
        <v>0</v>
      </c>
    </row>
    <row r="11" spans="1:19" ht="15" x14ac:dyDescent="0.25">
      <c r="A11" s="8">
        <f>'Parametriza 2'!A13</f>
        <v>3401</v>
      </c>
      <c r="B11" s="8">
        <f>'Parametriza 2'!B13</f>
        <v>4</v>
      </c>
      <c r="C11" s="8" t="str">
        <f>'Parametriza 2'!C13</f>
        <v>Despesas com Utilidades</v>
      </c>
      <c r="D11" s="8" t="str">
        <f>'Parametriza 2'!D13</f>
        <v>Despesa Fixa</v>
      </c>
      <c r="E11" s="8" t="str">
        <f>'Parametriza 2'!E13</f>
        <v>21006Contas a Pagar</v>
      </c>
      <c r="F11" s="11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24">
        <f t="shared" si="0"/>
        <v>0</v>
      </c>
    </row>
    <row r="12" spans="1:19" ht="15" x14ac:dyDescent="0.25">
      <c r="A12" s="8">
        <f>'Parametriza 2'!A14</f>
        <v>3401</v>
      </c>
      <c r="B12" s="8">
        <f>'Parametriza 2'!B14</f>
        <v>5</v>
      </c>
      <c r="C12" s="8" t="str">
        <f>'Parametriza 2'!C14</f>
        <v xml:space="preserve">Despesas  Gerais </v>
      </c>
      <c r="D12" s="8" t="str">
        <f>'Parametriza 2'!D14</f>
        <v>Despesa Fixa</v>
      </c>
      <c r="E12" s="8" t="str">
        <f>'Parametriza 2'!E14</f>
        <v>21006Contas a Pagar</v>
      </c>
      <c r="F12" s="13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24">
        <f t="shared" si="0"/>
        <v>0</v>
      </c>
    </row>
    <row r="13" spans="1:19" ht="15" x14ac:dyDescent="0.25">
      <c r="A13" s="8">
        <f>'Parametriza 2'!A15</f>
        <v>3401</v>
      </c>
      <c r="B13" s="8">
        <f>'Parametriza 2'!B15</f>
        <v>99</v>
      </c>
      <c r="C13" s="8" t="str">
        <f>'Parametriza 2'!C15</f>
        <v>Depreciações e Amort. Administ.</v>
      </c>
      <c r="D13" s="8" t="str">
        <f>'Parametriza 2'!D15</f>
        <v>Despesa Fixa</v>
      </c>
      <c r="E13" s="8" t="str">
        <f>'Parametriza 2'!E15</f>
        <v>12032Depreciação Acumulada</v>
      </c>
      <c r="F13" s="13"/>
      <c r="G13" s="93">
        <f>'Parametriza 4'!D49</f>
        <v>0</v>
      </c>
      <c r="H13" s="93">
        <f>'Parametriza 4'!E49</f>
        <v>0</v>
      </c>
      <c r="I13" s="93">
        <f>'Parametriza 4'!F49</f>
        <v>0</v>
      </c>
      <c r="J13" s="93">
        <f>'Parametriza 4'!G49</f>
        <v>0</v>
      </c>
      <c r="K13" s="93">
        <f>'Parametriza 4'!H49</f>
        <v>0</v>
      </c>
      <c r="L13" s="93">
        <f>'Parametriza 4'!I49</f>
        <v>0</v>
      </c>
      <c r="M13" s="93">
        <f>'Parametriza 4'!J49</f>
        <v>0</v>
      </c>
      <c r="N13" s="93">
        <f>'Parametriza 4'!K49</f>
        <v>0</v>
      </c>
      <c r="O13" s="93">
        <f>'Parametriza 4'!L49</f>
        <v>0</v>
      </c>
      <c r="P13" s="93">
        <f>'Parametriza 4'!M49</f>
        <v>0</v>
      </c>
      <c r="Q13" s="93">
        <f>'Parametriza 4'!N49</f>
        <v>0</v>
      </c>
      <c r="R13" s="93">
        <f>'Parametriza 4'!O49</f>
        <v>0</v>
      </c>
      <c r="S13" s="124">
        <f t="shared" si="0"/>
        <v>0</v>
      </c>
    </row>
    <row r="14" spans="1:19" x14ac:dyDescent="0.2">
      <c r="A14" s="8">
        <f>'Parametriza 2'!A16</f>
        <v>3500</v>
      </c>
      <c r="B14" s="8"/>
      <c r="C14" s="8" t="str">
        <f>'Parametriza 2'!C16</f>
        <v>Despesas Comerciais</v>
      </c>
      <c r="D14" s="8"/>
      <c r="E14" s="8"/>
      <c r="F14" s="13"/>
      <c r="S14" s="95">
        <f t="shared" ref="S14" si="1">SUM(G14:R14)</f>
        <v>0</v>
      </c>
    </row>
    <row r="15" spans="1:19" ht="15" x14ac:dyDescent="0.25">
      <c r="A15" s="8">
        <f>'Parametriza 2'!A17</f>
        <v>3500</v>
      </c>
      <c r="B15" s="8">
        <f>'Parametriza 2'!B17</f>
        <v>1</v>
      </c>
      <c r="C15" s="8" t="str">
        <f>'Parametriza 2'!C17</f>
        <v>Comissões</v>
      </c>
      <c r="D15" s="8" t="str">
        <f>'Parametriza 2'!D17</f>
        <v>Despesa Variável</v>
      </c>
      <c r="E15" s="8" t="str">
        <f>'Parametriza 2'!E17</f>
        <v>21006Contas a Pagar</v>
      </c>
      <c r="F15" s="13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24"/>
    </row>
    <row r="16" spans="1:19" ht="15" x14ac:dyDescent="0.25">
      <c r="A16" s="8">
        <f>'Parametriza 2'!A18</f>
        <v>3500</v>
      </c>
      <c r="B16" s="8">
        <f>'Parametriza 2'!B18</f>
        <v>2</v>
      </c>
      <c r="C16" s="8" t="str">
        <f>'Parametriza 2'!C18</f>
        <v>Fretes</v>
      </c>
      <c r="D16" s="8" t="str">
        <f>'Parametriza 2'!D18</f>
        <v>Despesa Variável</v>
      </c>
      <c r="E16" s="8" t="str">
        <f>'Parametriza 2'!E18</f>
        <v>21006Contas a Pagar</v>
      </c>
      <c r="F16" s="13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24"/>
    </row>
    <row r="17" spans="1:19" ht="15" x14ac:dyDescent="0.25">
      <c r="A17" s="8">
        <f>'Parametriza 2'!A19</f>
        <v>3500</v>
      </c>
      <c r="B17" s="8">
        <f>'Parametriza 2'!B19</f>
        <v>3</v>
      </c>
      <c r="C17" s="8" t="str">
        <f>'Parametriza 2'!C19</f>
        <v>Despesas com o Pessoal Comercial</v>
      </c>
      <c r="D17" s="8" t="str">
        <f>'Parametriza 2'!D19</f>
        <v>Despesa Fixa</v>
      </c>
      <c r="E17" s="8" t="str">
        <f>'Parametriza 2'!E19</f>
        <v>21003Salários e Encargos Sociais</v>
      </c>
      <c r="F17" s="13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24">
        <f t="shared" ref="S17:S20" si="2">SUM(G17:R17)</f>
        <v>0</v>
      </c>
    </row>
    <row r="18" spans="1:19" ht="15" x14ac:dyDescent="0.25">
      <c r="A18" s="8">
        <f>'Parametriza 2'!A20</f>
        <v>3500</v>
      </c>
      <c r="B18" s="8">
        <f>'Parametriza 2'!B20</f>
        <v>4</v>
      </c>
      <c r="C18" s="8" t="str">
        <f>'Parametriza 2'!C20</f>
        <v>Despesas Comerciais com Ocupação</v>
      </c>
      <c r="D18" s="8" t="str">
        <f>'Parametriza 2'!D20</f>
        <v>Despesa Fixa</v>
      </c>
      <c r="E18" s="8" t="str">
        <f>'Parametriza 2'!E20</f>
        <v>21006Contas a Pagar</v>
      </c>
      <c r="F18" s="13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24">
        <f t="shared" si="2"/>
        <v>0</v>
      </c>
    </row>
    <row r="19" spans="1:19" ht="15" x14ac:dyDescent="0.25">
      <c r="A19" s="8">
        <f>'Parametriza 2'!A21</f>
        <v>3500</v>
      </c>
      <c r="B19" s="8">
        <f>'Parametriza 2'!B21</f>
        <v>5</v>
      </c>
      <c r="C19" s="8" t="str">
        <f>'Parametriza 2'!C21</f>
        <v>Despesas Comerciais com Utilidades</v>
      </c>
      <c r="D19" s="8" t="str">
        <f>'Parametriza 2'!D21</f>
        <v>Despesa Fixa</v>
      </c>
      <c r="E19" s="8" t="str">
        <f>'Parametriza 2'!E21</f>
        <v>21006Contas a Pagar</v>
      </c>
      <c r="F19" s="11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24">
        <f t="shared" si="2"/>
        <v>0</v>
      </c>
    </row>
    <row r="20" spans="1:19" ht="15" x14ac:dyDescent="0.25">
      <c r="A20" s="8">
        <f>'Parametriza 2'!A22</f>
        <v>3500</v>
      </c>
      <c r="B20" s="8">
        <f>'Parametriza 2'!B22</f>
        <v>6</v>
      </c>
      <c r="C20" s="8" t="str">
        <f>'Parametriza 2'!C22</f>
        <v xml:space="preserve">Despesas Comerciais Gerais </v>
      </c>
      <c r="D20" s="8" t="str">
        <f>'Parametriza 2'!D22</f>
        <v>Despesa Fixa</v>
      </c>
      <c r="E20" s="8" t="str">
        <f>'Parametriza 2'!E22</f>
        <v>21006Contas a Pagar</v>
      </c>
      <c r="F20" s="11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24">
        <f t="shared" si="2"/>
        <v>0</v>
      </c>
    </row>
    <row r="21" spans="1:19" ht="15" x14ac:dyDescent="0.25">
      <c r="A21" s="8">
        <f>'Parametriza 2'!A23</f>
        <v>3500</v>
      </c>
      <c r="B21" s="8">
        <f>'Parametriza 2'!B23</f>
        <v>99</v>
      </c>
      <c r="C21" s="8" t="str">
        <f>'Parametriza 2'!C23</f>
        <v>Depreciações e Amort. Comercial</v>
      </c>
      <c r="D21" s="8" t="str">
        <f>'Parametriza 2'!D23</f>
        <v>Despesa Fixa</v>
      </c>
      <c r="E21" s="8" t="str">
        <f>'Parametriza 2'!E23</f>
        <v>12032Depreciação Acumulada</v>
      </c>
      <c r="F21" s="11"/>
    </row>
    <row r="22" spans="1:19" ht="15" x14ac:dyDescent="0.25">
      <c r="A22" s="8">
        <f>'Parametriza 2'!A24</f>
        <v>3600</v>
      </c>
      <c r="B22" s="8"/>
      <c r="C22" s="8" t="str">
        <f>'Parametriza 2'!C24</f>
        <v>Resultado Financeiro Líquido</v>
      </c>
      <c r="D22" s="8"/>
      <c r="E22" s="8"/>
      <c r="F22" s="11"/>
      <c r="S22" s="95">
        <f t="shared" ref="S22:S23" si="3">SUM(G22:R22)</f>
        <v>0</v>
      </c>
    </row>
    <row r="23" spans="1:19" x14ac:dyDescent="0.2">
      <c r="A23" s="8">
        <f>'Parametriza 2'!A25</f>
        <v>3601</v>
      </c>
      <c r="B23" s="8"/>
      <c r="C23" s="8" t="str">
        <f>'Parametriza 2'!C25</f>
        <v>Despesas Financeiras</v>
      </c>
      <c r="D23" s="8"/>
      <c r="E23" s="8"/>
      <c r="F23" s="13"/>
      <c r="S23" s="95">
        <f t="shared" si="3"/>
        <v>0</v>
      </c>
    </row>
    <row r="24" spans="1:19" x14ac:dyDescent="0.2">
      <c r="A24" s="8">
        <f>'Parametriza 2'!A26</f>
        <v>3601</v>
      </c>
      <c r="B24" s="8">
        <f>'Parametriza 2'!B26</f>
        <v>1</v>
      </c>
      <c r="C24" s="8" t="str">
        <f>'Parametriza 2'!C26</f>
        <v>Despesa de Juros</v>
      </c>
      <c r="D24" s="8" t="str">
        <f>'Parametriza 2'!D26</f>
        <v>Despesa Variável</v>
      </c>
      <c r="E24" s="8" t="str">
        <f>'Parametriza 2'!E26</f>
        <v>21002Empréstimos e Financiamentos</v>
      </c>
      <c r="F24" s="13"/>
    </row>
    <row r="25" spans="1:19" x14ac:dyDescent="0.2">
      <c r="A25" s="8">
        <f>'Parametriza 2'!A27</f>
        <v>3602</v>
      </c>
      <c r="B25" s="8"/>
      <c r="C25" s="8" t="str">
        <f>'Parametriza 2'!C27</f>
        <v>Receitas Financeiras</v>
      </c>
      <c r="D25" s="8"/>
      <c r="E25" s="8"/>
      <c r="F25" s="13"/>
    </row>
    <row r="26" spans="1:19" x14ac:dyDescent="0.2">
      <c r="A26" s="8">
        <f>'Parametriza 2'!A28</f>
        <v>3602</v>
      </c>
      <c r="B26" s="8">
        <f>'Parametriza 2'!B28</f>
        <v>1</v>
      </c>
      <c r="C26" s="8" t="str">
        <f>'Parametriza 2'!C28</f>
        <v>Juros Auferidos</v>
      </c>
      <c r="D26" s="8" t="str">
        <f>'Parametriza 2'!D28</f>
        <v>Despesa Variável</v>
      </c>
      <c r="E26" s="8" t="str">
        <f>'Parametriza 2'!E28</f>
        <v>12011Investimentos Temporários</v>
      </c>
      <c r="F26" s="13"/>
    </row>
    <row r="27" spans="1:19" x14ac:dyDescent="0.2">
      <c r="A27" s="8">
        <f>'Parametriza 2'!A29</f>
        <v>3700</v>
      </c>
      <c r="B27" s="8"/>
      <c r="C27" s="8" t="str">
        <f>'Parametriza 2'!C29</f>
        <v>IR/CSSL e Participações</v>
      </c>
      <c r="D27" s="8"/>
      <c r="E27" s="8"/>
      <c r="F27" s="13"/>
    </row>
    <row r="28" spans="1:19" x14ac:dyDescent="0.2">
      <c r="A28" s="8">
        <f>'Parametriza 2'!A30</f>
        <v>3700</v>
      </c>
      <c r="B28" s="8">
        <f>'Parametriza 2'!B30</f>
        <v>1</v>
      </c>
      <c r="C28" s="8" t="str">
        <f>'Parametriza 2'!C30</f>
        <v>Prov. p/ IR e CSSL</v>
      </c>
      <c r="D28" s="8"/>
      <c r="E28" s="8"/>
      <c r="F28" s="13"/>
    </row>
    <row r="29" spans="1:19" x14ac:dyDescent="0.2">
      <c r="A29" s="8"/>
      <c r="B29" s="8"/>
      <c r="C29" s="8"/>
      <c r="D29" s="8"/>
      <c r="E29" s="8"/>
      <c r="F29" s="13"/>
    </row>
    <row r="30" spans="1:19" x14ac:dyDescent="0.2">
      <c r="A30" s="8"/>
      <c r="B30" s="8"/>
      <c r="C30" s="8"/>
      <c r="D30" s="8"/>
      <c r="E30" s="8"/>
      <c r="F30" s="13"/>
    </row>
    <row r="31" spans="1:19" x14ac:dyDescent="0.2">
      <c r="A31" s="8"/>
      <c r="B31" s="8"/>
      <c r="C31" s="8"/>
      <c r="D31" s="8"/>
      <c r="E31" s="8"/>
      <c r="F31" s="13"/>
    </row>
    <row r="32" spans="1:19" x14ac:dyDescent="0.2">
      <c r="A32" s="8"/>
      <c r="B32" s="8"/>
      <c r="C32" s="8"/>
      <c r="D32" s="8"/>
      <c r="E32" s="8"/>
      <c r="F32" s="13"/>
    </row>
    <row r="33" spans="1:6" x14ac:dyDescent="0.2">
      <c r="A33" s="8"/>
      <c r="B33" s="8"/>
      <c r="C33" s="8"/>
      <c r="D33" s="8"/>
      <c r="E33" s="8"/>
      <c r="F33" s="13"/>
    </row>
    <row r="34" spans="1:6" x14ac:dyDescent="0.2">
      <c r="A34" s="7"/>
      <c r="B34" s="7"/>
      <c r="C34" s="7"/>
      <c r="D34" s="7"/>
      <c r="E34" s="7"/>
    </row>
    <row r="35" spans="1:6" x14ac:dyDescent="0.2">
      <c r="A35" s="7"/>
      <c r="B35" s="7"/>
      <c r="C35" s="7"/>
      <c r="D35" s="7"/>
      <c r="E35" s="7"/>
    </row>
  </sheetData>
  <mergeCells count="2">
    <mergeCell ref="A1:B1"/>
    <mergeCell ref="A2:D2"/>
  </mergeCells>
  <pageMargins left="0.78740157499999996" right="0.78740157499999996" top="0.984251969" bottom="0.984251969" header="0.49212598499999999" footer="0.49212598499999999"/>
  <pageSetup paperSize="9" orientation="portrait" horizontalDpi="200" verticalDpi="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N14"/>
  <sheetViews>
    <sheetView topLeftCell="S1" workbookViewId="0">
      <selection activeCell="Z5" sqref="Z5:AN7"/>
    </sheetView>
  </sheetViews>
  <sheetFormatPr defaultRowHeight="12.75" x14ac:dyDescent="0.2"/>
  <cols>
    <col min="1" max="1" width="9" customWidth="1"/>
    <col min="2" max="2" width="21.7109375" customWidth="1"/>
    <col min="3" max="3" width="12.140625" style="16" customWidth="1"/>
    <col min="4" max="4" width="29.42578125" style="16" customWidth="1"/>
    <col min="5" max="5" width="10.85546875" style="16" customWidth="1"/>
    <col min="9" max="9" width="9.5703125" bestFit="1" customWidth="1"/>
    <col min="10" max="10" width="10.42578125" bestFit="1" customWidth="1"/>
    <col min="11" max="11" width="9.42578125" bestFit="1" customWidth="1"/>
    <col min="12" max="12" width="9.5703125" bestFit="1" customWidth="1"/>
    <col min="13" max="13" width="9.42578125" bestFit="1" customWidth="1"/>
    <col min="16" max="16" width="11.7109375" bestFit="1" customWidth="1"/>
    <col min="17" max="17" width="10.42578125" bestFit="1" customWidth="1"/>
    <col min="18" max="18" width="12.28515625" customWidth="1"/>
    <col min="20" max="20" width="10.42578125" bestFit="1" customWidth="1"/>
    <col min="22" max="22" width="10.42578125" bestFit="1" customWidth="1"/>
    <col min="26" max="26" width="10.28515625" bestFit="1" customWidth="1"/>
    <col min="31" max="31" width="9.5703125" bestFit="1" customWidth="1"/>
    <col min="33" max="33" width="15.5703125" customWidth="1"/>
    <col min="35" max="35" width="12.42578125" customWidth="1"/>
    <col min="36" max="36" width="11.7109375" customWidth="1"/>
    <col min="37" max="37" width="13.5703125" customWidth="1"/>
    <col min="38" max="38" width="9.28515625" bestFit="1" customWidth="1"/>
    <col min="39" max="39" width="11.85546875" customWidth="1"/>
  </cols>
  <sheetData>
    <row r="1" spans="1:40" ht="20.25" thickBot="1" x14ac:dyDescent="0.35">
      <c r="A1" s="311"/>
      <c r="B1" s="311"/>
      <c r="C1" s="111"/>
      <c r="D1" s="111"/>
    </row>
    <row r="2" spans="1:40" ht="15.75" thickTop="1" x14ac:dyDescent="0.25">
      <c r="A2" s="110"/>
      <c r="B2" s="110"/>
      <c r="C2"/>
      <c r="D2"/>
    </row>
    <row r="3" spans="1:40" ht="15" x14ac:dyDescent="0.25">
      <c r="A3" s="112"/>
    </row>
    <row r="4" spans="1:40" ht="15.75" thickBot="1" x14ac:dyDescent="0.3">
      <c r="F4" s="308" t="s">
        <v>161</v>
      </c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10"/>
    </row>
    <row r="5" spans="1:40" ht="15.75" thickBot="1" x14ac:dyDescent="0.3">
      <c r="A5" s="109" t="s">
        <v>160</v>
      </c>
      <c r="B5" s="109" t="s">
        <v>157</v>
      </c>
      <c r="C5" s="109" t="s">
        <v>158</v>
      </c>
      <c r="D5" s="109" t="s">
        <v>8</v>
      </c>
      <c r="E5" s="250" t="s">
        <v>159</v>
      </c>
      <c r="F5" s="44" t="s">
        <v>53</v>
      </c>
      <c r="G5" s="271" t="s">
        <v>38</v>
      </c>
      <c r="H5" s="279"/>
      <c r="I5" s="279"/>
      <c r="J5" s="279"/>
      <c r="K5" s="272"/>
      <c r="L5" s="271" t="s">
        <v>39</v>
      </c>
      <c r="M5" s="279"/>
      <c r="N5" s="279"/>
      <c r="O5" s="279"/>
      <c r="P5" s="279"/>
      <c r="Q5" s="272"/>
      <c r="R5" s="271" t="s">
        <v>46</v>
      </c>
      <c r="S5" s="279"/>
      <c r="T5" s="272"/>
      <c r="U5" s="271" t="s">
        <v>1</v>
      </c>
      <c r="V5" s="272"/>
      <c r="W5" s="312" t="s">
        <v>49</v>
      </c>
      <c r="X5" s="313"/>
      <c r="Y5" s="313"/>
      <c r="Z5" s="302" t="s">
        <v>40</v>
      </c>
      <c r="AA5" s="303"/>
      <c r="AB5" s="303"/>
      <c r="AC5" s="303"/>
      <c r="AD5" s="303"/>
      <c r="AE5" s="304"/>
      <c r="AF5" s="305" t="s">
        <v>41</v>
      </c>
      <c r="AG5" s="306"/>
      <c r="AH5" s="307" t="s">
        <v>2</v>
      </c>
      <c r="AI5" s="306"/>
      <c r="AJ5" s="34" t="s">
        <v>42</v>
      </c>
      <c r="AK5" s="89" t="s">
        <v>48</v>
      </c>
      <c r="AL5" s="90"/>
      <c r="AM5" s="91"/>
      <c r="AN5" s="34" t="s">
        <v>51</v>
      </c>
    </row>
    <row r="6" spans="1:40" ht="15.75" thickBot="1" x14ac:dyDescent="0.3">
      <c r="C6"/>
      <c r="D6"/>
      <c r="E6"/>
      <c r="F6" s="45" t="s">
        <v>54</v>
      </c>
      <c r="G6" s="17" t="s">
        <v>27</v>
      </c>
      <c r="H6" s="17" t="s">
        <v>31</v>
      </c>
      <c r="I6" s="17" t="s">
        <v>29</v>
      </c>
      <c r="J6" s="17" t="s">
        <v>32</v>
      </c>
      <c r="K6" s="17" t="s">
        <v>4</v>
      </c>
      <c r="L6" s="17" t="s">
        <v>1</v>
      </c>
      <c r="M6" s="17" t="s">
        <v>30</v>
      </c>
      <c r="N6" s="17" t="s">
        <v>33</v>
      </c>
      <c r="O6" s="17" t="s">
        <v>34</v>
      </c>
      <c r="P6" s="17" t="s">
        <v>35</v>
      </c>
      <c r="Q6" s="17" t="s">
        <v>32</v>
      </c>
      <c r="R6" s="24" t="s">
        <v>9</v>
      </c>
      <c r="S6" s="24" t="s">
        <v>31</v>
      </c>
      <c r="T6" s="24" t="s">
        <v>32</v>
      </c>
      <c r="U6" s="24" t="s">
        <v>5</v>
      </c>
      <c r="V6" s="27" t="s">
        <v>47</v>
      </c>
      <c r="W6" s="40" t="s">
        <v>50</v>
      </c>
      <c r="X6" s="27" t="s">
        <v>11</v>
      </c>
      <c r="Y6" s="27" t="s">
        <v>10</v>
      </c>
      <c r="Z6" s="19" t="s">
        <v>25</v>
      </c>
      <c r="AA6" s="19" t="s">
        <v>36</v>
      </c>
      <c r="AB6" s="19" t="s">
        <v>4</v>
      </c>
      <c r="AC6" s="19" t="s">
        <v>37</v>
      </c>
      <c r="AD6" s="21" t="s">
        <v>30</v>
      </c>
      <c r="AE6" s="19" t="s">
        <v>28</v>
      </c>
      <c r="AF6" s="30" t="s">
        <v>1</v>
      </c>
      <c r="AG6" s="20" t="s">
        <v>0</v>
      </c>
      <c r="AH6" s="20" t="s">
        <v>1</v>
      </c>
      <c r="AI6" s="20" t="s">
        <v>0</v>
      </c>
      <c r="AJ6" s="20" t="s">
        <v>43</v>
      </c>
      <c r="AK6" s="20" t="s">
        <v>44</v>
      </c>
      <c r="AL6" s="20" t="s">
        <v>1</v>
      </c>
      <c r="AM6" s="29" t="s">
        <v>0</v>
      </c>
      <c r="AN6" s="35" t="s">
        <v>52</v>
      </c>
    </row>
    <row r="7" spans="1:40" ht="16.5" thickTop="1" thickBot="1" x14ac:dyDescent="0.3">
      <c r="A7" s="63">
        <f>Cadastro!E56</f>
        <v>1</v>
      </c>
      <c r="B7" t="str">
        <f>Cadastro!F56</f>
        <v>Câmaras e Filmadoras</v>
      </c>
      <c r="C7" s="113">
        <f>Cadastro!G56</f>
        <v>11</v>
      </c>
      <c r="D7" s="16" t="str">
        <f>Cadastro!H56</f>
        <v>Câmara Digital 3D 18.2 MP</v>
      </c>
      <c r="E7" s="16" t="str">
        <f>Cadastro!I56</f>
        <v>peça</v>
      </c>
      <c r="F7" s="4"/>
      <c r="G7" s="4"/>
      <c r="H7" s="31">
        <v>10</v>
      </c>
      <c r="I7" s="18">
        <v>1050</v>
      </c>
      <c r="J7" s="18">
        <f>H7*I7</f>
        <v>10500</v>
      </c>
      <c r="K7" s="18">
        <f>J7*10%</f>
        <v>1050</v>
      </c>
      <c r="L7" s="18">
        <f>J7*18%</f>
        <v>1890</v>
      </c>
      <c r="M7" s="18"/>
      <c r="N7" s="18">
        <v>80</v>
      </c>
      <c r="O7" s="18">
        <v>75</v>
      </c>
      <c r="P7" s="18">
        <v>0</v>
      </c>
      <c r="Q7" s="22">
        <f>J7+K7+M7+N7+O7+P7</f>
        <v>11705</v>
      </c>
      <c r="R7" s="18">
        <v>1899</v>
      </c>
      <c r="S7" s="4">
        <v>10</v>
      </c>
      <c r="T7" s="25">
        <f>R7*S7</f>
        <v>18990</v>
      </c>
      <c r="U7" s="26">
        <v>0.18</v>
      </c>
      <c r="V7" s="114">
        <f>IF(M7&gt;0,0,T7*U7)</f>
        <v>3418.2</v>
      </c>
      <c r="W7" s="42">
        <v>30</v>
      </c>
      <c r="X7" s="42">
        <v>30</v>
      </c>
      <c r="Y7" s="42">
        <v>30</v>
      </c>
      <c r="Z7" s="36">
        <f>J7/H7</f>
        <v>1050</v>
      </c>
      <c r="AA7" s="37">
        <f>(N7+O7+P7)/H7</f>
        <v>15.5</v>
      </c>
      <c r="AB7" s="36">
        <f>K7/H7</f>
        <v>105</v>
      </c>
      <c r="AC7" s="36">
        <f>L7/H7</f>
        <v>189</v>
      </c>
      <c r="AD7" s="36">
        <f>M7/H7</f>
        <v>0</v>
      </c>
      <c r="AE7" s="36">
        <f>Z7+AA7+AB7+AD7</f>
        <v>1170.5</v>
      </c>
      <c r="AF7" s="20" t="str">
        <f>IF(AD7&gt;0,"Não","Sim")</f>
        <v>Sim</v>
      </c>
      <c r="AG7" s="20" t="s">
        <v>235</v>
      </c>
      <c r="AH7" s="28">
        <f>IF(AD7=0,AC7,0)</f>
        <v>189</v>
      </c>
      <c r="AI7" s="33"/>
      <c r="AJ7" s="38">
        <f>AE7-AH7-AI7</f>
        <v>981.5</v>
      </c>
      <c r="AK7" s="37">
        <f>R7</f>
        <v>1899</v>
      </c>
      <c r="AL7" s="37">
        <f>IF(AF7="sim",AK7*U7,0)</f>
        <v>341.82</v>
      </c>
      <c r="AM7" s="39">
        <v>175.6575</v>
      </c>
      <c r="AN7" s="41">
        <f>W7+X7-Y7</f>
        <v>30</v>
      </c>
    </row>
    <row r="8" spans="1:40" ht="16.5" thickTop="1" thickBot="1" x14ac:dyDescent="0.3">
      <c r="A8" s="63">
        <f>Cadastro!E57</f>
        <v>2</v>
      </c>
      <c r="B8" t="str">
        <f>Cadastro!F57</f>
        <v>TV's e Audio</v>
      </c>
      <c r="C8" s="113">
        <f>Cadastro!G57</f>
        <v>21</v>
      </c>
      <c r="D8" t="str">
        <f>Cadastro!H57</f>
        <v>TV 3 D 32"</v>
      </c>
      <c r="E8" s="16" t="str">
        <f>Cadastro!I57</f>
        <v>peça</v>
      </c>
      <c r="F8" s="4"/>
      <c r="G8" s="4"/>
      <c r="H8" s="31">
        <v>10</v>
      </c>
      <c r="I8" s="18">
        <v>1200</v>
      </c>
      <c r="J8" s="18">
        <f>H8*I8</f>
        <v>12000</v>
      </c>
      <c r="K8" s="18">
        <f>J8*10%</f>
        <v>1200</v>
      </c>
      <c r="L8" s="18">
        <f t="shared" ref="L8:L9" si="0">J8*18%</f>
        <v>2160</v>
      </c>
      <c r="M8" s="18"/>
      <c r="N8" s="18">
        <v>40</v>
      </c>
      <c r="O8" s="18">
        <v>35</v>
      </c>
      <c r="P8" s="18">
        <v>20</v>
      </c>
      <c r="Q8" s="22">
        <f>J8+K8+M8+N8+O8+P8</f>
        <v>13295</v>
      </c>
      <c r="R8" s="18">
        <v>1649</v>
      </c>
      <c r="S8" s="4">
        <v>10</v>
      </c>
      <c r="T8" s="25">
        <f>R8*S8</f>
        <v>16490</v>
      </c>
      <c r="U8" s="26">
        <v>0.18</v>
      </c>
      <c r="V8" s="114">
        <f>IF(M8&gt;0,0,T8*U8)</f>
        <v>2968.2</v>
      </c>
      <c r="W8" s="42">
        <v>30</v>
      </c>
      <c r="X8" s="42">
        <v>30</v>
      </c>
      <c r="Y8" s="42">
        <v>30</v>
      </c>
      <c r="Z8" s="36">
        <f>J8/H8</f>
        <v>1200</v>
      </c>
      <c r="AA8" s="37">
        <f>(N8+O8+P8)/H8</f>
        <v>9.5</v>
      </c>
      <c r="AB8" s="36">
        <f>K8/H8</f>
        <v>120</v>
      </c>
      <c r="AC8" s="36">
        <f>L8/H8</f>
        <v>216</v>
      </c>
      <c r="AD8" s="36">
        <f>M8/H8</f>
        <v>0</v>
      </c>
      <c r="AE8" s="36">
        <f>Z8+AA8+AB8+AD8</f>
        <v>1329.5</v>
      </c>
      <c r="AF8" s="20" t="str">
        <f>IF(AD8&gt;0,"Não","Sim")</f>
        <v>Sim</v>
      </c>
      <c r="AG8" s="20" t="s">
        <v>235</v>
      </c>
      <c r="AH8" s="28">
        <f>IF(AD8=0,AC8,0)</f>
        <v>216</v>
      </c>
      <c r="AI8" s="33"/>
      <c r="AJ8" s="38">
        <f>AE8-AH8-AI8</f>
        <v>1113.5</v>
      </c>
      <c r="AK8" s="37">
        <f>R8</f>
        <v>1649</v>
      </c>
      <c r="AL8" s="37">
        <f>IF(AF8="sim",AK8*U8,0)</f>
        <v>296.82</v>
      </c>
      <c r="AM8" s="39">
        <v>152.5325</v>
      </c>
      <c r="AN8" s="41">
        <f t="shared" ref="AN8:AN9" si="1">W8+X8-Y8</f>
        <v>30</v>
      </c>
    </row>
    <row r="9" spans="1:40" ht="16.5" thickTop="1" thickBot="1" x14ac:dyDescent="0.3">
      <c r="A9" s="63">
        <f>Cadastro!E58</f>
        <v>3</v>
      </c>
      <c r="B9" t="str">
        <f>Cadastro!F58</f>
        <v>Computadores</v>
      </c>
      <c r="C9" s="113">
        <f>Cadastro!G58</f>
        <v>31</v>
      </c>
      <c r="D9" s="16" t="str">
        <f>Cadastro!H58</f>
        <v>Desktop Dual Core 2GB</v>
      </c>
      <c r="E9" s="16" t="str">
        <f>Cadastro!I58</f>
        <v>peça</v>
      </c>
      <c r="F9" s="4"/>
      <c r="G9" s="4"/>
      <c r="H9" s="31">
        <v>10</v>
      </c>
      <c r="I9" s="18">
        <v>710</v>
      </c>
      <c r="J9" s="18">
        <f>H9*I9</f>
        <v>7100</v>
      </c>
      <c r="K9" s="18">
        <f>J9*10%</f>
        <v>710</v>
      </c>
      <c r="L9" s="18">
        <f t="shared" si="0"/>
        <v>1278</v>
      </c>
      <c r="M9" s="18"/>
      <c r="N9" s="18">
        <v>28</v>
      </c>
      <c r="O9" s="18">
        <v>15</v>
      </c>
      <c r="P9" s="18">
        <v>0</v>
      </c>
      <c r="Q9" s="22">
        <f>J9+K9+M9+N9+O9+P9</f>
        <v>7853</v>
      </c>
      <c r="R9" s="18">
        <v>999</v>
      </c>
      <c r="S9" s="4">
        <v>10</v>
      </c>
      <c r="T9" s="25">
        <f>R9*S9</f>
        <v>9990</v>
      </c>
      <c r="U9" s="26">
        <v>0.18</v>
      </c>
      <c r="V9" s="114">
        <f>IF(M9&gt;0,0,T9*U9)</f>
        <v>1798.2</v>
      </c>
      <c r="W9" s="42">
        <v>30</v>
      </c>
      <c r="X9" s="42">
        <v>30</v>
      </c>
      <c r="Y9" s="42">
        <v>30</v>
      </c>
      <c r="Z9" s="36">
        <f>J9/H9</f>
        <v>710</v>
      </c>
      <c r="AA9" s="37">
        <f>(N9+O9+P9)/H9</f>
        <v>4.3</v>
      </c>
      <c r="AB9" s="36">
        <f>K9/H9</f>
        <v>71</v>
      </c>
      <c r="AC9" s="36">
        <f>L9/H9</f>
        <v>127.8</v>
      </c>
      <c r="AD9" s="36">
        <f>M9/H9</f>
        <v>0</v>
      </c>
      <c r="AE9" s="36">
        <f>Z9+AA9+AB9+AD9</f>
        <v>785.3</v>
      </c>
      <c r="AF9" s="20" t="str">
        <f>IF(AD9&gt;0,"Não","Sim")</f>
        <v>Sim</v>
      </c>
      <c r="AG9" s="20" t="s">
        <v>235</v>
      </c>
      <c r="AH9" s="28">
        <f>IF(AD9=0,AC9,0)</f>
        <v>127.8</v>
      </c>
      <c r="AI9" s="33"/>
      <c r="AJ9" s="38">
        <f>AE9-AH9-AI9</f>
        <v>657.5</v>
      </c>
      <c r="AK9" s="37">
        <f>R9</f>
        <v>999</v>
      </c>
      <c r="AL9" s="37">
        <f>IF(AF9="sim",AK9*U9,0)</f>
        <v>179.82</v>
      </c>
      <c r="AM9" s="39">
        <v>92.407499999999999</v>
      </c>
      <c r="AN9" s="41">
        <f t="shared" si="1"/>
        <v>30</v>
      </c>
    </row>
    <row r="10" spans="1:40" ht="13.5" thickTop="1" x14ac:dyDescent="0.2"/>
    <row r="12" spans="1:40" x14ac:dyDescent="0.2">
      <c r="AK12" s="48"/>
      <c r="AL12" s="48"/>
      <c r="AM12" s="53"/>
    </row>
    <row r="13" spans="1:40" x14ac:dyDescent="0.2">
      <c r="AK13" s="23"/>
      <c r="AL13" s="48"/>
    </row>
    <row r="14" spans="1:40" x14ac:dyDescent="0.2">
      <c r="AK14" s="59"/>
    </row>
  </sheetData>
  <mergeCells count="10">
    <mergeCell ref="Z5:AE5"/>
    <mergeCell ref="AF5:AG5"/>
    <mergeCell ref="AH5:AI5"/>
    <mergeCell ref="F4:AN4"/>
    <mergeCell ref="A1:B1"/>
    <mergeCell ref="G5:K5"/>
    <mergeCell ref="L5:Q5"/>
    <mergeCell ref="R5:T5"/>
    <mergeCell ref="U5:V5"/>
    <mergeCell ref="W5:Y5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77"/>
  <sheetViews>
    <sheetView topLeftCell="B41" workbookViewId="0">
      <selection activeCell="C19" sqref="C19"/>
    </sheetView>
  </sheetViews>
  <sheetFormatPr defaultRowHeight="12.75" x14ac:dyDescent="0.2"/>
  <cols>
    <col min="1" max="1" width="24.42578125" customWidth="1"/>
    <col min="2" max="2" width="38.28515625" customWidth="1"/>
    <col min="3" max="3" width="26.140625" customWidth="1"/>
    <col min="4" max="4" width="13.85546875" style="16" customWidth="1"/>
    <col min="5" max="5" width="11.28515625" customWidth="1"/>
    <col min="6" max="6" width="20" bestFit="1" customWidth="1"/>
    <col min="7" max="7" width="12.7109375" customWidth="1"/>
    <col min="8" max="8" width="24" bestFit="1" customWidth="1"/>
    <col min="9" max="11" width="12.7109375" customWidth="1"/>
    <col min="12" max="12" width="11.7109375" bestFit="1" customWidth="1"/>
    <col min="13" max="13" width="13.42578125" bestFit="1" customWidth="1"/>
    <col min="14" max="14" width="12" bestFit="1" customWidth="1"/>
    <col min="15" max="15" width="13.5703125" customWidth="1"/>
    <col min="16" max="16" width="12.85546875" customWidth="1"/>
    <col min="17" max="20" width="13.5703125" customWidth="1"/>
    <col min="21" max="21" width="16.5703125" customWidth="1"/>
    <col min="22" max="22" width="11.42578125" customWidth="1"/>
    <col min="23" max="23" width="13" customWidth="1"/>
    <col min="24" max="24" width="12" customWidth="1"/>
    <col min="25" max="25" width="13" customWidth="1"/>
    <col min="26" max="26" width="15.140625" customWidth="1"/>
    <col min="27" max="28" width="15.28515625" bestFit="1" customWidth="1"/>
    <col min="29" max="29" width="14.42578125" bestFit="1" customWidth="1"/>
    <col min="30" max="30" width="11.140625" bestFit="1" customWidth="1"/>
    <col min="31" max="31" width="11.5703125" customWidth="1"/>
    <col min="32" max="32" width="11.140625" bestFit="1" customWidth="1"/>
    <col min="33" max="33" width="11.85546875" customWidth="1"/>
    <col min="34" max="34" width="11.140625" bestFit="1" customWidth="1"/>
    <col min="35" max="35" width="10.7109375" bestFit="1" customWidth="1"/>
    <col min="36" max="36" width="15.5703125" customWidth="1"/>
    <col min="38" max="38" width="13.28515625" bestFit="1" customWidth="1"/>
    <col min="39" max="39" width="9.5703125" bestFit="1" customWidth="1"/>
    <col min="40" max="40" width="9.28515625" bestFit="1" customWidth="1"/>
    <col min="41" max="41" width="9.5703125" bestFit="1" customWidth="1"/>
    <col min="42" max="42" width="9.28515625" bestFit="1" customWidth="1"/>
  </cols>
  <sheetData>
    <row r="2" spans="2:4" ht="15.75" thickBot="1" x14ac:dyDescent="0.3">
      <c r="B2" s="280" t="s">
        <v>218</v>
      </c>
      <c r="C2" s="280"/>
    </row>
    <row r="3" spans="2:4" ht="16.5" thickTop="1" thickBot="1" x14ac:dyDescent="0.3">
      <c r="B3" t="s">
        <v>219</v>
      </c>
      <c r="C3" s="139" t="s">
        <v>220</v>
      </c>
    </row>
    <row r="4" spans="2:4" ht="16.5" thickTop="1" thickBot="1" x14ac:dyDescent="0.3">
      <c r="B4" s="63" t="s">
        <v>221</v>
      </c>
      <c r="C4" s="139" t="s">
        <v>220</v>
      </c>
    </row>
    <row r="5" spans="2:4" ht="16.5" thickTop="1" thickBot="1" x14ac:dyDescent="0.3">
      <c r="B5" t="s">
        <v>227</v>
      </c>
      <c r="C5" s="142" t="s">
        <v>228</v>
      </c>
    </row>
    <row r="6" spans="2:4" ht="16.5" thickTop="1" thickBot="1" x14ac:dyDescent="0.3">
      <c r="B6" s="63" t="s">
        <v>684</v>
      </c>
      <c r="C6" s="139"/>
    </row>
    <row r="7" spans="2:4" ht="16.5" thickTop="1" thickBot="1" x14ac:dyDescent="0.3">
      <c r="B7" s="314" t="s">
        <v>723</v>
      </c>
      <c r="C7" s="141"/>
    </row>
    <row r="8" spans="2:4" ht="16.5" thickTop="1" thickBot="1" x14ac:dyDescent="0.3">
      <c r="B8" s="314" t="s">
        <v>724</v>
      </c>
      <c r="C8" s="141"/>
    </row>
    <row r="9" spans="2:4" ht="16.5" thickTop="1" thickBot="1" x14ac:dyDescent="0.3">
      <c r="B9" s="314" t="s">
        <v>725</v>
      </c>
      <c r="C9" s="141"/>
    </row>
    <row r="10" spans="2:4" ht="15.75" thickTop="1" x14ac:dyDescent="0.25">
      <c r="D10" s="138"/>
    </row>
    <row r="11" spans="2:4" ht="15" thickBot="1" x14ac:dyDescent="0.25">
      <c r="B11" s="281" t="s">
        <v>231</v>
      </c>
      <c r="C11" s="281"/>
      <c r="D11" s="140"/>
    </row>
    <row r="12" spans="2:4" ht="16.5" thickTop="1" thickBot="1" x14ac:dyDescent="0.3">
      <c r="B12" s="143" t="s">
        <v>232</v>
      </c>
      <c r="C12" s="144" t="s">
        <v>240</v>
      </c>
      <c r="D12" s="140"/>
    </row>
    <row r="13" spans="2:4" ht="16.5" thickTop="1" thickBot="1" x14ac:dyDescent="0.3">
      <c r="B13" s="1" t="str">
        <f t="shared" ref="B13:B18" si="0">IF($C$12=$C$65,B65,B72)</f>
        <v>% de Receita Incentivada</v>
      </c>
      <c r="C13" s="147">
        <v>0</v>
      </c>
      <c r="D13" s="140"/>
    </row>
    <row r="14" spans="2:4" ht="16.5" thickTop="1" thickBot="1" x14ac:dyDescent="0.3">
      <c r="B14" s="1" t="str">
        <f t="shared" si="0"/>
        <v>% de Deduções da BC</v>
      </c>
      <c r="C14" s="147">
        <v>0</v>
      </c>
      <c r="D14" s="140"/>
    </row>
    <row r="15" spans="2:4" ht="16.5" thickTop="1" thickBot="1" x14ac:dyDescent="0.3">
      <c r="B15" s="1" t="str">
        <f t="shared" si="0"/>
        <v>Aliquota % Normal de IR</v>
      </c>
      <c r="C15" s="147">
        <v>0</v>
      </c>
      <c r="D15"/>
    </row>
    <row r="16" spans="2:4" ht="16.5" thickTop="1" thickBot="1" x14ac:dyDescent="0.3">
      <c r="B16" s="1" t="str">
        <f t="shared" si="0"/>
        <v>BC anual IR- Adicional</v>
      </c>
      <c r="C16" s="149">
        <v>240000</v>
      </c>
      <c r="D16"/>
    </row>
    <row r="17" spans="2:6" ht="16.5" thickTop="1" thickBot="1" x14ac:dyDescent="0.3">
      <c r="B17" s="1" t="str">
        <f t="shared" si="0"/>
        <v>% Adicional de IR</v>
      </c>
      <c r="C17" s="147">
        <v>0</v>
      </c>
      <c r="D17"/>
    </row>
    <row r="18" spans="2:6" ht="16.5" thickTop="1" thickBot="1" x14ac:dyDescent="0.3">
      <c r="B18" s="1" t="str">
        <f t="shared" si="0"/>
        <v>Aliquota % de CSSL</v>
      </c>
      <c r="C18" s="147">
        <v>0</v>
      </c>
      <c r="D18"/>
    </row>
    <row r="19" spans="2:6" ht="16.5" thickTop="1" thickBot="1" x14ac:dyDescent="0.3">
      <c r="B19" s="143" t="s">
        <v>234</v>
      </c>
      <c r="C19" s="157" t="s">
        <v>235</v>
      </c>
      <c r="D19"/>
    </row>
    <row r="20" spans="2:6" ht="16.5" thickTop="1" thickBot="1" x14ac:dyDescent="0.3">
      <c r="B20" s="158" t="s">
        <v>236</v>
      </c>
      <c r="C20" s="159">
        <v>9.2499999999999999E-2</v>
      </c>
      <c r="D20"/>
    </row>
    <row r="21" spans="2:6" ht="16.5" thickTop="1" thickBot="1" x14ac:dyDescent="0.3">
      <c r="B21" s="158" t="s">
        <v>237</v>
      </c>
      <c r="C21" s="159">
        <v>9.2499999999999999E-2</v>
      </c>
      <c r="D21"/>
    </row>
    <row r="22" spans="2:6" ht="16.5" thickTop="1" thickBot="1" x14ac:dyDescent="0.3">
      <c r="B22" s="158" t="s">
        <v>238</v>
      </c>
      <c r="C22" s="159">
        <v>3.6499999999999998E-2</v>
      </c>
      <c r="D22"/>
    </row>
    <row r="23" spans="2:6" ht="13.5" thickTop="1" x14ac:dyDescent="0.2">
      <c r="D23"/>
      <c r="E23" s="1"/>
      <c r="F23" s="1"/>
    </row>
    <row r="24" spans="2:6" x14ac:dyDescent="0.2">
      <c r="D24"/>
    </row>
    <row r="25" spans="2:6" x14ac:dyDescent="0.2">
      <c r="D25"/>
    </row>
    <row r="26" spans="2:6" x14ac:dyDescent="0.2">
      <c r="D26"/>
    </row>
    <row r="27" spans="2:6" x14ac:dyDescent="0.2">
      <c r="B27" s="158"/>
      <c r="D27"/>
    </row>
    <row r="28" spans="2:6" x14ac:dyDescent="0.2">
      <c r="B28" s="158"/>
      <c r="D28"/>
    </row>
    <row r="29" spans="2:6" x14ac:dyDescent="0.2">
      <c r="D29"/>
    </row>
    <row r="30" spans="2:6" x14ac:dyDescent="0.2">
      <c r="D30"/>
    </row>
    <row r="31" spans="2:6" x14ac:dyDescent="0.2">
      <c r="D31"/>
    </row>
    <row r="32" spans="2:6" x14ac:dyDescent="0.2">
      <c r="D32"/>
    </row>
    <row r="33" spans="2:4" x14ac:dyDescent="0.2">
      <c r="D33"/>
    </row>
    <row r="34" spans="2:4" x14ac:dyDescent="0.2">
      <c r="D34"/>
    </row>
    <row r="35" spans="2:4" x14ac:dyDescent="0.2">
      <c r="D35"/>
    </row>
    <row r="36" spans="2:4" x14ac:dyDescent="0.2">
      <c r="D36"/>
    </row>
    <row r="37" spans="2:4" x14ac:dyDescent="0.2">
      <c r="D37"/>
    </row>
    <row r="38" spans="2:4" x14ac:dyDescent="0.2">
      <c r="D38"/>
    </row>
    <row r="39" spans="2:4" x14ac:dyDescent="0.2">
      <c r="D39"/>
    </row>
    <row r="40" spans="2:4" x14ac:dyDescent="0.2">
      <c r="D40"/>
    </row>
    <row r="41" spans="2:4" x14ac:dyDescent="0.2">
      <c r="D41"/>
    </row>
    <row r="42" spans="2:4" x14ac:dyDescent="0.2">
      <c r="D42"/>
    </row>
    <row r="43" spans="2:4" x14ac:dyDescent="0.2">
      <c r="D43"/>
    </row>
    <row r="44" spans="2:4" x14ac:dyDescent="0.2">
      <c r="D44"/>
    </row>
    <row r="45" spans="2:4" x14ac:dyDescent="0.2">
      <c r="D45"/>
    </row>
    <row r="46" spans="2:4" x14ac:dyDescent="0.2">
      <c r="D46"/>
    </row>
    <row r="47" spans="2:4" x14ac:dyDescent="0.2">
      <c r="B47" s="158"/>
      <c r="D47"/>
    </row>
    <row r="48" spans="2:4" x14ac:dyDescent="0.2">
      <c r="B48" s="158"/>
      <c r="D48"/>
    </row>
    <row r="49" spans="2:39" x14ac:dyDescent="0.2">
      <c r="B49" s="158"/>
      <c r="D49"/>
    </row>
    <row r="50" spans="2:39" x14ac:dyDescent="0.2">
      <c r="B50" s="158"/>
      <c r="D50"/>
    </row>
    <row r="51" spans="2:39" x14ac:dyDescent="0.2">
      <c r="B51" s="158"/>
      <c r="D51"/>
    </row>
    <row r="52" spans="2:39" x14ac:dyDescent="0.2">
      <c r="B52" s="158"/>
      <c r="D52"/>
    </row>
    <row r="53" spans="2:39" x14ac:dyDescent="0.2">
      <c r="B53" s="158"/>
      <c r="D53"/>
    </row>
    <row r="54" spans="2:39" ht="14.25" x14ac:dyDescent="0.2">
      <c r="B54" s="158"/>
      <c r="D54"/>
      <c r="E54" s="281" t="s">
        <v>417</v>
      </c>
      <c r="F54" s="281"/>
      <c r="G54" s="281"/>
      <c r="H54" s="281"/>
      <c r="I54" s="281"/>
    </row>
    <row r="55" spans="2:39" ht="15" x14ac:dyDescent="0.25">
      <c r="B55" s="158"/>
      <c r="D55"/>
      <c r="E55" s="109" t="s">
        <v>160</v>
      </c>
      <c r="F55" s="109" t="s">
        <v>157</v>
      </c>
      <c r="G55" s="109" t="s">
        <v>158</v>
      </c>
      <c r="H55" s="109" t="s">
        <v>8</v>
      </c>
      <c r="I55" s="109" t="s">
        <v>159</v>
      </c>
    </row>
    <row r="56" spans="2:39" x14ac:dyDescent="0.2">
      <c r="B56" s="158"/>
      <c r="D56"/>
      <c r="E56" s="63">
        <v>1</v>
      </c>
      <c r="F56" t="s">
        <v>222</v>
      </c>
      <c r="G56" s="113">
        <v>11</v>
      </c>
      <c r="H56" s="16" t="s">
        <v>223</v>
      </c>
      <c r="I56" s="16" t="s">
        <v>224</v>
      </c>
    </row>
    <row r="57" spans="2:39" x14ac:dyDescent="0.2">
      <c r="B57" s="158"/>
      <c r="D57"/>
      <c r="E57" s="63">
        <v>2</v>
      </c>
      <c r="F57" t="s">
        <v>225</v>
      </c>
      <c r="G57" s="113">
        <v>21</v>
      </c>
      <c r="H57" t="s">
        <v>226</v>
      </c>
      <c r="I57" s="16" t="s">
        <v>224</v>
      </c>
    </row>
    <row r="58" spans="2:39" x14ac:dyDescent="0.2">
      <c r="B58" s="158"/>
      <c r="D58"/>
      <c r="E58" s="63">
        <v>3</v>
      </c>
      <c r="F58" t="s">
        <v>229</v>
      </c>
      <c r="G58" s="113">
        <v>31</v>
      </c>
      <c r="H58" s="16" t="s">
        <v>230</v>
      </c>
      <c r="I58" s="16" t="s">
        <v>224</v>
      </c>
    </row>
    <row r="59" spans="2:39" x14ac:dyDescent="0.2">
      <c r="B59" s="158"/>
      <c r="D59"/>
    </row>
    <row r="60" spans="2:39" ht="15" x14ac:dyDescent="0.25">
      <c r="B60" s="158"/>
      <c r="D60"/>
      <c r="E60" s="145" t="s">
        <v>419</v>
      </c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</row>
    <row r="61" spans="2:39" x14ac:dyDescent="0.2">
      <c r="B61" s="158"/>
      <c r="D61"/>
      <c r="E61" s="44" t="s">
        <v>53</v>
      </c>
      <c r="F61" s="271" t="s">
        <v>38</v>
      </c>
      <c r="G61" s="279"/>
      <c r="H61" s="279"/>
      <c r="I61" s="279"/>
      <c r="J61" s="272"/>
      <c r="K61" s="271" t="s">
        <v>39</v>
      </c>
      <c r="L61" s="279"/>
      <c r="M61" s="279"/>
      <c r="N61" s="279"/>
      <c r="O61" s="279"/>
      <c r="P61" s="272"/>
      <c r="Q61" s="271" t="s">
        <v>46</v>
      </c>
      <c r="R61" s="279"/>
      <c r="S61" s="272"/>
      <c r="T61" s="271" t="s">
        <v>1</v>
      </c>
      <c r="U61" s="272"/>
    </row>
    <row r="62" spans="2:39" x14ac:dyDescent="0.2">
      <c r="B62" s="158"/>
      <c r="D62"/>
      <c r="E62" s="45" t="s">
        <v>54</v>
      </c>
      <c r="F62" s="24" t="s">
        <v>27</v>
      </c>
      <c r="G62" s="24" t="s">
        <v>31</v>
      </c>
      <c r="H62" s="24" t="s">
        <v>29</v>
      </c>
      <c r="I62" s="24" t="s">
        <v>32</v>
      </c>
      <c r="J62" s="24" t="s">
        <v>4</v>
      </c>
      <c r="K62" s="24" t="s">
        <v>1</v>
      </c>
      <c r="L62" s="27" t="s">
        <v>30</v>
      </c>
      <c r="M62" s="24" t="s">
        <v>33</v>
      </c>
      <c r="N62" s="24" t="s">
        <v>34</v>
      </c>
      <c r="O62" s="24" t="s">
        <v>35</v>
      </c>
      <c r="P62" s="148" t="s">
        <v>32</v>
      </c>
      <c r="Q62" s="24" t="s">
        <v>9</v>
      </c>
      <c r="R62" s="24" t="s">
        <v>31</v>
      </c>
      <c r="S62" s="24" t="s">
        <v>32</v>
      </c>
      <c r="T62" s="24" t="s">
        <v>5</v>
      </c>
      <c r="U62" s="24" t="s">
        <v>47</v>
      </c>
    </row>
    <row r="63" spans="2:39" x14ac:dyDescent="0.2">
      <c r="B63" s="158"/>
      <c r="D63"/>
    </row>
    <row r="64" spans="2:39" ht="15.75" thickBot="1" x14ac:dyDescent="0.3">
      <c r="E64" s="145" t="s">
        <v>420</v>
      </c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AM64" s="48"/>
    </row>
    <row r="65" spans="2:19" ht="13.5" thickBot="1" x14ac:dyDescent="0.25">
      <c r="B65" s="1" t="s">
        <v>239</v>
      </c>
      <c r="C65" t="s">
        <v>240</v>
      </c>
      <c r="E65" s="273" t="s">
        <v>40</v>
      </c>
      <c r="F65" s="274"/>
      <c r="G65" s="274"/>
      <c r="H65" s="274"/>
      <c r="I65" s="274"/>
      <c r="J65" s="275"/>
      <c r="K65" s="276" t="s">
        <v>41</v>
      </c>
      <c r="L65" s="277"/>
      <c r="M65" s="276" t="s">
        <v>2</v>
      </c>
      <c r="N65" s="278"/>
      <c r="O65" s="150" t="s">
        <v>42</v>
      </c>
      <c r="P65" s="276" t="s">
        <v>48</v>
      </c>
      <c r="Q65" s="278"/>
      <c r="R65" s="278"/>
      <c r="S65" s="151" t="s">
        <v>51</v>
      </c>
    </row>
    <row r="66" spans="2:19" ht="13.5" thickBot="1" x14ac:dyDescent="0.25">
      <c r="B66" s="1" t="s">
        <v>241</v>
      </c>
      <c r="C66" t="s">
        <v>233</v>
      </c>
      <c r="E66" s="152" t="s">
        <v>25</v>
      </c>
      <c r="F66" s="152" t="s">
        <v>36</v>
      </c>
      <c r="G66" s="152" t="s">
        <v>4</v>
      </c>
      <c r="H66" s="152" t="s">
        <v>37</v>
      </c>
      <c r="I66" s="152" t="s">
        <v>30</v>
      </c>
      <c r="J66" s="152" t="s">
        <v>28</v>
      </c>
      <c r="K66" s="153" t="s">
        <v>1</v>
      </c>
      <c r="L66" s="153" t="s">
        <v>0</v>
      </c>
      <c r="M66" s="122" t="s">
        <v>1</v>
      </c>
      <c r="N66" s="154" t="s">
        <v>0</v>
      </c>
      <c r="O66" s="155" t="s">
        <v>43</v>
      </c>
      <c r="P66" s="122" t="s">
        <v>44</v>
      </c>
      <c r="Q66" s="122" t="s">
        <v>1</v>
      </c>
      <c r="R66" s="123" t="s">
        <v>0</v>
      </c>
      <c r="S66" s="156" t="s">
        <v>52</v>
      </c>
    </row>
    <row r="67" spans="2:19" x14ac:dyDescent="0.2">
      <c r="B67" s="1" t="s">
        <v>242</v>
      </c>
    </row>
    <row r="68" spans="2:19" x14ac:dyDescent="0.2">
      <c r="B68" s="1" t="s">
        <v>243</v>
      </c>
      <c r="C68" t="s">
        <v>244</v>
      </c>
    </row>
    <row r="69" spans="2:19" x14ac:dyDescent="0.2">
      <c r="B69" s="158" t="s">
        <v>245</v>
      </c>
      <c r="C69" t="s">
        <v>235</v>
      </c>
    </row>
    <row r="70" spans="2:19" x14ac:dyDescent="0.2">
      <c r="B70" s="158" t="s">
        <v>246</v>
      </c>
    </row>
    <row r="71" spans="2:19" x14ac:dyDescent="0.2">
      <c r="B71" s="158"/>
    </row>
    <row r="72" spans="2:19" x14ac:dyDescent="0.2">
      <c r="B72" s="1" t="s">
        <v>247</v>
      </c>
    </row>
    <row r="73" spans="2:19" x14ac:dyDescent="0.2">
      <c r="B73" s="1" t="s">
        <v>248</v>
      </c>
    </row>
    <row r="74" spans="2:19" x14ac:dyDescent="0.2">
      <c r="B74" s="1" t="s">
        <v>249</v>
      </c>
    </row>
    <row r="75" spans="2:19" x14ac:dyDescent="0.2">
      <c r="B75" s="1" t="s">
        <v>243</v>
      </c>
    </row>
    <row r="76" spans="2:19" x14ac:dyDescent="0.2">
      <c r="B76" s="158" t="s">
        <v>250</v>
      </c>
    </row>
    <row r="77" spans="2:19" x14ac:dyDescent="0.2">
      <c r="B77" s="158" t="s">
        <v>251</v>
      </c>
    </row>
  </sheetData>
  <mergeCells count="11">
    <mergeCell ref="B2:C2"/>
    <mergeCell ref="E54:I54"/>
    <mergeCell ref="B11:C11"/>
    <mergeCell ref="F61:J61"/>
    <mergeCell ref="K61:P61"/>
    <mergeCell ref="T61:U61"/>
    <mergeCell ref="E65:J65"/>
    <mergeCell ref="K65:L65"/>
    <mergeCell ref="M65:N65"/>
    <mergeCell ref="P65:R65"/>
    <mergeCell ref="Q61:S61"/>
  </mergeCells>
  <dataValidations count="2">
    <dataValidation type="list" allowBlank="1" showInputMessage="1" showErrorMessage="1" sqref="C19">
      <formula1>$C$68:$C$69</formula1>
    </dataValidation>
    <dataValidation type="list" allowBlank="1" showInputMessage="1" showErrorMessage="1" sqref="C12">
      <formula1>$C$65:$C$66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M56"/>
  <sheetViews>
    <sheetView workbookViewId="0">
      <pane xSplit="1" topLeftCell="B1" activePane="topRight" state="frozen"/>
      <selection pane="topRight" activeCell="F29" sqref="F29"/>
    </sheetView>
  </sheetViews>
  <sheetFormatPr defaultColWidth="9.140625" defaultRowHeight="12.75" outlineLevelRow="1" x14ac:dyDescent="0.2"/>
  <cols>
    <col min="1" max="1" width="47.42578125" style="5" customWidth="1"/>
    <col min="2" max="13" width="12.7109375" style="5" customWidth="1"/>
    <col min="14" max="14" width="13.28515625" style="5" customWidth="1"/>
    <col min="15" max="19" width="11.7109375" style="5" customWidth="1"/>
    <col min="20" max="16384" width="9.140625" style="5"/>
  </cols>
  <sheetData>
    <row r="1" spans="1:13" ht="18" customHeight="1" x14ac:dyDescent="0.25">
      <c r="A1" s="268"/>
    </row>
    <row r="2" spans="1:13" ht="15.95" customHeight="1" x14ac:dyDescent="0.2">
      <c r="A2" s="215" t="s">
        <v>494</v>
      </c>
      <c r="B2" s="216"/>
    </row>
    <row r="3" spans="1:13" ht="15" x14ac:dyDescent="0.25">
      <c r="A3" s="11"/>
      <c r="B3" s="128" t="s">
        <v>96</v>
      </c>
      <c r="C3" s="128" t="s">
        <v>97</v>
      </c>
      <c r="D3" s="128" t="s">
        <v>98</v>
      </c>
      <c r="E3" s="128" t="s">
        <v>99</v>
      </c>
      <c r="F3" s="128" t="s">
        <v>100</v>
      </c>
      <c r="G3" s="128" t="s">
        <v>101</v>
      </c>
      <c r="H3" s="128" t="s">
        <v>102</v>
      </c>
      <c r="I3" s="128" t="s">
        <v>103</v>
      </c>
      <c r="J3" s="128" t="s">
        <v>104</v>
      </c>
      <c r="K3" s="128" t="s">
        <v>105</v>
      </c>
      <c r="L3" s="128" t="s">
        <v>106</v>
      </c>
      <c r="M3" s="128" t="s">
        <v>107</v>
      </c>
    </row>
    <row r="5" spans="1:13" ht="15" x14ac:dyDescent="0.25">
      <c r="A5" s="213" t="s">
        <v>535</v>
      </c>
      <c r="B5" s="126"/>
      <c r="C5" s="95">
        <f>B46</f>
        <v>0</v>
      </c>
      <c r="D5" s="95">
        <f t="shared" ref="D5:M5" si="0">C46</f>
        <v>0</v>
      </c>
      <c r="E5" s="95">
        <f t="shared" si="0"/>
        <v>0</v>
      </c>
      <c r="F5" s="95">
        <f t="shared" si="0"/>
        <v>0</v>
      </c>
      <c r="G5" s="95">
        <f t="shared" si="0"/>
        <v>0</v>
      </c>
      <c r="H5" s="95">
        <f t="shared" si="0"/>
        <v>0</v>
      </c>
      <c r="I5" s="95">
        <f t="shared" si="0"/>
        <v>0</v>
      </c>
      <c r="J5" s="95">
        <f t="shared" si="0"/>
        <v>0</v>
      </c>
      <c r="K5" s="95">
        <f t="shared" si="0"/>
        <v>0</v>
      </c>
      <c r="L5" s="95">
        <f t="shared" si="0"/>
        <v>0</v>
      </c>
      <c r="M5" s="95">
        <f t="shared" si="0"/>
        <v>0</v>
      </c>
    </row>
    <row r="6" spans="1:13" ht="15" x14ac:dyDescent="0.25">
      <c r="A6" s="209"/>
    </row>
    <row r="7" spans="1:13" ht="15" x14ac:dyDescent="0.25">
      <c r="A7" s="213" t="s">
        <v>495</v>
      </c>
      <c r="B7" s="95">
        <f>B8+B13</f>
        <v>0</v>
      </c>
      <c r="C7" s="95">
        <f t="shared" ref="C7:M7" si="1">C8+C13</f>
        <v>0</v>
      </c>
      <c r="D7" s="95">
        <f t="shared" si="1"/>
        <v>0</v>
      </c>
      <c r="E7" s="95">
        <f t="shared" si="1"/>
        <v>0</v>
      </c>
      <c r="F7" s="95">
        <f t="shared" si="1"/>
        <v>0</v>
      </c>
      <c r="G7" s="95">
        <f t="shared" si="1"/>
        <v>0</v>
      </c>
      <c r="H7" s="95">
        <f t="shared" si="1"/>
        <v>0</v>
      </c>
      <c r="I7" s="95">
        <f t="shared" si="1"/>
        <v>0</v>
      </c>
      <c r="J7" s="95">
        <f t="shared" si="1"/>
        <v>0</v>
      </c>
      <c r="K7" s="95">
        <f t="shared" si="1"/>
        <v>0</v>
      </c>
      <c r="L7" s="95">
        <f t="shared" si="1"/>
        <v>0</v>
      </c>
      <c r="M7" s="95">
        <f t="shared" si="1"/>
        <v>0</v>
      </c>
    </row>
    <row r="8" spans="1:13" ht="15" x14ac:dyDescent="0.25">
      <c r="A8" s="213" t="s">
        <v>499</v>
      </c>
      <c r="B8" s="97">
        <f>SUM(B9:B12)</f>
        <v>0</v>
      </c>
      <c r="C8" s="97">
        <f t="shared" ref="C8:M8" si="2">SUM(C9:C12)</f>
        <v>0</v>
      </c>
      <c r="D8" s="97">
        <f t="shared" si="2"/>
        <v>0</v>
      </c>
      <c r="E8" s="97">
        <f t="shared" si="2"/>
        <v>0</v>
      </c>
      <c r="F8" s="97">
        <f t="shared" si="2"/>
        <v>0</v>
      </c>
      <c r="G8" s="97">
        <f t="shared" si="2"/>
        <v>0</v>
      </c>
      <c r="H8" s="97">
        <f t="shared" si="2"/>
        <v>0</v>
      </c>
      <c r="I8" s="97">
        <f t="shared" si="2"/>
        <v>0</v>
      </c>
      <c r="J8" s="97">
        <f t="shared" si="2"/>
        <v>0</v>
      </c>
      <c r="K8" s="97">
        <f t="shared" si="2"/>
        <v>0</v>
      </c>
      <c r="L8" s="97">
        <f t="shared" si="2"/>
        <v>0</v>
      </c>
      <c r="M8" s="97">
        <f t="shared" si="2"/>
        <v>0</v>
      </c>
    </row>
    <row r="9" spans="1:13" ht="15" outlineLevel="1" x14ac:dyDescent="0.25">
      <c r="A9" s="209" t="s">
        <v>496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</row>
    <row r="10" spans="1:13" ht="15" outlineLevel="1" x14ac:dyDescent="0.25">
      <c r="A10" s="209" t="s">
        <v>497</v>
      </c>
    </row>
    <row r="11" spans="1:13" ht="15" outlineLevel="1" x14ac:dyDescent="0.25">
      <c r="A11" s="209" t="s">
        <v>498</v>
      </c>
    </row>
    <row r="12" spans="1:13" ht="15" x14ac:dyDescent="0.25">
      <c r="A12" s="213" t="s">
        <v>507</v>
      </c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</row>
    <row r="13" spans="1:13" ht="15" x14ac:dyDescent="0.25">
      <c r="A13" s="213" t="s">
        <v>500</v>
      </c>
      <c r="B13" s="97">
        <f>B14+B18+B19+B20+B21</f>
        <v>0</v>
      </c>
      <c r="C13" s="97">
        <f t="shared" ref="C13:M13" si="3">C14+C18+C19+C20+C21</f>
        <v>0</v>
      </c>
      <c r="D13" s="97">
        <f t="shared" si="3"/>
        <v>0</v>
      </c>
      <c r="E13" s="97">
        <f t="shared" si="3"/>
        <v>0</v>
      </c>
      <c r="F13" s="97">
        <f t="shared" si="3"/>
        <v>0</v>
      </c>
      <c r="G13" s="97">
        <f t="shared" si="3"/>
        <v>0</v>
      </c>
      <c r="H13" s="97">
        <f t="shared" si="3"/>
        <v>0</v>
      </c>
      <c r="I13" s="97">
        <f t="shared" si="3"/>
        <v>0</v>
      </c>
      <c r="J13" s="97">
        <f t="shared" si="3"/>
        <v>0</v>
      </c>
      <c r="K13" s="97">
        <f t="shared" si="3"/>
        <v>0</v>
      </c>
      <c r="L13" s="97">
        <f t="shared" si="3"/>
        <v>0</v>
      </c>
      <c r="M13" s="97">
        <f t="shared" si="3"/>
        <v>0</v>
      </c>
    </row>
    <row r="14" spans="1:13" ht="15" x14ac:dyDescent="0.25">
      <c r="A14" s="213" t="s">
        <v>504</v>
      </c>
      <c r="B14" s="97">
        <f>SUM(B15:B17)</f>
        <v>0</v>
      </c>
      <c r="C14" s="97">
        <f t="shared" ref="C14:M14" si="4">SUM(C15:C17)</f>
        <v>0</v>
      </c>
      <c r="D14" s="97">
        <f t="shared" si="4"/>
        <v>0</v>
      </c>
      <c r="E14" s="97">
        <f t="shared" si="4"/>
        <v>0</v>
      </c>
      <c r="F14" s="97">
        <f t="shared" si="4"/>
        <v>0</v>
      </c>
      <c r="G14" s="97">
        <f t="shared" si="4"/>
        <v>0</v>
      </c>
      <c r="H14" s="97">
        <f t="shared" si="4"/>
        <v>0</v>
      </c>
      <c r="I14" s="97">
        <f t="shared" si="4"/>
        <v>0</v>
      </c>
      <c r="J14" s="97">
        <f t="shared" si="4"/>
        <v>0</v>
      </c>
      <c r="K14" s="97">
        <f t="shared" si="4"/>
        <v>0</v>
      </c>
      <c r="L14" s="97">
        <f t="shared" si="4"/>
        <v>0</v>
      </c>
      <c r="M14" s="97">
        <f t="shared" si="4"/>
        <v>0</v>
      </c>
    </row>
    <row r="15" spans="1:13" ht="15" outlineLevel="1" x14ac:dyDescent="0.25">
      <c r="A15" s="209" t="s">
        <v>501</v>
      </c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 spans="1:13" ht="15" outlineLevel="1" x14ac:dyDescent="0.25">
      <c r="A16" s="209" t="s">
        <v>502</v>
      </c>
    </row>
    <row r="17" spans="1:13" ht="15" customHeight="1" outlineLevel="1" x14ac:dyDescent="0.25">
      <c r="A17" s="209" t="s">
        <v>503</v>
      </c>
    </row>
    <row r="18" spans="1:13" ht="15" x14ac:dyDescent="0.25">
      <c r="A18" s="213" t="s">
        <v>505</v>
      </c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</row>
    <row r="19" spans="1:13" x14ac:dyDescent="0.2">
      <c r="A19" s="160" t="s">
        <v>506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</row>
    <row r="20" spans="1:13" x14ac:dyDescent="0.2">
      <c r="A20" s="160" t="s">
        <v>508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</row>
    <row r="21" spans="1:13" x14ac:dyDescent="0.2">
      <c r="A21" s="160" t="s">
        <v>509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</row>
    <row r="23" spans="1:13" ht="15" x14ac:dyDescent="0.25">
      <c r="A23" s="213" t="s">
        <v>510</v>
      </c>
      <c r="B23" s="95">
        <f>B24+B29</f>
        <v>0</v>
      </c>
      <c r="C23" s="95">
        <f t="shared" ref="C23:M23" si="5">C24+C29</f>
        <v>0</v>
      </c>
      <c r="D23" s="95">
        <f t="shared" si="5"/>
        <v>0</v>
      </c>
      <c r="E23" s="95">
        <f t="shared" si="5"/>
        <v>0</v>
      </c>
      <c r="F23" s="95">
        <f t="shared" si="5"/>
        <v>0</v>
      </c>
      <c r="G23" s="95">
        <f t="shared" si="5"/>
        <v>0</v>
      </c>
      <c r="H23" s="95">
        <f t="shared" si="5"/>
        <v>0</v>
      </c>
      <c r="I23" s="95">
        <f t="shared" si="5"/>
        <v>0</v>
      </c>
      <c r="J23" s="95">
        <f t="shared" si="5"/>
        <v>0</v>
      </c>
      <c r="K23" s="95">
        <f t="shared" si="5"/>
        <v>0</v>
      </c>
      <c r="L23" s="95">
        <f t="shared" si="5"/>
        <v>0</v>
      </c>
      <c r="M23" s="95">
        <f t="shared" si="5"/>
        <v>0</v>
      </c>
    </row>
    <row r="24" spans="1:13" ht="15" x14ac:dyDescent="0.25">
      <c r="A24" s="213" t="s">
        <v>511</v>
      </c>
      <c r="B24" s="97">
        <f>SUM(B25:B28)</f>
        <v>0</v>
      </c>
      <c r="C24" s="97">
        <f t="shared" ref="C24:M24" si="6">SUM(C25:C28)</f>
        <v>0</v>
      </c>
      <c r="D24" s="97">
        <f t="shared" si="6"/>
        <v>0</v>
      </c>
      <c r="E24" s="97">
        <f t="shared" si="6"/>
        <v>0</v>
      </c>
      <c r="F24" s="97">
        <f t="shared" si="6"/>
        <v>0</v>
      </c>
      <c r="G24" s="97">
        <f t="shared" si="6"/>
        <v>0</v>
      </c>
      <c r="H24" s="97">
        <f t="shared" si="6"/>
        <v>0</v>
      </c>
      <c r="I24" s="97">
        <f t="shared" si="6"/>
        <v>0</v>
      </c>
      <c r="J24" s="97">
        <f t="shared" si="6"/>
        <v>0</v>
      </c>
      <c r="K24" s="97">
        <f t="shared" si="6"/>
        <v>0</v>
      </c>
      <c r="L24" s="97">
        <f t="shared" si="6"/>
        <v>0</v>
      </c>
      <c r="M24" s="97">
        <f t="shared" si="6"/>
        <v>0</v>
      </c>
    </row>
    <row r="25" spans="1:13" ht="15" x14ac:dyDescent="0.25">
      <c r="A25" s="209" t="s">
        <v>512</v>
      </c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1:13" ht="15" x14ac:dyDescent="0.25">
      <c r="A26" s="209" t="s">
        <v>513</v>
      </c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1:13" ht="15" x14ac:dyDescent="0.25">
      <c r="A27" s="209" t="s">
        <v>519</v>
      </c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1:13" ht="15" x14ac:dyDescent="0.25">
      <c r="A28" s="209" t="s">
        <v>520</v>
      </c>
    </row>
    <row r="29" spans="1:13" ht="15" x14ac:dyDescent="0.25">
      <c r="A29" s="213" t="s">
        <v>514</v>
      </c>
      <c r="B29" s="97">
        <f>SUM(B30:B33)</f>
        <v>0</v>
      </c>
      <c r="C29" s="97">
        <f t="shared" ref="C29:M29" si="7">SUM(C30:C33)</f>
        <v>0</v>
      </c>
      <c r="D29" s="97">
        <f t="shared" si="7"/>
        <v>0</v>
      </c>
      <c r="E29" s="97">
        <f t="shared" si="7"/>
        <v>0</v>
      </c>
      <c r="F29" s="97">
        <f t="shared" si="7"/>
        <v>0</v>
      </c>
      <c r="G29" s="97">
        <f t="shared" si="7"/>
        <v>0</v>
      </c>
      <c r="H29" s="97">
        <f t="shared" si="7"/>
        <v>0</v>
      </c>
      <c r="I29" s="97">
        <f t="shared" si="7"/>
        <v>0</v>
      </c>
      <c r="J29" s="97">
        <f t="shared" si="7"/>
        <v>0</v>
      </c>
      <c r="K29" s="97">
        <f t="shared" si="7"/>
        <v>0</v>
      </c>
      <c r="L29" s="97">
        <f t="shared" si="7"/>
        <v>0</v>
      </c>
      <c r="M29" s="97">
        <f t="shared" si="7"/>
        <v>0</v>
      </c>
    </row>
    <row r="30" spans="1:13" ht="15" x14ac:dyDescent="0.25">
      <c r="A30" s="209" t="s">
        <v>518</v>
      </c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1:13" ht="15" x14ac:dyDescent="0.25">
      <c r="A31" s="209" t="s">
        <v>515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1:13" ht="15" x14ac:dyDescent="0.25">
      <c r="A32" s="209" t="s">
        <v>516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1:13" ht="15" x14ac:dyDescent="0.25">
      <c r="A33" s="209" t="s">
        <v>517</v>
      </c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1:13" ht="15" x14ac:dyDescent="0.25">
      <c r="A34" s="209"/>
    </row>
    <row r="35" spans="1:13" ht="15" x14ac:dyDescent="0.25">
      <c r="A35" s="213" t="s">
        <v>526</v>
      </c>
      <c r="B35" s="95">
        <f>B36+B40</f>
        <v>0</v>
      </c>
      <c r="C35" s="95">
        <f t="shared" ref="C35:M35" si="8">C36+C40</f>
        <v>0</v>
      </c>
      <c r="D35" s="95">
        <f t="shared" si="8"/>
        <v>0</v>
      </c>
      <c r="E35" s="95">
        <f t="shared" si="8"/>
        <v>0</v>
      </c>
      <c r="F35" s="95">
        <f t="shared" si="8"/>
        <v>0</v>
      </c>
      <c r="G35" s="95">
        <f t="shared" si="8"/>
        <v>0</v>
      </c>
      <c r="H35" s="95">
        <f t="shared" si="8"/>
        <v>0</v>
      </c>
      <c r="I35" s="95">
        <f t="shared" si="8"/>
        <v>0</v>
      </c>
      <c r="J35" s="95">
        <f t="shared" si="8"/>
        <v>0</v>
      </c>
      <c r="K35" s="95">
        <f t="shared" si="8"/>
        <v>0</v>
      </c>
      <c r="L35" s="95">
        <f t="shared" si="8"/>
        <v>0</v>
      </c>
      <c r="M35" s="95">
        <f t="shared" si="8"/>
        <v>0</v>
      </c>
    </row>
    <row r="36" spans="1:13" ht="15" x14ac:dyDescent="0.25">
      <c r="A36" s="213" t="s">
        <v>527</v>
      </c>
      <c r="B36" s="95">
        <f>SUM(B37:B39)</f>
        <v>0</v>
      </c>
      <c r="C36" s="95">
        <f t="shared" ref="C36:M36" si="9">SUM(C37:C39)</f>
        <v>0</v>
      </c>
      <c r="D36" s="95">
        <f t="shared" si="9"/>
        <v>0</v>
      </c>
      <c r="E36" s="95">
        <f t="shared" si="9"/>
        <v>0</v>
      </c>
      <c r="F36" s="95">
        <f t="shared" si="9"/>
        <v>0</v>
      </c>
      <c r="G36" s="95">
        <f t="shared" si="9"/>
        <v>0</v>
      </c>
      <c r="H36" s="95">
        <f t="shared" si="9"/>
        <v>0</v>
      </c>
      <c r="I36" s="95">
        <f t="shared" si="9"/>
        <v>0</v>
      </c>
      <c r="J36" s="95">
        <f t="shared" si="9"/>
        <v>0</v>
      </c>
      <c r="K36" s="95">
        <f t="shared" si="9"/>
        <v>0</v>
      </c>
      <c r="L36" s="95">
        <f t="shared" si="9"/>
        <v>0</v>
      </c>
      <c r="M36" s="95">
        <f t="shared" si="9"/>
        <v>0</v>
      </c>
    </row>
    <row r="37" spans="1:13" ht="15" x14ac:dyDescent="0.25">
      <c r="A37" s="209" t="s">
        <v>521</v>
      </c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1:13" ht="15" x14ac:dyDescent="0.25">
      <c r="A38" s="209" t="s">
        <v>525</v>
      </c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1:13" ht="15" x14ac:dyDescent="0.25">
      <c r="A39" s="209" t="s">
        <v>529</v>
      </c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1:13" ht="15" x14ac:dyDescent="0.25">
      <c r="A40" s="213" t="s">
        <v>528</v>
      </c>
      <c r="B40" s="212">
        <f>SUM(B41:B44)</f>
        <v>0</v>
      </c>
      <c r="C40" s="212">
        <f t="shared" ref="C40:M40" si="10">SUM(C41:C44)</f>
        <v>0</v>
      </c>
      <c r="D40" s="212">
        <f t="shared" si="10"/>
        <v>0</v>
      </c>
      <c r="E40" s="212">
        <f t="shared" si="10"/>
        <v>0</v>
      </c>
      <c r="F40" s="212">
        <f t="shared" si="10"/>
        <v>0</v>
      </c>
      <c r="G40" s="212">
        <f t="shared" si="10"/>
        <v>0</v>
      </c>
      <c r="H40" s="212">
        <f t="shared" si="10"/>
        <v>0</v>
      </c>
      <c r="I40" s="212">
        <f t="shared" si="10"/>
        <v>0</v>
      </c>
      <c r="J40" s="212">
        <f t="shared" si="10"/>
        <v>0</v>
      </c>
      <c r="K40" s="212">
        <f t="shared" si="10"/>
        <v>0</v>
      </c>
      <c r="L40" s="212">
        <f t="shared" si="10"/>
        <v>0</v>
      </c>
      <c r="M40" s="212">
        <f t="shared" si="10"/>
        <v>0</v>
      </c>
    </row>
    <row r="41" spans="1:13" ht="15" x14ac:dyDescent="0.25">
      <c r="A41" s="209" t="s">
        <v>530</v>
      </c>
    </row>
    <row r="42" spans="1:13" ht="15" x14ac:dyDescent="0.25">
      <c r="A42" s="209" t="s">
        <v>531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3" ht="15" x14ac:dyDescent="0.25">
      <c r="A43" s="209" t="s">
        <v>532</v>
      </c>
    </row>
    <row r="44" spans="1:13" ht="15" x14ac:dyDescent="0.25">
      <c r="A44" s="209" t="s">
        <v>533</v>
      </c>
    </row>
    <row r="46" spans="1:13" ht="15" x14ac:dyDescent="0.25">
      <c r="A46" s="213" t="s">
        <v>534</v>
      </c>
      <c r="B46" s="95">
        <f>B5+B7+B23+B35</f>
        <v>0</v>
      </c>
      <c r="C46" s="95">
        <f t="shared" ref="C46:M46" si="11">C5+C7+C23+C35</f>
        <v>0</v>
      </c>
      <c r="D46" s="95">
        <f t="shared" si="11"/>
        <v>0</v>
      </c>
      <c r="E46" s="95">
        <f t="shared" si="11"/>
        <v>0</v>
      </c>
      <c r="F46" s="95">
        <f t="shared" si="11"/>
        <v>0</v>
      </c>
      <c r="G46" s="95">
        <f t="shared" si="11"/>
        <v>0</v>
      </c>
      <c r="H46" s="95">
        <f t="shared" si="11"/>
        <v>0</v>
      </c>
      <c r="I46" s="95">
        <f t="shared" si="11"/>
        <v>0</v>
      </c>
      <c r="J46" s="95">
        <f t="shared" si="11"/>
        <v>0</v>
      </c>
      <c r="K46" s="95">
        <f t="shared" si="11"/>
        <v>0</v>
      </c>
      <c r="L46" s="95">
        <f t="shared" si="11"/>
        <v>0</v>
      </c>
      <c r="M46" s="95">
        <f t="shared" si="11"/>
        <v>0</v>
      </c>
    </row>
    <row r="48" spans="1:13" x14ac:dyDescent="0.2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</row>
    <row r="49" spans="1:13" x14ac:dyDescent="0.2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</row>
    <row r="50" spans="1:13" x14ac:dyDescent="0.2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</row>
    <row r="51" spans="1:13" ht="15" x14ac:dyDescent="0.25">
      <c r="A51" s="209"/>
      <c r="M51" s="95"/>
    </row>
    <row r="52" spans="1:13" ht="15" x14ac:dyDescent="0.25">
      <c r="A52" s="209"/>
    </row>
    <row r="53" spans="1:13" ht="15" x14ac:dyDescent="0.25">
      <c r="A53" s="209"/>
    </row>
    <row r="54" spans="1:13" ht="15" x14ac:dyDescent="0.25">
      <c r="A54" s="209"/>
    </row>
    <row r="55" spans="1:13" ht="15" x14ac:dyDescent="0.25">
      <c r="A55" s="209"/>
    </row>
    <row r="56" spans="1:13" ht="15" x14ac:dyDescent="0.25">
      <c r="A56" s="209"/>
    </row>
  </sheetData>
  <conditionalFormatting sqref="B23:M23 B35:M35 B7:M7">
    <cfRule type="cellIs" dxfId="2" priority="5" operator="lessThan">
      <formula>0</formula>
    </cfRule>
  </conditionalFormatting>
  <conditionalFormatting sqref="B5:M5">
    <cfRule type="cellIs" dxfId="1" priority="2" operator="lessThan">
      <formula>0</formula>
    </cfRule>
  </conditionalFormatting>
  <conditionalFormatting sqref="B46:M46">
    <cfRule type="cellIs" dxfId="0" priority="1" operator="lessThan">
      <formula>0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200" verticalDpi="200" copies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2"/>
  <sheetViews>
    <sheetView topLeftCell="A35" workbookViewId="0">
      <selection activeCell="B80" sqref="B80"/>
    </sheetView>
  </sheetViews>
  <sheetFormatPr defaultColWidth="9.140625" defaultRowHeight="12.75" x14ac:dyDescent="0.2"/>
  <cols>
    <col min="1" max="1" width="25.42578125" style="5" customWidth="1"/>
    <col min="2" max="6" width="12.7109375" style="5" customWidth="1"/>
    <col min="7" max="16384" width="9.140625" style="5"/>
  </cols>
  <sheetData>
    <row r="1" spans="1:6" ht="15.75" thickBot="1" x14ac:dyDescent="0.3">
      <c r="A1" s="50" t="e">
        <f>#REF!</f>
        <v>#REF!</v>
      </c>
    </row>
    <row r="2" spans="1:6" ht="15.75" thickBot="1" x14ac:dyDescent="0.3">
      <c r="A2" s="50" t="s">
        <v>117</v>
      </c>
      <c r="B2" s="99" t="s">
        <v>126</v>
      </c>
      <c r="C2" s="99" t="s">
        <v>127</v>
      </c>
      <c r="D2" s="99" t="s">
        <v>128</v>
      </c>
      <c r="E2" s="99" t="s">
        <v>129</v>
      </c>
      <c r="F2" s="99" t="s">
        <v>130</v>
      </c>
    </row>
    <row r="3" spans="1:6" ht="15" x14ac:dyDescent="0.25">
      <c r="B3" s="98"/>
      <c r="C3" s="98"/>
      <c r="D3" s="98"/>
      <c r="E3" s="98"/>
      <c r="F3" s="98"/>
    </row>
    <row r="4" spans="1:6" x14ac:dyDescent="0.2">
      <c r="A4" s="13"/>
    </row>
    <row r="5" spans="1:6" x14ac:dyDescent="0.2">
      <c r="A5" s="13" t="s">
        <v>118</v>
      </c>
      <c r="B5" s="94"/>
      <c r="C5" s="94"/>
      <c r="D5" s="94"/>
      <c r="E5" s="94"/>
      <c r="F5" s="94"/>
    </row>
    <row r="6" spans="1:6" x14ac:dyDescent="0.2">
      <c r="A6" s="13" t="s">
        <v>119</v>
      </c>
      <c r="B6" s="94"/>
      <c r="C6" s="94"/>
      <c r="D6" s="94"/>
      <c r="E6" s="94"/>
      <c r="F6" s="94"/>
    </row>
    <row r="7" spans="1:6" x14ac:dyDescent="0.2">
      <c r="A7" s="13" t="s">
        <v>120</v>
      </c>
      <c r="B7" s="94"/>
      <c r="C7" s="94"/>
      <c r="D7" s="94"/>
      <c r="E7" s="94"/>
      <c r="F7" s="94"/>
    </row>
    <row r="8" spans="1:6" x14ac:dyDescent="0.2">
      <c r="A8" s="13" t="s">
        <v>2</v>
      </c>
      <c r="B8" s="94"/>
      <c r="C8" s="94"/>
      <c r="D8" s="94"/>
      <c r="E8" s="94"/>
      <c r="F8" s="94"/>
    </row>
    <row r="9" spans="1:6" x14ac:dyDescent="0.2">
      <c r="A9" s="13"/>
    </row>
    <row r="10" spans="1:6" x14ac:dyDescent="0.2">
      <c r="A10" s="13" t="s">
        <v>13</v>
      </c>
      <c r="B10" s="95">
        <f>SUM(B5:B8)</f>
        <v>0</v>
      </c>
      <c r="C10" s="95">
        <f>SUM(C5:C8)</f>
        <v>0</v>
      </c>
      <c r="D10" s="95">
        <f>SUM(D5:D8)</f>
        <v>0</v>
      </c>
      <c r="E10" s="95">
        <f>SUM(E5:E8)</f>
        <v>0</v>
      </c>
      <c r="F10" s="95">
        <f>SUM(F5:F8)</f>
        <v>0</v>
      </c>
    </row>
    <row r="12" spans="1:6" x14ac:dyDescent="0.2">
      <c r="A12" s="13" t="s">
        <v>3</v>
      </c>
      <c r="B12" s="94"/>
      <c r="C12" s="94"/>
      <c r="D12" s="94"/>
      <c r="E12" s="94"/>
      <c r="F12" s="94"/>
    </row>
    <row r="13" spans="1:6" x14ac:dyDescent="0.2">
      <c r="A13" s="13" t="s">
        <v>113</v>
      </c>
      <c r="B13" s="94"/>
      <c r="C13" s="94"/>
      <c r="D13" s="94"/>
      <c r="E13" s="94"/>
      <c r="F13" s="94"/>
    </row>
    <row r="14" spans="1:6" x14ac:dyDescent="0.2">
      <c r="A14" s="13" t="s">
        <v>116</v>
      </c>
      <c r="B14" s="94"/>
      <c r="C14" s="94"/>
      <c r="D14" s="94"/>
      <c r="E14" s="94"/>
      <c r="F14" s="94"/>
    </row>
    <row r="15" spans="1:6" x14ac:dyDescent="0.2">
      <c r="A15" s="13" t="s">
        <v>114</v>
      </c>
      <c r="B15" s="94"/>
      <c r="C15" s="94"/>
      <c r="D15" s="94"/>
      <c r="E15" s="94"/>
      <c r="F15" s="94"/>
    </row>
    <row r="16" spans="1:6" x14ac:dyDescent="0.2">
      <c r="A16" s="13" t="s">
        <v>112</v>
      </c>
      <c r="B16" s="94"/>
      <c r="C16" s="94"/>
      <c r="D16" s="94"/>
      <c r="E16" s="94"/>
      <c r="F16" s="94"/>
    </row>
    <row r="17" spans="1:6" x14ac:dyDescent="0.2">
      <c r="A17" s="13" t="s">
        <v>111</v>
      </c>
      <c r="B17" s="94"/>
      <c r="C17" s="94"/>
      <c r="D17" s="94"/>
      <c r="E17" s="94"/>
      <c r="F17" s="94"/>
    </row>
    <row r="18" spans="1:6" x14ac:dyDescent="0.2">
      <c r="A18" s="13" t="s">
        <v>110</v>
      </c>
      <c r="B18" s="94"/>
      <c r="C18" s="94"/>
      <c r="D18" s="94"/>
      <c r="E18" s="94"/>
      <c r="F18" s="94"/>
    </row>
    <row r="20" spans="1:6" x14ac:dyDescent="0.2">
      <c r="A20" s="13" t="s">
        <v>14</v>
      </c>
      <c r="B20" s="95">
        <f>SUM(B12:B18)</f>
        <v>0</v>
      </c>
      <c r="C20" s="95">
        <f>SUM(C12:C18)</f>
        <v>0</v>
      </c>
      <c r="D20" s="95">
        <f>SUM(D12:D18)</f>
        <v>0</v>
      </c>
      <c r="E20" s="95">
        <f>SUM(E12:E18)</f>
        <v>0</v>
      </c>
      <c r="F20" s="95">
        <f>SUM(F12:F18)</f>
        <v>0</v>
      </c>
    </row>
    <row r="22" spans="1:6" x14ac:dyDescent="0.2">
      <c r="A22" s="13" t="s">
        <v>121</v>
      </c>
      <c r="B22" s="95">
        <f>B10-B20</f>
        <v>0</v>
      </c>
      <c r="C22" s="95">
        <f>C10-C20</f>
        <v>0</v>
      </c>
      <c r="D22" s="95">
        <f>D10-D20</f>
        <v>0</v>
      </c>
      <c r="E22" s="95">
        <f>E10-E20</f>
        <v>0</v>
      </c>
      <c r="F22" s="95">
        <f>F10-F20</f>
        <v>0</v>
      </c>
    </row>
    <row r="24" spans="1:6" ht="15.75" thickBot="1" x14ac:dyDescent="0.3">
      <c r="A24" s="50" t="s">
        <v>122</v>
      </c>
    </row>
    <row r="26" spans="1:6" x14ac:dyDescent="0.2">
      <c r="A26" s="13" t="s">
        <v>119</v>
      </c>
      <c r="B26" s="95">
        <f t="shared" ref="B26:F28" si="0">B6</f>
        <v>0</v>
      </c>
      <c r="C26" s="95">
        <f t="shared" si="0"/>
        <v>0</v>
      </c>
      <c r="D26" s="95">
        <f t="shared" si="0"/>
        <v>0</v>
      </c>
      <c r="E26" s="95">
        <f t="shared" si="0"/>
        <v>0</v>
      </c>
      <c r="F26" s="95">
        <f t="shared" si="0"/>
        <v>0</v>
      </c>
    </row>
    <row r="27" spans="1:6" x14ac:dyDescent="0.2">
      <c r="A27" s="13" t="s">
        <v>120</v>
      </c>
      <c r="B27" s="95">
        <f t="shared" si="0"/>
        <v>0</v>
      </c>
      <c r="C27" s="95">
        <f t="shared" si="0"/>
        <v>0</v>
      </c>
      <c r="D27" s="95">
        <f t="shared" si="0"/>
        <v>0</v>
      </c>
      <c r="E27" s="95">
        <f t="shared" si="0"/>
        <v>0</v>
      </c>
      <c r="F27" s="95">
        <f t="shared" si="0"/>
        <v>0</v>
      </c>
    </row>
    <row r="28" spans="1:6" x14ac:dyDescent="0.2">
      <c r="A28" s="13" t="s">
        <v>2</v>
      </c>
      <c r="B28" s="95">
        <f t="shared" si="0"/>
        <v>0</v>
      </c>
      <c r="C28" s="95">
        <f t="shared" si="0"/>
        <v>0</v>
      </c>
      <c r="D28" s="95">
        <f t="shared" si="0"/>
        <v>0</v>
      </c>
      <c r="E28" s="95">
        <f t="shared" si="0"/>
        <v>0</v>
      </c>
      <c r="F28" s="95">
        <f t="shared" si="0"/>
        <v>0</v>
      </c>
    </row>
    <row r="29" spans="1:6" ht="15" x14ac:dyDescent="0.25">
      <c r="A29" s="13" t="s">
        <v>123</v>
      </c>
      <c r="B29" s="93">
        <f>SUM(B26:B28)</f>
        <v>0</v>
      </c>
      <c r="C29" s="93">
        <f>SUM(C26:C28)</f>
        <v>0</v>
      </c>
      <c r="D29" s="93">
        <f>SUM(D26:D28)</f>
        <v>0</v>
      </c>
      <c r="E29" s="93">
        <f>SUM(E26:E28)</f>
        <v>0</v>
      </c>
      <c r="F29" s="93">
        <f>SUM(F26:F28)</f>
        <v>0</v>
      </c>
    </row>
    <row r="31" spans="1:6" x14ac:dyDescent="0.2">
      <c r="A31" s="13" t="s">
        <v>3</v>
      </c>
      <c r="B31" s="95">
        <f t="shared" ref="B31:F33" si="1">B12</f>
        <v>0</v>
      </c>
      <c r="C31" s="95">
        <f t="shared" si="1"/>
        <v>0</v>
      </c>
      <c r="D31" s="95">
        <f t="shared" si="1"/>
        <v>0</v>
      </c>
      <c r="E31" s="95">
        <f t="shared" si="1"/>
        <v>0</v>
      </c>
      <c r="F31" s="95">
        <f t="shared" si="1"/>
        <v>0</v>
      </c>
    </row>
    <row r="32" spans="1:6" x14ac:dyDescent="0.2">
      <c r="A32" s="13" t="s">
        <v>113</v>
      </c>
      <c r="B32" s="95">
        <f t="shared" si="1"/>
        <v>0</v>
      </c>
      <c r="C32" s="95">
        <f t="shared" si="1"/>
        <v>0</v>
      </c>
      <c r="D32" s="95">
        <f t="shared" si="1"/>
        <v>0</v>
      </c>
      <c r="E32" s="95">
        <f t="shared" si="1"/>
        <v>0</v>
      </c>
      <c r="F32" s="95">
        <f t="shared" si="1"/>
        <v>0</v>
      </c>
    </row>
    <row r="33" spans="1:6" x14ac:dyDescent="0.2">
      <c r="A33" s="13" t="s">
        <v>116</v>
      </c>
      <c r="B33" s="95">
        <f t="shared" si="1"/>
        <v>0</v>
      </c>
      <c r="C33" s="95">
        <f t="shared" si="1"/>
        <v>0</v>
      </c>
      <c r="D33" s="95">
        <f t="shared" si="1"/>
        <v>0</v>
      </c>
      <c r="E33" s="95">
        <f t="shared" si="1"/>
        <v>0</v>
      </c>
      <c r="F33" s="95">
        <f t="shared" si="1"/>
        <v>0</v>
      </c>
    </row>
    <row r="34" spans="1:6" x14ac:dyDescent="0.2">
      <c r="A34" s="13" t="s">
        <v>112</v>
      </c>
      <c r="B34" s="95">
        <f t="shared" ref="B34:F36" si="2">B16</f>
        <v>0</v>
      </c>
      <c r="C34" s="95">
        <f t="shared" si="2"/>
        <v>0</v>
      </c>
      <c r="D34" s="95">
        <f t="shared" si="2"/>
        <v>0</v>
      </c>
      <c r="E34" s="95">
        <f t="shared" si="2"/>
        <v>0</v>
      </c>
      <c r="F34" s="95">
        <f t="shared" si="2"/>
        <v>0</v>
      </c>
    </row>
    <row r="35" spans="1:6" x14ac:dyDescent="0.2">
      <c r="A35" s="13" t="s">
        <v>111</v>
      </c>
      <c r="B35" s="95">
        <f t="shared" si="2"/>
        <v>0</v>
      </c>
      <c r="C35" s="95">
        <f t="shared" si="2"/>
        <v>0</v>
      </c>
      <c r="D35" s="95">
        <f t="shared" si="2"/>
        <v>0</v>
      </c>
      <c r="E35" s="95">
        <f t="shared" si="2"/>
        <v>0</v>
      </c>
      <c r="F35" s="95">
        <f t="shared" si="2"/>
        <v>0</v>
      </c>
    </row>
    <row r="36" spans="1:6" x14ac:dyDescent="0.2">
      <c r="A36" s="13" t="s">
        <v>110</v>
      </c>
      <c r="B36" s="95">
        <f t="shared" si="2"/>
        <v>0</v>
      </c>
      <c r="C36" s="95">
        <f t="shared" si="2"/>
        <v>0</v>
      </c>
      <c r="D36" s="95">
        <f t="shared" si="2"/>
        <v>0</v>
      </c>
      <c r="E36" s="95">
        <f t="shared" si="2"/>
        <v>0</v>
      </c>
      <c r="F36" s="95">
        <f t="shared" si="2"/>
        <v>0</v>
      </c>
    </row>
    <row r="37" spans="1:6" x14ac:dyDescent="0.2">
      <c r="A37" s="13"/>
      <c r="B37" s="95"/>
      <c r="C37" s="95"/>
      <c r="D37" s="95"/>
      <c r="E37" s="95"/>
      <c r="F37" s="95"/>
    </row>
    <row r="38" spans="1:6" ht="15" x14ac:dyDescent="0.25">
      <c r="A38" s="13" t="s">
        <v>124</v>
      </c>
      <c r="B38" s="96">
        <f>SUM(B31:B36)</f>
        <v>0</v>
      </c>
      <c r="C38" s="96">
        <f>SUM(C31:C36)</f>
        <v>0</v>
      </c>
      <c r="D38" s="96">
        <f>SUM(D31:D36)</f>
        <v>0</v>
      </c>
      <c r="E38" s="96">
        <f>SUM(E31:E36)</f>
        <v>0</v>
      </c>
      <c r="F38" s="96">
        <f>SUM(F31:F36)</f>
        <v>0</v>
      </c>
    </row>
    <row r="40" spans="1:6" x14ac:dyDescent="0.2">
      <c r="A40" s="13" t="s">
        <v>51</v>
      </c>
      <c r="B40" s="97">
        <f>B29-B38</f>
        <v>0</v>
      </c>
      <c r="C40" s="97">
        <f>C29-C38</f>
        <v>0</v>
      </c>
      <c r="D40" s="97">
        <f>D29-D38</f>
        <v>0</v>
      </c>
      <c r="E40" s="97">
        <f>E29-E38</f>
        <v>0</v>
      </c>
      <c r="F40" s="97">
        <f>F29-F38</f>
        <v>0</v>
      </c>
    </row>
    <row r="42" spans="1:6" x14ac:dyDescent="0.2">
      <c r="A42" s="13" t="s">
        <v>125</v>
      </c>
      <c r="B42" s="95">
        <f>B40-B22</f>
        <v>0</v>
      </c>
      <c r="C42" s="95">
        <f>C40-C22</f>
        <v>0</v>
      </c>
      <c r="D42" s="95">
        <f>D40-D22</f>
        <v>0</v>
      </c>
      <c r="E42" s="95">
        <f>E40-E22</f>
        <v>0</v>
      </c>
      <c r="F42" s="95">
        <f>F40-F22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6"/>
  <sheetViews>
    <sheetView workbookViewId="0">
      <selection activeCell="D33" sqref="D33"/>
    </sheetView>
  </sheetViews>
  <sheetFormatPr defaultColWidth="9.140625" defaultRowHeight="12.75" x14ac:dyDescent="0.2"/>
  <cols>
    <col min="1" max="1" width="44" style="5" customWidth="1"/>
    <col min="2" max="2" width="17.5703125" style="5" bestFit="1" customWidth="1"/>
    <col min="3" max="6" width="12.7109375" style="5" customWidth="1"/>
    <col min="7" max="16384" width="9.140625" style="5"/>
  </cols>
  <sheetData>
    <row r="1" spans="1:8" ht="15.75" thickBot="1" x14ac:dyDescent="0.3">
      <c r="A1" s="50"/>
    </row>
    <row r="2" spans="1:8" ht="15.75" thickBot="1" x14ac:dyDescent="0.3">
      <c r="A2" s="50" t="s">
        <v>131</v>
      </c>
    </row>
    <row r="4" spans="1:8" ht="15" x14ac:dyDescent="0.25">
      <c r="B4" s="99" t="s">
        <v>126</v>
      </c>
      <c r="C4" s="99" t="s">
        <v>127</v>
      </c>
      <c r="D4" s="99" t="s">
        <v>128</v>
      </c>
      <c r="E4" s="99" t="s">
        <v>129</v>
      </c>
      <c r="F4" s="99" t="s">
        <v>130</v>
      </c>
    </row>
    <row r="5" spans="1:8" x14ac:dyDescent="0.2">
      <c r="A5" s="5" t="s">
        <v>132</v>
      </c>
      <c r="B5" s="102"/>
      <c r="C5" s="102"/>
      <c r="D5" s="102"/>
      <c r="E5" s="102"/>
      <c r="F5" s="102"/>
    </row>
    <row r="6" spans="1:8" x14ac:dyDescent="0.2">
      <c r="A6" s="5" t="s">
        <v>133</v>
      </c>
      <c r="B6" s="102"/>
      <c r="C6" s="102"/>
      <c r="D6" s="102"/>
      <c r="E6" s="102"/>
      <c r="F6" s="102"/>
    </row>
    <row r="7" spans="1:8" x14ac:dyDescent="0.2">
      <c r="A7" s="5" t="s">
        <v>137</v>
      </c>
      <c r="B7" s="102"/>
      <c r="C7" s="102"/>
      <c r="D7" s="102"/>
      <c r="E7" s="102"/>
      <c r="F7" s="102"/>
    </row>
    <row r="8" spans="1:8" x14ac:dyDescent="0.2">
      <c r="A8" s="5" t="s">
        <v>138</v>
      </c>
      <c r="B8" s="95"/>
      <c r="C8" s="95"/>
      <c r="D8" s="95"/>
      <c r="E8" s="95"/>
      <c r="F8" s="95"/>
    </row>
    <row r="9" spans="1:8" x14ac:dyDescent="0.2">
      <c r="A9" s="5" t="s">
        <v>139</v>
      </c>
      <c r="B9" s="103"/>
      <c r="C9" s="103"/>
      <c r="D9" s="103"/>
      <c r="E9" s="103"/>
      <c r="F9" s="103"/>
    </row>
    <row r="10" spans="1:8" x14ac:dyDescent="0.2">
      <c r="A10" s="5" t="s">
        <v>134</v>
      </c>
      <c r="B10" s="102"/>
      <c r="C10" s="102"/>
      <c r="D10" s="102"/>
      <c r="E10" s="102"/>
      <c r="F10" s="102"/>
    </row>
    <row r="11" spans="1:8" x14ac:dyDescent="0.2">
      <c r="A11" s="5" t="s">
        <v>140</v>
      </c>
      <c r="B11" s="104"/>
      <c r="C11" s="104"/>
      <c r="D11" s="104"/>
      <c r="E11" s="104"/>
      <c r="F11" s="104"/>
    </row>
    <row r="12" spans="1:8" x14ac:dyDescent="0.2">
      <c r="A12" s="5" t="s">
        <v>141</v>
      </c>
      <c r="B12" s="95"/>
      <c r="C12" s="95"/>
      <c r="D12" s="95"/>
      <c r="E12" s="95"/>
      <c r="F12" s="95"/>
    </row>
    <row r="13" spans="1:8" x14ac:dyDescent="0.2">
      <c r="A13" s="5" t="s">
        <v>142</v>
      </c>
      <c r="B13" s="104"/>
      <c r="C13" s="104"/>
      <c r="D13" s="104"/>
      <c r="E13" s="104"/>
      <c r="F13" s="104"/>
    </row>
    <row r="14" spans="1:8" x14ac:dyDescent="0.2">
      <c r="A14" s="5" t="s">
        <v>143</v>
      </c>
      <c r="B14" s="95"/>
      <c r="C14" s="95"/>
      <c r="D14" s="95"/>
      <c r="E14" s="95"/>
      <c r="F14" s="95"/>
      <c r="H14" s="5" t="s">
        <v>145</v>
      </c>
    </row>
    <row r="15" spans="1:8" x14ac:dyDescent="0.2">
      <c r="A15" s="5" t="s">
        <v>144</v>
      </c>
      <c r="B15" s="104"/>
      <c r="C15" s="104"/>
      <c r="D15" s="104"/>
      <c r="E15" s="104"/>
      <c r="F15" s="104"/>
    </row>
    <row r="17" spans="1:3" ht="15" x14ac:dyDescent="0.25">
      <c r="A17" s="105" t="s">
        <v>135</v>
      </c>
      <c r="B17" s="106" t="s">
        <v>56</v>
      </c>
      <c r="C17" s="107" t="s">
        <v>154</v>
      </c>
    </row>
    <row r="18" spans="1:3" ht="15" x14ac:dyDescent="0.25">
      <c r="A18" s="100" t="s">
        <v>146</v>
      </c>
      <c r="B18" s="101"/>
      <c r="C18" s="100"/>
    </row>
    <row r="19" spans="1:3" ht="15" x14ac:dyDescent="0.25">
      <c r="A19" s="100" t="s">
        <v>147</v>
      </c>
      <c r="B19" s="101"/>
      <c r="C19" s="101">
        <f>B19-B18</f>
        <v>0</v>
      </c>
    </row>
    <row r="20" spans="1:3" ht="15" x14ac:dyDescent="0.25">
      <c r="A20" s="100" t="s">
        <v>148</v>
      </c>
      <c r="B20" s="101"/>
      <c r="C20" s="101">
        <f>B20-B18</f>
        <v>0</v>
      </c>
    </row>
    <row r="21" spans="1:3" ht="15" x14ac:dyDescent="0.25">
      <c r="A21" s="100" t="s">
        <v>149</v>
      </c>
      <c r="B21" s="101"/>
      <c r="C21" s="101">
        <f>B21-B18</f>
        <v>0</v>
      </c>
    </row>
    <row r="22" spans="1:3" ht="15" x14ac:dyDescent="0.25">
      <c r="A22" s="100" t="s">
        <v>136</v>
      </c>
      <c r="B22" s="108"/>
      <c r="C22" s="100"/>
    </row>
    <row r="23" spans="1:3" ht="15" x14ac:dyDescent="0.25">
      <c r="A23" s="100" t="s">
        <v>150</v>
      </c>
      <c r="B23" s="101" t="e">
        <f>B18/$B$22</f>
        <v>#DIV/0!</v>
      </c>
      <c r="C23" s="100"/>
    </row>
    <row r="24" spans="1:3" ht="15" x14ac:dyDescent="0.25">
      <c r="A24" s="100" t="s">
        <v>151</v>
      </c>
      <c r="B24" s="101" t="e">
        <f>B19/$B$22</f>
        <v>#DIV/0!</v>
      </c>
      <c r="C24" s="101" t="e">
        <f>B24-B23</f>
        <v>#DIV/0!</v>
      </c>
    </row>
    <row r="25" spans="1:3" ht="15" x14ac:dyDescent="0.25">
      <c r="A25" s="100" t="s">
        <v>152</v>
      </c>
      <c r="B25" s="101" t="e">
        <f>B20/$B$22</f>
        <v>#DIV/0!</v>
      </c>
      <c r="C25" s="101" t="e">
        <f>B25-B23</f>
        <v>#DIV/0!</v>
      </c>
    </row>
    <row r="26" spans="1:3" ht="15" x14ac:dyDescent="0.25">
      <c r="A26" s="100" t="s">
        <v>153</v>
      </c>
      <c r="B26" s="101" t="e">
        <f>B21/$B$22</f>
        <v>#DIV/0!</v>
      </c>
      <c r="C26" s="101" t="e">
        <f>B26-B23</f>
        <v>#DIV/0!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R51"/>
  <sheetViews>
    <sheetView workbookViewId="0">
      <selection activeCell="E40" sqref="E40"/>
    </sheetView>
  </sheetViews>
  <sheetFormatPr defaultRowHeight="12.75" x14ac:dyDescent="0.2"/>
  <cols>
    <col min="1" max="1" width="8.5703125" customWidth="1"/>
    <col min="2" max="2" width="23.5703125" customWidth="1"/>
    <col min="3" max="3" width="24" customWidth="1"/>
    <col min="4" max="4" width="24.42578125" customWidth="1"/>
    <col min="5" max="15" width="11.5703125" bestFit="1" customWidth="1"/>
    <col min="16" max="17" width="12.7109375" bestFit="1" customWidth="1"/>
  </cols>
  <sheetData>
    <row r="1" spans="1:18" ht="15.95" customHeight="1" thickBot="1" x14ac:dyDescent="0.25">
      <c r="A1" s="282" t="s">
        <v>108</v>
      </c>
      <c r="B1" s="282"/>
      <c r="C1" s="282" t="s">
        <v>59</v>
      </c>
      <c r="D1" s="284"/>
      <c r="E1" s="285" t="s">
        <v>458</v>
      </c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7"/>
      <c r="R1" s="49"/>
    </row>
    <row r="2" spans="1:18" ht="17.25" customHeight="1" x14ac:dyDescent="0.2">
      <c r="A2" s="83" t="s">
        <v>109</v>
      </c>
      <c r="B2" s="83" t="s">
        <v>7</v>
      </c>
      <c r="C2" s="83" t="s">
        <v>109</v>
      </c>
      <c r="D2" s="83" t="s">
        <v>7</v>
      </c>
      <c r="E2" s="201" t="s">
        <v>96</v>
      </c>
      <c r="F2" s="201" t="s">
        <v>97</v>
      </c>
      <c r="G2" s="201" t="s">
        <v>98</v>
      </c>
      <c r="H2" s="201" t="s">
        <v>99</v>
      </c>
      <c r="I2" s="201" t="s">
        <v>100</v>
      </c>
      <c r="J2" s="201" t="s">
        <v>101</v>
      </c>
      <c r="K2" s="201" t="s">
        <v>102</v>
      </c>
      <c r="L2" s="201" t="s">
        <v>103</v>
      </c>
      <c r="M2" s="201" t="s">
        <v>104</v>
      </c>
      <c r="N2" s="201" t="s">
        <v>105</v>
      </c>
      <c r="O2" s="201" t="s">
        <v>106</v>
      </c>
      <c r="P2" s="201" t="s">
        <v>107</v>
      </c>
      <c r="Q2" s="201" t="s">
        <v>28</v>
      </c>
    </row>
    <row r="3" spans="1:18" x14ac:dyDescent="0.2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8" ht="15" x14ac:dyDescent="0.25">
      <c r="A4" s="3">
        <f>Cadastro!E56</f>
        <v>1</v>
      </c>
      <c r="B4" s="3" t="str">
        <f>Cadastro!F56</f>
        <v>Câmaras e Filmadoras</v>
      </c>
      <c r="C4" s="3">
        <f>Cadastro!G56</f>
        <v>11</v>
      </c>
      <c r="D4" s="3" t="str">
        <f>Cadastro!H56</f>
        <v>Câmara Digital 3D 18.2 MP</v>
      </c>
      <c r="E4" s="117">
        <v>1000</v>
      </c>
      <c r="F4" s="117">
        <v>1000</v>
      </c>
      <c r="G4" s="117">
        <v>1000</v>
      </c>
      <c r="H4" s="117">
        <v>1000</v>
      </c>
      <c r="I4" s="117">
        <v>1000</v>
      </c>
      <c r="J4" s="117">
        <v>1000</v>
      </c>
      <c r="K4" s="117">
        <v>1000</v>
      </c>
      <c r="L4" s="117">
        <v>1000</v>
      </c>
      <c r="M4" s="117">
        <v>1000</v>
      </c>
      <c r="N4" s="117">
        <v>1000</v>
      </c>
      <c r="O4" s="117">
        <v>1000</v>
      </c>
      <c r="P4" s="117">
        <v>1000</v>
      </c>
      <c r="Q4" s="229">
        <f>SUM(E4:P4)</f>
        <v>12000</v>
      </c>
    </row>
    <row r="5" spans="1:18" ht="15" x14ac:dyDescent="0.25">
      <c r="A5" s="3">
        <f>Cadastro!E57</f>
        <v>2</v>
      </c>
      <c r="B5" s="3" t="str">
        <f>Cadastro!F57</f>
        <v>TV's e Audio</v>
      </c>
      <c r="C5" s="3">
        <f>Cadastro!G57</f>
        <v>21</v>
      </c>
      <c r="D5" s="3" t="str">
        <f>Cadastro!H57</f>
        <v>TV 3 D 32"</v>
      </c>
      <c r="E5" s="117">
        <v>1000</v>
      </c>
      <c r="F5" s="117">
        <v>1000</v>
      </c>
      <c r="G5" s="117">
        <v>1000</v>
      </c>
      <c r="H5" s="117">
        <v>1000</v>
      </c>
      <c r="I5" s="117">
        <v>1000</v>
      </c>
      <c r="J5" s="117">
        <v>1000</v>
      </c>
      <c r="K5" s="117">
        <v>1000</v>
      </c>
      <c r="L5" s="117">
        <v>1000</v>
      </c>
      <c r="M5" s="117">
        <v>1000</v>
      </c>
      <c r="N5" s="117">
        <v>1000</v>
      </c>
      <c r="O5" s="117">
        <v>1000</v>
      </c>
      <c r="P5" s="117">
        <v>1000</v>
      </c>
      <c r="Q5" s="229">
        <f>SUM(E5:P5)</f>
        <v>12000</v>
      </c>
    </row>
    <row r="6" spans="1:18" ht="15" x14ac:dyDescent="0.25">
      <c r="A6" s="3">
        <f>Cadastro!E58</f>
        <v>3</v>
      </c>
      <c r="B6" s="3" t="str">
        <f>Cadastro!F58</f>
        <v>Computadores</v>
      </c>
      <c r="C6" s="3">
        <f>Cadastro!G58</f>
        <v>31</v>
      </c>
      <c r="D6" s="3" t="str">
        <f>Cadastro!H58</f>
        <v>Desktop Dual Core 2GB</v>
      </c>
      <c r="E6" s="117">
        <v>1000</v>
      </c>
      <c r="F6" s="117">
        <v>1000</v>
      </c>
      <c r="G6" s="117">
        <v>1000</v>
      </c>
      <c r="H6" s="117">
        <v>1000</v>
      </c>
      <c r="I6" s="117">
        <v>1000</v>
      </c>
      <c r="J6" s="117">
        <v>1000</v>
      </c>
      <c r="K6" s="117">
        <v>1000</v>
      </c>
      <c r="L6" s="117">
        <v>1000</v>
      </c>
      <c r="M6" s="117">
        <v>1000</v>
      </c>
      <c r="N6" s="117">
        <v>1000</v>
      </c>
      <c r="O6" s="117">
        <v>1000</v>
      </c>
      <c r="P6" s="117">
        <v>1000</v>
      </c>
      <c r="Q6" s="229">
        <f>SUM(E6:P6)</f>
        <v>12000</v>
      </c>
    </row>
    <row r="7" spans="1:18" x14ac:dyDescent="0.2">
      <c r="A7" s="79"/>
      <c r="B7" s="79"/>
      <c r="C7" s="79"/>
      <c r="D7" s="79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>
        <f>SUM(E7:P7)</f>
        <v>0</v>
      </c>
    </row>
    <row r="8" spans="1:18" ht="15" x14ac:dyDescent="0.25">
      <c r="A8" s="79"/>
      <c r="B8" s="79"/>
      <c r="C8" s="79"/>
      <c r="D8" s="82" t="s">
        <v>28</v>
      </c>
      <c r="E8" s="229">
        <f t="shared" ref="E8:Q8" si="0">SUM(E4:E7)</f>
        <v>3000</v>
      </c>
      <c r="F8" s="229">
        <f t="shared" si="0"/>
        <v>3000</v>
      </c>
      <c r="G8" s="229">
        <f t="shared" si="0"/>
        <v>3000</v>
      </c>
      <c r="H8" s="229">
        <f t="shared" si="0"/>
        <v>3000</v>
      </c>
      <c r="I8" s="229">
        <f t="shared" si="0"/>
        <v>3000</v>
      </c>
      <c r="J8" s="229">
        <f t="shared" si="0"/>
        <v>3000</v>
      </c>
      <c r="K8" s="229">
        <f t="shared" si="0"/>
        <v>3000</v>
      </c>
      <c r="L8" s="229">
        <f t="shared" si="0"/>
        <v>3000</v>
      </c>
      <c r="M8" s="229">
        <f t="shared" si="0"/>
        <v>3000</v>
      </c>
      <c r="N8" s="229">
        <f t="shared" si="0"/>
        <v>3000</v>
      </c>
      <c r="O8" s="229">
        <f t="shared" si="0"/>
        <v>3000</v>
      </c>
      <c r="P8" s="229">
        <f t="shared" si="0"/>
        <v>3000</v>
      </c>
      <c r="Q8" s="229">
        <f t="shared" si="0"/>
        <v>36000</v>
      </c>
    </row>
    <row r="11" spans="1:18" ht="15" x14ac:dyDescent="0.25">
      <c r="A11" s="288" t="s">
        <v>59</v>
      </c>
      <c r="B11" s="288"/>
      <c r="C11" s="86" t="s">
        <v>50</v>
      </c>
      <c r="D11" s="86"/>
      <c r="E11" s="288" t="s">
        <v>544</v>
      </c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</row>
    <row r="12" spans="1:18" ht="15" x14ac:dyDescent="0.25">
      <c r="A12" s="87" t="s">
        <v>6</v>
      </c>
      <c r="B12" s="87" t="s">
        <v>7</v>
      </c>
      <c r="C12" s="87"/>
      <c r="D12" s="87" t="s">
        <v>541</v>
      </c>
      <c r="E12" s="218" t="s">
        <v>96</v>
      </c>
      <c r="F12" s="218" t="s">
        <v>97</v>
      </c>
      <c r="G12" s="218" t="s">
        <v>98</v>
      </c>
      <c r="H12" s="218" t="s">
        <v>99</v>
      </c>
      <c r="I12" s="218" t="s">
        <v>100</v>
      </c>
      <c r="J12" s="218" t="s">
        <v>101</v>
      </c>
      <c r="K12" s="218" t="s">
        <v>102</v>
      </c>
      <c r="L12" s="218" t="s">
        <v>103</v>
      </c>
      <c r="M12" s="218" t="s">
        <v>104</v>
      </c>
      <c r="N12" s="218" t="s">
        <v>105</v>
      </c>
      <c r="O12" s="218" t="s">
        <v>106</v>
      </c>
      <c r="P12" s="218" t="s">
        <v>107</v>
      </c>
      <c r="Q12" s="218" t="s">
        <v>28</v>
      </c>
    </row>
    <row r="13" spans="1:18" x14ac:dyDescent="0.2">
      <c r="A13" s="241"/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</row>
    <row r="14" spans="1:18" ht="15" x14ac:dyDescent="0.25">
      <c r="A14" s="241"/>
      <c r="B14" s="241"/>
      <c r="C14" s="241"/>
      <c r="D14" s="269" t="s">
        <v>681</v>
      </c>
      <c r="E14" s="124">
        <f>E16+E22+E28</f>
        <v>6570600</v>
      </c>
      <c r="F14" s="124">
        <f t="shared" ref="F14:P14" si="1">F16+F22+F28</f>
        <v>3285300</v>
      </c>
      <c r="G14" s="124">
        <f t="shared" si="1"/>
        <v>3285300</v>
      </c>
      <c r="H14" s="124">
        <f t="shared" si="1"/>
        <v>3285300</v>
      </c>
      <c r="I14" s="124">
        <f t="shared" si="1"/>
        <v>3285300</v>
      </c>
      <c r="J14" s="124">
        <f t="shared" si="1"/>
        <v>3285300</v>
      </c>
      <c r="K14" s="124">
        <f t="shared" si="1"/>
        <v>3285300</v>
      </c>
      <c r="L14" s="124">
        <f t="shared" si="1"/>
        <v>3285300</v>
      </c>
      <c r="M14" s="124">
        <f t="shared" si="1"/>
        <v>3285300</v>
      </c>
      <c r="N14" s="124">
        <f t="shared" si="1"/>
        <v>3285300</v>
      </c>
      <c r="O14" s="124">
        <f t="shared" si="1"/>
        <v>3285300</v>
      </c>
      <c r="P14" s="124">
        <f t="shared" si="1"/>
        <v>3285300</v>
      </c>
      <c r="Q14" s="124">
        <f>SUM(E14:P14)</f>
        <v>42708900</v>
      </c>
    </row>
    <row r="15" spans="1:18" x14ac:dyDescent="0.2"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</row>
    <row r="16" spans="1:18" ht="15" x14ac:dyDescent="0.25">
      <c r="A16" s="231">
        <f>'Familia e Produtos'!C7</f>
        <v>11</v>
      </c>
      <c r="B16" s="231" t="str">
        <f>'Familia e Produtos'!D7</f>
        <v>Câmara Digital 3D 18.2 MP</v>
      </c>
      <c r="C16" s="232">
        <v>30</v>
      </c>
      <c r="D16" s="220"/>
      <c r="E16" s="230">
        <f>E21*'Familia e Produtos'!$AE$7</f>
        <v>2341000</v>
      </c>
      <c r="F16" s="230">
        <f>F21*'Familia e Produtos'!$AE$7</f>
        <v>1170500</v>
      </c>
      <c r="G16" s="230">
        <f>G21*'Familia e Produtos'!$AE$7</f>
        <v>1170500</v>
      </c>
      <c r="H16" s="230">
        <f>H21*'Familia e Produtos'!$AE$7</f>
        <v>1170500</v>
      </c>
      <c r="I16" s="230">
        <f>I21*'Familia e Produtos'!$AE$7</f>
        <v>1170500</v>
      </c>
      <c r="J16" s="230">
        <f>J21*'Familia e Produtos'!$AE$7</f>
        <v>1170500</v>
      </c>
      <c r="K16" s="230">
        <f>K21*'Familia e Produtos'!$AE$7</f>
        <v>1170500</v>
      </c>
      <c r="L16" s="230">
        <f>L21*'Familia e Produtos'!$AE$7</f>
        <v>1170500</v>
      </c>
      <c r="M16" s="230">
        <f>M21*'Familia e Produtos'!$AE$7</f>
        <v>1170500</v>
      </c>
      <c r="N16" s="230">
        <f>N21*'Familia e Produtos'!$AE$7</f>
        <v>1170500</v>
      </c>
      <c r="O16" s="230">
        <f>O21*'Familia e Produtos'!$AE$7</f>
        <v>1170500</v>
      </c>
      <c r="P16" s="230">
        <f>P21*'Familia e Produtos'!$AE$7</f>
        <v>1170500</v>
      </c>
      <c r="Q16" s="230">
        <f>SUM(E16:P16)</f>
        <v>15216500</v>
      </c>
    </row>
    <row r="17" spans="1:17" ht="15" x14ac:dyDescent="0.25">
      <c r="A17" s="219"/>
      <c r="B17" s="219"/>
      <c r="C17" s="219"/>
      <c r="D17" s="219" t="s">
        <v>542</v>
      </c>
      <c r="E17" s="124">
        <f>E4</f>
        <v>1000</v>
      </c>
      <c r="F17" s="124">
        <f t="shared" ref="F17:P17" si="2">F4</f>
        <v>1000</v>
      </c>
      <c r="G17" s="124">
        <f t="shared" si="2"/>
        <v>1000</v>
      </c>
      <c r="H17" s="124">
        <f t="shared" si="2"/>
        <v>1000</v>
      </c>
      <c r="I17" s="124">
        <f t="shared" si="2"/>
        <v>1000</v>
      </c>
      <c r="J17" s="124">
        <f t="shared" si="2"/>
        <v>1000</v>
      </c>
      <c r="K17" s="124">
        <f t="shared" si="2"/>
        <v>1000</v>
      </c>
      <c r="L17" s="124">
        <f t="shared" si="2"/>
        <v>1000</v>
      </c>
      <c r="M17" s="124">
        <f t="shared" si="2"/>
        <v>1000</v>
      </c>
      <c r="N17" s="124">
        <f t="shared" si="2"/>
        <v>1000</v>
      </c>
      <c r="O17" s="124">
        <f t="shared" si="2"/>
        <v>1000</v>
      </c>
      <c r="P17" s="124">
        <f t="shared" si="2"/>
        <v>1000</v>
      </c>
      <c r="Q17" s="124">
        <f>SUM(E17:P17)</f>
        <v>12000</v>
      </c>
    </row>
    <row r="18" spans="1:17" ht="15" x14ac:dyDescent="0.25">
      <c r="A18" s="219"/>
      <c r="B18" s="219"/>
      <c r="C18" s="219"/>
      <c r="D18" s="219" t="s">
        <v>543</v>
      </c>
      <c r="E18" s="124">
        <f>D16/'Familia e Produtos'!$AJ$7</f>
        <v>0</v>
      </c>
      <c r="F18" s="124">
        <f>IF(E20&lt;0,-E20,E19)</f>
        <v>1000</v>
      </c>
      <c r="G18" s="124">
        <f t="shared" ref="G18:P18" si="3">IF(F20&lt;0,-F20,F19)</f>
        <v>1000</v>
      </c>
      <c r="H18" s="124">
        <f t="shared" si="3"/>
        <v>1000</v>
      </c>
      <c r="I18" s="124">
        <f t="shared" si="3"/>
        <v>1000</v>
      </c>
      <c r="J18" s="124">
        <f t="shared" si="3"/>
        <v>1000</v>
      </c>
      <c r="K18" s="124">
        <f t="shared" si="3"/>
        <v>1000</v>
      </c>
      <c r="L18" s="124">
        <f t="shared" si="3"/>
        <v>1000</v>
      </c>
      <c r="M18" s="124">
        <f t="shared" si="3"/>
        <v>1000</v>
      </c>
      <c r="N18" s="124">
        <f t="shared" si="3"/>
        <v>1000</v>
      </c>
      <c r="O18" s="124">
        <f t="shared" si="3"/>
        <v>1000</v>
      </c>
      <c r="P18" s="124">
        <f t="shared" si="3"/>
        <v>1000</v>
      </c>
    </row>
    <row r="19" spans="1:17" ht="15" x14ac:dyDescent="0.25">
      <c r="A19" s="219"/>
      <c r="B19" s="219"/>
      <c r="C19" s="219"/>
      <c r="D19" s="219" t="s">
        <v>546</v>
      </c>
      <c r="E19" s="124">
        <f>$Q$17/12*$C$16/30</f>
        <v>1000</v>
      </c>
      <c r="F19" s="124">
        <f t="shared" ref="F19:P19" si="4">$Q$17/12*$C$16/30</f>
        <v>1000</v>
      </c>
      <c r="G19" s="124">
        <f t="shared" si="4"/>
        <v>1000</v>
      </c>
      <c r="H19" s="124">
        <f t="shared" si="4"/>
        <v>1000</v>
      </c>
      <c r="I19" s="124">
        <f t="shared" si="4"/>
        <v>1000</v>
      </c>
      <c r="J19" s="124">
        <f t="shared" si="4"/>
        <v>1000</v>
      </c>
      <c r="K19" s="124">
        <f t="shared" si="4"/>
        <v>1000</v>
      </c>
      <c r="L19" s="124">
        <f t="shared" si="4"/>
        <v>1000</v>
      </c>
      <c r="M19" s="124">
        <f t="shared" si="4"/>
        <v>1000</v>
      </c>
      <c r="N19" s="124">
        <f t="shared" si="4"/>
        <v>1000</v>
      </c>
      <c r="O19" s="124">
        <f t="shared" si="4"/>
        <v>1000</v>
      </c>
      <c r="P19" s="124">
        <f t="shared" si="4"/>
        <v>1000</v>
      </c>
    </row>
    <row r="20" spans="1:17" ht="15" x14ac:dyDescent="0.25">
      <c r="A20" s="219"/>
      <c r="B20" s="219"/>
      <c r="C20" s="219"/>
      <c r="D20" s="219" t="s">
        <v>545</v>
      </c>
      <c r="E20" s="124">
        <f>E17-E18+E19</f>
        <v>2000</v>
      </c>
      <c r="F20" s="124">
        <f t="shared" ref="F20:P20" si="5">F17-F18+F19</f>
        <v>1000</v>
      </c>
      <c r="G20" s="124">
        <f t="shared" si="5"/>
        <v>1000</v>
      </c>
      <c r="H20" s="124">
        <f t="shared" si="5"/>
        <v>1000</v>
      </c>
      <c r="I20" s="124">
        <f t="shared" si="5"/>
        <v>1000</v>
      </c>
      <c r="J20" s="124">
        <f t="shared" si="5"/>
        <v>1000</v>
      </c>
      <c r="K20" s="124">
        <f t="shared" si="5"/>
        <v>1000</v>
      </c>
      <c r="L20" s="124">
        <f t="shared" si="5"/>
        <v>1000</v>
      </c>
      <c r="M20" s="124">
        <f t="shared" si="5"/>
        <v>1000</v>
      </c>
      <c r="N20" s="124">
        <f t="shared" si="5"/>
        <v>1000</v>
      </c>
      <c r="O20" s="124">
        <f t="shared" si="5"/>
        <v>1000</v>
      </c>
      <c r="P20" s="124">
        <f t="shared" si="5"/>
        <v>1000</v>
      </c>
      <c r="Q20" s="219"/>
    </row>
    <row r="21" spans="1:17" ht="15" x14ac:dyDescent="0.25">
      <c r="A21" s="219"/>
      <c r="B21" s="219"/>
      <c r="C21" s="219"/>
      <c r="D21" s="219" t="s">
        <v>26</v>
      </c>
      <c r="E21" s="124">
        <f>IF(E20&lt;0,0,E17-E18+E19)</f>
        <v>2000</v>
      </c>
      <c r="F21" s="124">
        <f t="shared" ref="F21:P21" si="6">IF(F20&lt;0,0,F17-F18+F19)</f>
        <v>1000</v>
      </c>
      <c r="G21" s="124">
        <f t="shared" si="6"/>
        <v>1000</v>
      </c>
      <c r="H21" s="124">
        <f t="shared" si="6"/>
        <v>1000</v>
      </c>
      <c r="I21" s="124">
        <f t="shared" si="6"/>
        <v>1000</v>
      </c>
      <c r="J21" s="124">
        <f t="shared" si="6"/>
        <v>1000</v>
      </c>
      <c r="K21" s="124">
        <f t="shared" si="6"/>
        <v>1000</v>
      </c>
      <c r="L21" s="124">
        <f t="shared" si="6"/>
        <v>1000</v>
      </c>
      <c r="M21" s="124">
        <f t="shared" si="6"/>
        <v>1000</v>
      </c>
      <c r="N21" s="124">
        <f t="shared" si="6"/>
        <v>1000</v>
      </c>
      <c r="O21" s="124">
        <f t="shared" si="6"/>
        <v>1000</v>
      </c>
      <c r="P21" s="124">
        <f t="shared" si="6"/>
        <v>1000</v>
      </c>
      <c r="Q21" s="219"/>
    </row>
    <row r="22" spans="1:17" ht="15" x14ac:dyDescent="0.25">
      <c r="A22" s="231">
        <f>'Familia e Produtos'!C8</f>
        <v>21</v>
      </c>
      <c r="B22" s="231" t="str">
        <f>'Familia e Produtos'!D8</f>
        <v>TV 3 D 32"</v>
      </c>
      <c r="C22" s="232">
        <f>'Familia e Produtos'!W8</f>
        <v>30</v>
      </c>
      <c r="D22" s="220"/>
      <c r="E22" s="230">
        <f>E27*'Familia e Produtos'!$AE$8</f>
        <v>2659000</v>
      </c>
      <c r="F22" s="230">
        <f>F27*'Familia e Produtos'!$AE$8</f>
        <v>1329500</v>
      </c>
      <c r="G22" s="230">
        <f>G27*'Familia e Produtos'!$AE$8</f>
        <v>1329500</v>
      </c>
      <c r="H22" s="230">
        <f>H27*'Familia e Produtos'!$AE$8</f>
        <v>1329500</v>
      </c>
      <c r="I22" s="230">
        <f>I27*'Familia e Produtos'!$AE$8</f>
        <v>1329500</v>
      </c>
      <c r="J22" s="230">
        <f>J27*'Familia e Produtos'!$AE$8</f>
        <v>1329500</v>
      </c>
      <c r="K22" s="230">
        <f>K27*'Familia e Produtos'!$AE$8</f>
        <v>1329500</v>
      </c>
      <c r="L22" s="230">
        <f>L27*'Familia e Produtos'!$AE$8</f>
        <v>1329500</v>
      </c>
      <c r="M22" s="230">
        <f>M27*'Familia e Produtos'!$AE$8</f>
        <v>1329500</v>
      </c>
      <c r="N22" s="230">
        <f>N27*'Familia e Produtos'!$AE$8</f>
        <v>1329500</v>
      </c>
      <c r="O22" s="230">
        <f>O27*'Familia e Produtos'!$AE$8</f>
        <v>1329500</v>
      </c>
      <c r="P22" s="230">
        <f>P27*'Familia e Produtos'!$AE$8</f>
        <v>1329500</v>
      </c>
      <c r="Q22" s="230">
        <f>SUM(E22:P22)</f>
        <v>17283500</v>
      </c>
    </row>
    <row r="23" spans="1:17" ht="15" x14ac:dyDescent="0.25">
      <c r="D23" s="219" t="s">
        <v>542</v>
      </c>
      <c r="E23" s="124">
        <f>E5</f>
        <v>1000</v>
      </c>
      <c r="F23" s="124">
        <f t="shared" ref="F23:P23" si="7">F5</f>
        <v>1000</v>
      </c>
      <c r="G23" s="124">
        <f t="shared" si="7"/>
        <v>1000</v>
      </c>
      <c r="H23" s="124">
        <f t="shared" si="7"/>
        <v>1000</v>
      </c>
      <c r="I23" s="124">
        <f t="shared" si="7"/>
        <v>1000</v>
      </c>
      <c r="J23" s="124">
        <f t="shared" si="7"/>
        <v>1000</v>
      </c>
      <c r="K23" s="124">
        <f t="shared" si="7"/>
        <v>1000</v>
      </c>
      <c r="L23" s="124">
        <f t="shared" si="7"/>
        <v>1000</v>
      </c>
      <c r="M23" s="124">
        <f t="shared" si="7"/>
        <v>1000</v>
      </c>
      <c r="N23" s="124">
        <f t="shared" si="7"/>
        <v>1000</v>
      </c>
      <c r="O23" s="124">
        <f t="shared" si="7"/>
        <v>1000</v>
      </c>
      <c r="P23" s="124">
        <f t="shared" si="7"/>
        <v>1000</v>
      </c>
      <c r="Q23" s="124">
        <f>SUM(E23:P23)</f>
        <v>12000</v>
      </c>
    </row>
    <row r="24" spans="1:17" ht="15" x14ac:dyDescent="0.25">
      <c r="D24" s="219" t="s">
        <v>543</v>
      </c>
      <c r="E24" s="124">
        <f>D22/'Familia e Produtos'!$AJ$8</f>
        <v>0</v>
      </c>
      <c r="F24" s="124">
        <f>IF(E26&lt;0,-E26,E25)</f>
        <v>1000</v>
      </c>
      <c r="G24" s="124">
        <f t="shared" ref="G24:P24" si="8">IF(F26&lt;0,-F26,F25)</f>
        <v>1000</v>
      </c>
      <c r="H24" s="124">
        <f t="shared" si="8"/>
        <v>1000</v>
      </c>
      <c r="I24" s="124">
        <f t="shared" si="8"/>
        <v>1000</v>
      </c>
      <c r="J24" s="124">
        <f t="shared" si="8"/>
        <v>1000</v>
      </c>
      <c r="K24" s="124">
        <f t="shared" si="8"/>
        <v>1000</v>
      </c>
      <c r="L24" s="124">
        <f t="shared" si="8"/>
        <v>1000</v>
      </c>
      <c r="M24" s="124">
        <f t="shared" si="8"/>
        <v>1000</v>
      </c>
      <c r="N24" s="124">
        <f t="shared" si="8"/>
        <v>1000</v>
      </c>
      <c r="O24" s="124">
        <f t="shared" si="8"/>
        <v>1000</v>
      </c>
      <c r="P24" s="124">
        <f t="shared" si="8"/>
        <v>1000</v>
      </c>
      <c r="Q24" s="226"/>
    </row>
    <row r="25" spans="1:17" ht="15" x14ac:dyDescent="0.25">
      <c r="D25" s="219" t="s">
        <v>546</v>
      </c>
      <c r="E25" s="124">
        <f>$Q$23/12*$C$22/30</f>
        <v>1000</v>
      </c>
      <c r="F25" s="124">
        <f t="shared" ref="F25:P25" si="9">$Q$23/12*$C$22/30</f>
        <v>1000</v>
      </c>
      <c r="G25" s="124">
        <f t="shared" si="9"/>
        <v>1000</v>
      </c>
      <c r="H25" s="124">
        <f t="shared" si="9"/>
        <v>1000</v>
      </c>
      <c r="I25" s="124">
        <f t="shared" si="9"/>
        <v>1000</v>
      </c>
      <c r="J25" s="124">
        <f t="shared" si="9"/>
        <v>1000</v>
      </c>
      <c r="K25" s="124">
        <f t="shared" si="9"/>
        <v>1000</v>
      </c>
      <c r="L25" s="124">
        <f t="shared" si="9"/>
        <v>1000</v>
      </c>
      <c r="M25" s="124">
        <f t="shared" si="9"/>
        <v>1000</v>
      </c>
      <c r="N25" s="124">
        <f t="shared" si="9"/>
        <v>1000</v>
      </c>
      <c r="O25" s="124">
        <f t="shared" si="9"/>
        <v>1000</v>
      </c>
      <c r="P25" s="124">
        <f t="shared" si="9"/>
        <v>1000</v>
      </c>
      <c r="Q25" s="226"/>
    </row>
    <row r="26" spans="1:17" ht="15" x14ac:dyDescent="0.25">
      <c r="D26" s="219" t="s">
        <v>545</v>
      </c>
      <c r="E26" s="124">
        <f>E23-E24+E25</f>
        <v>2000</v>
      </c>
      <c r="F26" s="124">
        <f t="shared" ref="F26:P26" si="10">F23-F24+F25</f>
        <v>1000</v>
      </c>
      <c r="G26" s="124">
        <f t="shared" si="10"/>
        <v>1000</v>
      </c>
      <c r="H26" s="124">
        <f t="shared" si="10"/>
        <v>1000</v>
      </c>
      <c r="I26" s="124">
        <f t="shared" si="10"/>
        <v>1000</v>
      </c>
      <c r="J26" s="124">
        <f t="shared" si="10"/>
        <v>1000</v>
      </c>
      <c r="K26" s="124">
        <f t="shared" si="10"/>
        <v>1000</v>
      </c>
      <c r="L26" s="124">
        <f t="shared" si="10"/>
        <v>1000</v>
      </c>
      <c r="M26" s="124">
        <f t="shared" si="10"/>
        <v>1000</v>
      </c>
      <c r="N26" s="124">
        <f t="shared" si="10"/>
        <v>1000</v>
      </c>
      <c r="O26" s="124">
        <f t="shared" si="10"/>
        <v>1000</v>
      </c>
      <c r="P26" s="124">
        <f t="shared" si="10"/>
        <v>1000</v>
      </c>
      <c r="Q26" s="219"/>
    </row>
    <row r="27" spans="1:17" ht="15" x14ac:dyDescent="0.25">
      <c r="D27" s="219" t="s">
        <v>26</v>
      </c>
      <c r="E27" s="124">
        <f>IF(E26&lt;0,0,E23-E24+E25)</f>
        <v>2000</v>
      </c>
      <c r="F27" s="124">
        <f t="shared" ref="F27:P27" si="11">IF(F26&lt;0,0,F23-F24+F25)</f>
        <v>1000</v>
      </c>
      <c r="G27" s="124">
        <f t="shared" si="11"/>
        <v>1000</v>
      </c>
      <c r="H27" s="124">
        <f t="shared" si="11"/>
        <v>1000</v>
      </c>
      <c r="I27" s="124">
        <f t="shared" si="11"/>
        <v>1000</v>
      </c>
      <c r="J27" s="124">
        <f t="shared" si="11"/>
        <v>1000</v>
      </c>
      <c r="K27" s="124">
        <f t="shared" si="11"/>
        <v>1000</v>
      </c>
      <c r="L27" s="124">
        <f t="shared" si="11"/>
        <v>1000</v>
      </c>
      <c r="M27" s="124">
        <f t="shared" si="11"/>
        <v>1000</v>
      </c>
      <c r="N27" s="124">
        <f t="shared" si="11"/>
        <v>1000</v>
      </c>
      <c r="O27" s="124">
        <f t="shared" si="11"/>
        <v>1000</v>
      </c>
      <c r="P27" s="124">
        <f t="shared" si="11"/>
        <v>1000</v>
      </c>
      <c r="Q27" s="219"/>
    </row>
    <row r="28" spans="1:17" ht="15" x14ac:dyDescent="0.25">
      <c r="A28" s="231">
        <f>'Familia e Produtos'!C9</f>
        <v>31</v>
      </c>
      <c r="B28" s="231" t="str">
        <f>'Familia e Produtos'!D9</f>
        <v>Desktop Dual Core 2GB</v>
      </c>
      <c r="C28" s="232">
        <f>'Familia e Produtos'!W9</f>
        <v>30</v>
      </c>
      <c r="D28" s="220"/>
      <c r="E28" s="230">
        <f>E33*'Familia e Produtos'!$AE$9</f>
        <v>1570600</v>
      </c>
      <c r="F28" s="230">
        <f>F33*'Familia e Produtos'!$AE$9</f>
        <v>785300</v>
      </c>
      <c r="G28" s="230">
        <f>G33*'Familia e Produtos'!$AE$9</f>
        <v>785300</v>
      </c>
      <c r="H28" s="230">
        <f>H33*'Familia e Produtos'!$AE$9</f>
        <v>785300</v>
      </c>
      <c r="I28" s="230">
        <f>I33*'Familia e Produtos'!$AE$9</f>
        <v>785300</v>
      </c>
      <c r="J28" s="230">
        <f>J33*'Familia e Produtos'!$AE$9</f>
        <v>785300</v>
      </c>
      <c r="K28" s="230">
        <f>K33*'Familia e Produtos'!$AE$9</f>
        <v>785300</v>
      </c>
      <c r="L28" s="230">
        <f>L33*'Familia e Produtos'!$AE$9</f>
        <v>785300</v>
      </c>
      <c r="M28" s="230">
        <f>M33*'Familia e Produtos'!$AE$9</f>
        <v>785300</v>
      </c>
      <c r="N28" s="230">
        <f>N33*'Familia e Produtos'!$AE$9</f>
        <v>785300</v>
      </c>
      <c r="O28" s="230">
        <f>O33*'Familia e Produtos'!$AE$9</f>
        <v>785300</v>
      </c>
      <c r="P28" s="230">
        <f>P33*'Familia e Produtos'!$AE$9</f>
        <v>785300</v>
      </c>
      <c r="Q28" s="230">
        <f>SUM(E28:P28)</f>
        <v>10208900</v>
      </c>
    </row>
    <row r="29" spans="1:17" ht="15" x14ac:dyDescent="0.25">
      <c r="D29" s="219" t="s">
        <v>542</v>
      </c>
      <c r="E29" s="124">
        <f>E6</f>
        <v>1000</v>
      </c>
      <c r="F29" s="124">
        <f t="shared" ref="F29:P29" si="12">F6</f>
        <v>1000</v>
      </c>
      <c r="G29" s="124">
        <f t="shared" si="12"/>
        <v>1000</v>
      </c>
      <c r="H29" s="124">
        <f t="shared" si="12"/>
        <v>1000</v>
      </c>
      <c r="I29" s="124">
        <f t="shared" si="12"/>
        <v>1000</v>
      </c>
      <c r="J29" s="124">
        <f t="shared" si="12"/>
        <v>1000</v>
      </c>
      <c r="K29" s="124">
        <f t="shared" si="12"/>
        <v>1000</v>
      </c>
      <c r="L29" s="124">
        <f t="shared" si="12"/>
        <v>1000</v>
      </c>
      <c r="M29" s="124">
        <f t="shared" si="12"/>
        <v>1000</v>
      </c>
      <c r="N29" s="124">
        <f t="shared" si="12"/>
        <v>1000</v>
      </c>
      <c r="O29" s="124">
        <f t="shared" si="12"/>
        <v>1000</v>
      </c>
      <c r="P29" s="124">
        <f t="shared" si="12"/>
        <v>1000</v>
      </c>
      <c r="Q29" s="124">
        <f>SUM(E29:P29)</f>
        <v>12000</v>
      </c>
    </row>
    <row r="30" spans="1:17" ht="15" x14ac:dyDescent="0.25">
      <c r="D30" s="219" t="s">
        <v>543</v>
      </c>
      <c r="E30" s="124">
        <f>D28/'Familia e Produtos'!$AJ$9</f>
        <v>0</v>
      </c>
      <c r="F30" s="124">
        <f>IF(E32&lt;0,-E32,E31)</f>
        <v>1000</v>
      </c>
      <c r="G30" s="124">
        <f t="shared" ref="G30:P30" si="13">IF(F32&lt;0,-F32,F31)</f>
        <v>1000</v>
      </c>
      <c r="H30" s="124">
        <f t="shared" si="13"/>
        <v>1000</v>
      </c>
      <c r="I30" s="124">
        <f t="shared" si="13"/>
        <v>1000</v>
      </c>
      <c r="J30" s="124">
        <f t="shared" si="13"/>
        <v>1000</v>
      </c>
      <c r="K30" s="124">
        <f t="shared" si="13"/>
        <v>1000</v>
      </c>
      <c r="L30" s="124">
        <f t="shared" si="13"/>
        <v>1000</v>
      </c>
      <c r="M30" s="124">
        <f t="shared" si="13"/>
        <v>1000</v>
      </c>
      <c r="N30" s="124">
        <f t="shared" si="13"/>
        <v>1000</v>
      </c>
      <c r="O30" s="124">
        <f t="shared" si="13"/>
        <v>1000</v>
      </c>
      <c r="P30" s="124">
        <f t="shared" si="13"/>
        <v>1000</v>
      </c>
      <c r="Q30" s="226"/>
    </row>
    <row r="31" spans="1:17" ht="15" x14ac:dyDescent="0.25">
      <c r="D31" s="219" t="s">
        <v>546</v>
      </c>
      <c r="E31" s="124">
        <f>$Q$29/12*$C$28/30</f>
        <v>1000</v>
      </c>
      <c r="F31" s="124">
        <f t="shared" ref="F31:P31" si="14">$Q$29/12*$C$28/30</f>
        <v>1000</v>
      </c>
      <c r="G31" s="124">
        <f t="shared" si="14"/>
        <v>1000</v>
      </c>
      <c r="H31" s="124">
        <f t="shared" si="14"/>
        <v>1000</v>
      </c>
      <c r="I31" s="124">
        <f t="shared" si="14"/>
        <v>1000</v>
      </c>
      <c r="J31" s="124">
        <f t="shared" si="14"/>
        <v>1000</v>
      </c>
      <c r="K31" s="124">
        <f t="shared" si="14"/>
        <v>1000</v>
      </c>
      <c r="L31" s="124">
        <f t="shared" si="14"/>
        <v>1000</v>
      </c>
      <c r="M31" s="124">
        <f t="shared" si="14"/>
        <v>1000</v>
      </c>
      <c r="N31" s="124">
        <f t="shared" si="14"/>
        <v>1000</v>
      </c>
      <c r="O31" s="124">
        <f t="shared" si="14"/>
        <v>1000</v>
      </c>
      <c r="P31" s="124">
        <f t="shared" si="14"/>
        <v>1000</v>
      </c>
      <c r="Q31" s="226"/>
    </row>
    <row r="32" spans="1:17" ht="15" x14ac:dyDescent="0.25">
      <c r="D32" s="219" t="s">
        <v>545</v>
      </c>
      <c r="E32" s="124">
        <f>E29-E30+E31</f>
        <v>2000</v>
      </c>
      <c r="F32" s="124">
        <f t="shared" ref="F32" si="15">F29-F30+F31</f>
        <v>1000</v>
      </c>
      <c r="G32" s="124">
        <f t="shared" ref="G32" si="16">G29-G30+G31</f>
        <v>1000</v>
      </c>
      <c r="H32" s="124">
        <f t="shared" ref="H32" si="17">H29-H30+H31</f>
        <v>1000</v>
      </c>
      <c r="I32" s="124">
        <f t="shared" ref="I32" si="18">I29-I30+I31</f>
        <v>1000</v>
      </c>
      <c r="J32" s="124">
        <f t="shared" ref="J32" si="19">J29-J30+J31</f>
        <v>1000</v>
      </c>
      <c r="K32" s="124">
        <f t="shared" ref="K32" si="20">K29-K30+K31</f>
        <v>1000</v>
      </c>
      <c r="L32" s="124">
        <f t="shared" ref="L32" si="21">L29-L30+L31</f>
        <v>1000</v>
      </c>
      <c r="M32" s="124">
        <f t="shared" ref="M32" si="22">M29-M30+M31</f>
        <v>1000</v>
      </c>
      <c r="N32" s="124">
        <f t="shared" ref="N32" si="23">N29-N30+N31</f>
        <v>1000</v>
      </c>
      <c r="O32" s="124">
        <f t="shared" ref="O32" si="24">O29-O30+O31</f>
        <v>1000</v>
      </c>
      <c r="P32" s="124">
        <f t="shared" ref="P32" si="25">P29-P30+P31</f>
        <v>1000</v>
      </c>
      <c r="Q32" s="219"/>
    </row>
    <row r="33" spans="1:18" ht="15" x14ac:dyDescent="0.25">
      <c r="D33" s="219" t="s">
        <v>26</v>
      </c>
      <c r="E33" s="124">
        <f>IF(E32&lt;0,0,E29-E30+E31)</f>
        <v>2000</v>
      </c>
      <c r="F33" s="124">
        <f t="shared" ref="F33" si="26">IF(F32&lt;0,0,F29-F30+F31)</f>
        <v>1000</v>
      </c>
      <c r="G33" s="124">
        <f t="shared" ref="G33" si="27">IF(G32&lt;0,0,G29-G30+G31)</f>
        <v>1000</v>
      </c>
      <c r="H33" s="124">
        <f t="shared" ref="H33" si="28">IF(H32&lt;0,0,H29-H30+H31)</f>
        <v>1000</v>
      </c>
      <c r="I33" s="124">
        <f t="shared" ref="I33" si="29">IF(I32&lt;0,0,I29-I30+I31)</f>
        <v>1000</v>
      </c>
      <c r="J33" s="124">
        <f t="shared" ref="J33" si="30">IF(J32&lt;0,0,J29-J30+J31)</f>
        <v>1000</v>
      </c>
      <c r="K33" s="124">
        <f t="shared" ref="K33" si="31">IF(K32&lt;0,0,K29-K30+K31)</f>
        <v>1000</v>
      </c>
      <c r="L33" s="124">
        <f t="shared" ref="L33" si="32">IF(L32&lt;0,0,L29-L30+L31)</f>
        <v>1000</v>
      </c>
      <c r="M33" s="124">
        <f t="shared" ref="M33" si="33">IF(M32&lt;0,0,M29-M30+M31)</f>
        <v>1000</v>
      </c>
      <c r="N33" s="124">
        <f t="shared" ref="N33" si="34">IF(N32&lt;0,0,N29-N30+N31)</f>
        <v>1000</v>
      </c>
      <c r="O33" s="124">
        <f t="shared" ref="O33" si="35">IF(O32&lt;0,0,O29-O30+O31)</f>
        <v>1000</v>
      </c>
      <c r="P33" s="124">
        <f t="shared" ref="P33" si="36">IF(P32&lt;0,0,P29-P30+P31)</f>
        <v>1000</v>
      </c>
      <c r="Q33" s="219"/>
    </row>
    <row r="34" spans="1:18" ht="15" x14ac:dyDescent="0.25">
      <c r="D34" s="219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19"/>
    </row>
    <row r="35" spans="1:18" ht="15" x14ac:dyDescent="0.25"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</row>
    <row r="36" spans="1:18" ht="15" x14ac:dyDescent="0.25">
      <c r="A36" s="283" t="s">
        <v>622</v>
      </c>
      <c r="B36" s="283"/>
      <c r="C36" s="283"/>
      <c r="D36" s="283"/>
      <c r="E36" s="226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6"/>
    </row>
    <row r="37" spans="1:18" ht="15" x14ac:dyDescent="0.25">
      <c r="A37" t="s">
        <v>6</v>
      </c>
      <c r="B37" t="s">
        <v>7</v>
      </c>
      <c r="C37" s="226" t="s">
        <v>552</v>
      </c>
      <c r="D37" s="226" t="s">
        <v>10</v>
      </c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6"/>
    </row>
    <row r="38" spans="1:18" ht="15" x14ac:dyDescent="0.25">
      <c r="A38" s="3">
        <f>A16</f>
        <v>11</v>
      </c>
      <c r="B38" s="3" t="str">
        <f>B16</f>
        <v>Câmara Digital 3D 18.2 MP</v>
      </c>
      <c r="C38" s="93">
        <f>Q16</f>
        <v>15216500</v>
      </c>
      <c r="D38" s="227">
        <f>'Familia e Produtos'!Y7</f>
        <v>30</v>
      </c>
      <c r="E38" s="226"/>
      <c r="F38" s="226"/>
      <c r="G38" s="226"/>
      <c r="H38" s="226"/>
      <c r="I38" s="226"/>
      <c r="J38" s="226"/>
      <c r="K38" s="226"/>
      <c r="L38" s="226"/>
      <c r="M38" s="226"/>
      <c r="N38" s="226"/>
      <c r="O38" s="226"/>
      <c r="P38" s="226"/>
      <c r="Q38" s="226"/>
    </row>
    <row r="39" spans="1:18" ht="15" x14ac:dyDescent="0.25">
      <c r="A39" s="3">
        <f>A22</f>
        <v>21</v>
      </c>
      <c r="B39" s="3" t="str">
        <f>B22</f>
        <v>TV 3 D 32"</v>
      </c>
      <c r="C39" s="93">
        <f>Q22</f>
        <v>17283500</v>
      </c>
      <c r="D39" s="227">
        <f>'Familia e Produtos'!Y8</f>
        <v>30</v>
      </c>
      <c r="E39" s="226"/>
      <c r="F39" s="226"/>
      <c r="G39" s="226"/>
      <c r="H39" s="226"/>
      <c r="I39" s="226"/>
      <c r="J39" s="226"/>
      <c r="K39" s="226"/>
      <c r="L39" s="226"/>
      <c r="M39" s="226"/>
      <c r="N39" s="226"/>
      <c r="O39" s="226"/>
      <c r="P39" s="226"/>
      <c r="Q39" s="226"/>
    </row>
    <row r="40" spans="1:18" ht="15" x14ac:dyDescent="0.25">
      <c r="A40" s="3">
        <f>A28</f>
        <v>31</v>
      </c>
      <c r="B40" s="3" t="str">
        <f>B28</f>
        <v>Desktop Dual Core 2GB</v>
      </c>
      <c r="C40" s="93">
        <f>Q28</f>
        <v>10208900</v>
      </c>
      <c r="D40" s="227">
        <f>'Familia e Produtos'!Y9</f>
        <v>30</v>
      </c>
      <c r="Q40" s="84"/>
    </row>
    <row r="41" spans="1:18" ht="15" x14ac:dyDescent="0.25">
      <c r="C41" s="124">
        <f>SUM(C38:C40)</f>
        <v>42708900</v>
      </c>
      <c r="D41" s="124">
        <f>SUMPRODUCT(C38:C40,D38:D40)/C41</f>
        <v>30</v>
      </c>
      <c r="Q41" s="84"/>
    </row>
    <row r="44" spans="1:18" x14ac:dyDescent="0.2">
      <c r="A44" s="282" t="s">
        <v>108</v>
      </c>
      <c r="B44" s="282"/>
      <c r="C44" s="282" t="s">
        <v>59</v>
      </c>
      <c r="D44" s="282"/>
      <c r="E44" s="282" t="s">
        <v>623</v>
      </c>
      <c r="F44" s="282"/>
      <c r="G44" s="282"/>
      <c r="H44" s="282"/>
      <c r="I44" s="282"/>
      <c r="J44" s="282"/>
      <c r="K44" s="282"/>
      <c r="L44" s="282"/>
      <c r="M44" s="282"/>
      <c r="N44" s="282"/>
      <c r="O44" s="282"/>
      <c r="P44" s="282"/>
      <c r="Q44" s="282"/>
    </row>
    <row r="45" spans="1:18" x14ac:dyDescent="0.2">
      <c r="A45" s="83" t="s">
        <v>109</v>
      </c>
      <c r="B45" s="83" t="s">
        <v>7</v>
      </c>
      <c r="C45" s="83" t="s">
        <v>109</v>
      </c>
      <c r="D45" s="83" t="s">
        <v>7</v>
      </c>
      <c r="E45" s="80" t="s">
        <v>96</v>
      </c>
      <c r="F45" s="80" t="s">
        <v>97</v>
      </c>
      <c r="G45" s="80" t="s">
        <v>98</v>
      </c>
      <c r="H45" s="80" t="s">
        <v>99</v>
      </c>
      <c r="I45" s="80" t="s">
        <v>100</v>
      </c>
      <c r="J45" s="80" t="s">
        <v>101</v>
      </c>
      <c r="K45" s="80" t="s">
        <v>102</v>
      </c>
      <c r="L45" s="80" t="s">
        <v>103</v>
      </c>
      <c r="M45" s="80" t="s">
        <v>104</v>
      </c>
      <c r="N45" s="80" t="s">
        <v>105</v>
      </c>
      <c r="O45" s="80" t="s">
        <v>106</v>
      </c>
      <c r="P45" s="80" t="s">
        <v>107</v>
      </c>
      <c r="Q45" s="80" t="s">
        <v>28</v>
      </c>
      <c r="R45" s="120" t="s">
        <v>11</v>
      </c>
    </row>
    <row r="46" spans="1:18" x14ac:dyDescent="0.2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1:18" ht="15" x14ac:dyDescent="0.25">
      <c r="A47" s="3">
        <f>Cadastro!E56</f>
        <v>1</v>
      </c>
      <c r="B47" s="3" t="str">
        <f>Cadastro!F56</f>
        <v>Câmaras e Filmadoras</v>
      </c>
      <c r="C47" s="3">
        <f>Cadastro!G56</f>
        <v>11</v>
      </c>
      <c r="D47" s="3" t="str">
        <f>Cadastro!H56</f>
        <v>Câmara Digital 3D 18.2 MP</v>
      </c>
      <c r="E47" s="229">
        <f>E4*'Familia e Produtos'!$R$7</f>
        <v>1899000</v>
      </c>
      <c r="F47" s="229">
        <f>F4*'Familia e Produtos'!$R$7</f>
        <v>1899000</v>
      </c>
      <c r="G47" s="229">
        <f>G4*'Familia e Produtos'!$R$7</f>
        <v>1899000</v>
      </c>
      <c r="H47" s="229">
        <f>H4*'Familia e Produtos'!$R$7</f>
        <v>1899000</v>
      </c>
      <c r="I47" s="229">
        <f>I4*'Familia e Produtos'!$R$7</f>
        <v>1899000</v>
      </c>
      <c r="J47" s="229">
        <f>J4*'Familia e Produtos'!$R$7</f>
        <v>1899000</v>
      </c>
      <c r="K47" s="229">
        <f>K4*'Familia e Produtos'!$R$7</f>
        <v>1899000</v>
      </c>
      <c r="L47" s="229">
        <f>L4*'Familia e Produtos'!$R$7</f>
        <v>1899000</v>
      </c>
      <c r="M47" s="229">
        <f>M4*'Familia e Produtos'!$R$7</f>
        <v>1899000</v>
      </c>
      <c r="N47" s="229">
        <f>N4*'Familia e Produtos'!$R$7</f>
        <v>1899000</v>
      </c>
      <c r="O47" s="229">
        <f>O4*'Familia e Produtos'!$R$7</f>
        <v>1899000</v>
      </c>
      <c r="P47" s="229">
        <f>P4*'Familia e Produtos'!$R$7</f>
        <v>1899000</v>
      </c>
      <c r="Q47" s="229">
        <f>SUM(E47:P47)</f>
        <v>22788000</v>
      </c>
      <c r="R47" s="54">
        <f>'Familia e Produtos'!X7</f>
        <v>30</v>
      </c>
    </row>
    <row r="48" spans="1:18" ht="15" x14ac:dyDescent="0.25">
      <c r="A48" s="3">
        <f>Cadastro!E57</f>
        <v>2</v>
      </c>
      <c r="B48" s="3" t="str">
        <f>Cadastro!F57</f>
        <v>TV's e Audio</v>
      </c>
      <c r="C48" s="3">
        <f>Cadastro!G57</f>
        <v>21</v>
      </c>
      <c r="D48" s="3" t="str">
        <f>Cadastro!H57</f>
        <v>TV 3 D 32"</v>
      </c>
      <c r="E48" s="229">
        <f>E5*'Familia e Produtos'!$R$8</f>
        <v>1649000</v>
      </c>
      <c r="F48" s="229">
        <f>F5*'Familia e Produtos'!$R$8</f>
        <v>1649000</v>
      </c>
      <c r="G48" s="229">
        <f>G5*'Familia e Produtos'!$R$8</f>
        <v>1649000</v>
      </c>
      <c r="H48" s="229">
        <f>H5*'Familia e Produtos'!$R$8</f>
        <v>1649000</v>
      </c>
      <c r="I48" s="229">
        <f>I5*'Familia e Produtos'!$R$8</f>
        <v>1649000</v>
      </c>
      <c r="J48" s="229">
        <f>J5*'Familia e Produtos'!$R$8</f>
        <v>1649000</v>
      </c>
      <c r="K48" s="229">
        <f>K5*'Familia e Produtos'!$R$8</f>
        <v>1649000</v>
      </c>
      <c r="L48" s="229">
        <f>L5*'Familia e Produtos'!$R$8</f>
        <v>1649000</v>
      </c>
      <c r="M48" s="229">
        <f>M5*'Familia e Produtos'!$R$8</f>
        <v>1649000</v>
      </c>
      <c r="N48" s="229">
        <f>N5*'Familia e Produtos'!$R$8</f>
        <v>1649000</v>
      </c>
      <c r="O48" s="229">
        <f>O5*'Familia e Produtos'!$R$8</f>
        <v>1649000</v>
      </c>
      <c r="P48" s="229">
        <f>P5*'Familia e Produtos'!$R$8</f>
        <v>1649000</v>
      </c>
      <c r="Q48" s="229">
        <f>SUM(E48:P48)</f>
        <v>19788000</v>
      </c>
      <c r="R48" s="54">
        <f>'Familia e Produtos'!X8</f>
        <v>30</v>
      </c>
    </row>
    <row r="49" spans="1:18" ht="15" x14ac:dyDescent="0.25">
      <c r="A49" s="3">
        <f>Cadastro!E58</f>
        <v>3</v>
      </c>
      <c r="B49" s="3" t="str">
        <f>Cadastro!F58</f>
        <v>Computadores</v>
      </c>
      <c r="C49" s="3">
        <f>Cadastro!G58</f>
        <v>31</v>
      </c>
      <c r="D49" s="3" t="str">
        <f>Cadastro!H58</f>
        <v>Desktop Dual Core 2GB</v>
      </c>
      <c r="E49" s="229">
        <f>E6*'Familia e Produtos'!$R$9</f>
        <v>999000</v>
      </c>
      <c r="F49" s="229">
        <f>F6*'Familia e Produtos'!$R$9</f>
        <v>999000</v>
      </c>
      <c r="G49" s="229">
        <f>G6*'Familia e Produtos'!$R$9</f>
        <v>999000</v>
      </c>
      <c r="H49" s="229">
        <f>H6*'Familia e Produtos'!$R$9</f>
        <v>999000</v>
      </c>
      <c r="I49" s="229">
        <f>I6*'Familia e Produtos'!$R$9</f>
        <v>999000</v>
      </c>
      <c r="J49" s="229">
        <f>J6*'Familia e Produtos'!$R$9</f>
        <v>999000</v>
      </c>
      <c r="K49" s="229">
        <f>K6*'Familia e Produtos'!$R$9</f>
        <v>999000</v>
      </c>
      <c r="L49" s="229">
        <f>L6*'Familia e Produtos'!$R$9</f>
        <v>999000</v>
      </c>
      <c r="M49" s="229">
        <f>M6*'Familia e Produtos'!$R$9</f>
        <v>999000</v>
      </c>
      <c r="N49" s="229">
        <f>N6*'Familia e Produtos'!$R$9</f>
        <v>999000</v>
      </c>
      <c r="O49" s="229">
        <f>O6*'Familia e Produtos'!$R$9</f>
        <v>999000</v>
      </c>
      <c r="P49" s="229">
        <f>P6*'Familia e Produtos'!$R$9</f>
        <v>999000</v>
      </c>
      <c r="Q49" s="229">
        <f>SUM(E49:P49)</f>
        <v>11988000</v>
      </c>
      <c r="R49" s="54">
        <f>'Familia e Produtos'!X9</f>
        <v>30</v>
      </c>
    </row>
    <row r="50" spans="1:18" x14ac:dyDescent="0.2">
      <c r="A50" s="79"/>
      <c r="B50" s="79"/>
      <c r="C50" s="79"/>
      <c r="D50" s="79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>
        <f>SUM(E50:P50)</f>
        <v>0</v>
      </c>
    </row>
    <row r="51" spans="1:18" ht="15" x14ac:dyDescent="0.25">
      <c r="A51" s="83"/>
      <c r="B51" s="217"/>
      <c r="C51" s="83"/>
      <c r="D51" s="82" t="s">
        <v>28</v>
      </c>
      <c r="E51" s="229">
        <f>SUM(E47:E49)</f>
        <v>4547000</v>
      </c>
      <c r="F51" s="229">
        <f t="shared" ref="F51:P51" si="37">SUM(F47:F49)</f>
        <v>4547000</v>
      </c>
      <c r="G51" s="229">
        <f t="shared" si="37"/>
        <v>4547000</v>
      </c>
      <c r="H51" s="229">
        <f t="shared" si="37"/>
        <v>4547000</v>
      </c>
      <c r="I51" s="229">
        <f t="shared" si="37"/>
        <v>4547000</v>
      </c>
      <c r="J51" s="229">
        <f t="shared" si="37"/>
        <v>4547000</v>
      </c>
      <c r="K51" s="229">
        <f t="shared" si="37"/>
        <v>4547000</v>
      </c>
      <c r="L51" s="229">
        <f t="shared" si="37"/>
        <v>4547000</v>
      </c>
      <c r="M51" s="229">
        <f t="shared" si="37"/>
        <v>4547000</v>
      </c>
      <c r="N51" s="229">
        <f t="shared" si="37"/>
        <v>4547000</v>
      </c>
      <c r="O51" s="229">
        <f t="shared" si="37"/>
        <v>4547000</v>
      </c>
      <c r="P51" s="229">
        <f t="shared" si="37"/>
        <v>4547000</v>
      </c>
      <c r="Q51" s="229">
        <f>SUM(Q47:Q50)</f>
        <v>54564000</v>
      </c>
      <c r="R51" s="121">
        <f>SUMPRODUCT(Q47:Q49,R47:R49)/Q51</f>
        <v>30</v>
      </c>
    </row>
  </sheetData>
  <mergeCells count="9">
    <mergeCell ref="A44:B44"/>
    <mergeCell ref="C44:D44"/>
    <mergeCell ref="E44:Q44"/>
    <mergeCell ref="A36:D36"/>
    <mergeCell ref="A1:B1"/>
    <mergeCell ref="C1:D1"/>
    <mergeCell ref="E1:Q1"/>
    <mergeCell ref="A11:B11"/>
    <mergeCell ref="E11:Q11"/>
  </mergeCells>
  <pageMargins left="0.78740157499999996" right="0.78740157499999996" top="0.984251969" bottom="0.984251969" header="0.49212598499999999" footer="0.49212598499999999"/>
  <pageSetup paperSize="9" orientation="portrait" horizontalDpi="200" verticalDpi="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8"/>
  <sheetViews>
    <sheetView workbookViewId="0">
      <selection activeCell="H33" sqref="H33"/>
    </sheetView>
  </sheetViews>
  <sheetFormatPr defaultColWidth="9.140625" defaultRowHeight="15" outlineLevelRow="1" x14ac:dyDescent="0.25"/>
  <cols>
    <col min="1" max="1" width="39.42578125" style="233" customWidth="1"/>
    <col min="2" max="3" width="11.28515625" style="233" bestFit="1" customWidth="1"/>
    <col min="4" max="14" width="11.5703125" style="233" bestFit="1" customWidth="1"/>
    <col min="15" max="16384" width="9.140625" style="233"/>
  </cols>
  <sheetData>
    <row r="1" spans="1:14" x14ac:dyDescent="0.25">
      <c r="A1" s="135" t="s">
        <v>629</v>
      </c>
    </row>
    <row r="2" spans="1:14" x14ac:dyDescent="0.25">
      <c r="A2" s="241" t="s">
        <v>626</v>
      </c>
      <c r="B2" s="242">
        <v>0.5</v>
      </c>
    </row>
    <row r="3" spans="1:14" ht="15.75" thickBot="1" x14ac:dyDescent="0.3">
      <c r="A3" s="267" t="s">
        <v>538</v>
      </c>
      <c r="B3" s="3">
        <f>'NT1 a NT4'!R51</f>
        <v>30</v>
      </c>
    </row>
    <row r="4" spans="1:14" ht="16.5" thickTop="1" thickBot="1" x14ac:dyDescent="0.3">
      <c r="A4" s="267" t="s">
        <v>677</v>
      </c>
      <c r="B4" s="234"/>
      <c r="C4" s="235">
        <f>B6</f>
        <v>0</v>
      </c>
      <c r="D4" s="235">
        <f t="shared" ref="D4:M4" si="0">C6</f>
        <v>0</v>
      </c>
      <c r="E4" s="235">
        <f t="shared" si="0"/>
        <v>0</v>
      </c>
      <c r="F4" s="235">
        <f t="shared" si="0"/>
        <v>0</v>
      </c>
      <c r="G4" s="235">
        <f t="shared" si="0"/>
        <v>0</v>
      </c>
      <c r="H4" s="235">
        <f t="shared" si="0"/>
        <v>0</v>
      </c>
      <c r="I4" s="235">
        <f t="shared" si="0"/>
        <v>0</v>
      </c>
      <c r="J4" s="235">
        <f t="shared" si="0"/>
        <v>0</v>
      </c>
      <c r="K4" s="235">
        <f t="shared" si="0"/>
        <v>0</v>
      </c>
      <c r="L4" s="235">
        <f t="shared" si="0"/>
        <v>0</v>
      </c>
      <c r="M4" s="235">
        <f t="shared" si="0"/>
        <v>0</v>
      </c>
    </row>
    <row r="5" spans="1:14" ht="15.75" thickTop="1" x14ac:dyDescent="0.25">
      <c r="A5" s="233" t="s">
        <v>536</v>
      </c>
      <c r="B5" s="236">
        <f>IF($B$3&lt;30,$B$4,0)</f>
        <v>0</v>
      </c>
      <c r="C5" s="236">
        <f>IF(AND($B$3&gt;=30,$B$3&lt;60),$B$4,0)</f>
        <v>0</v>
      </c>
      <c r="D5" s="236">
        <f>IF(AND($B$3&gt;=60,$B$3&lt;90),$B$4,0)</f>
        <v>0</v>
      </c>
      <c r="E5" s="236">
        <f>IF(AND($B$3&gt;=90,$B$3&lt;120),$B$4,0)</f>
        <v>0</v>
      </c>
      <c r="F5" s="236">
        <f>IF(AND($B$3&gt;=120,$B$3&lt;150),$B$4,0)</f>
        <v>0</v>
      </c>
      <c r="G5" s="236">
        <f>IF(AND($B$3&gt;=150,$B$3&lt;180),$B$4,0)</f>
        <v>0</v>
      </c>
      <c r="H5" s="236">
        <f>IF(AND($B$3&gt;=180,$B$3&lt;210),$B$4,0)</f>
        <v>0</v>
      </c>
      <c r="I5" s="236">
        <f>IF(AND($B$3&gt;=210,$B$3&lt;240),$B$4,0)</f>
        <v>0</v>
      </c>
      <c r="J5" s="236">
        <f>IF(AND($B$3&gt;=240,$B$3&lt;270),$B$4,0)</f>
        <v>0</v>
      </c>
      <c r="K5" s="236">
        <f>IF(AND($B$3&gt;=270,$B$3&lt;300),$B$4,0)</f>
        <v>0</v>
      </c>
      <c r="L5" s="236">
        <f>IF(AND($B$3&gt;=300,$B$3&lt;330),$B$4,0)</f>
        <v>0</v>
      </c>
      <c r="M5" s="236">
        <f>IF(AND($B$3&gt;=330,$B$3&lt;360),$B$4,0)</f>
        <v>0</v>
      </c>
    </row>
    <row r="6" spans="1:14" x14ac:dyDescent="0.25">
      <c r="A6" s="267" t="s">
        <v>605</v>
      </c>
      <c r="B6" s="236">
        <f>B4-B5</f>
        <v>0</v>
      </c>
      <c r="C6" s="236">
        <f t="shared" ref="C6:M6" si="1">C4-C5</f>
        <v>0</v>
      </c>
      <c r="D6" s="236">
        <f t="shared" si="1"/>
        <v>0</v>
      </c>
      <c r="E6" s="236">
        <f t="shared" si="1"/>
        <v>0</v>
      </c>
      <c r="F6" s="236">
        <f t="shared" si="1"/>
        <v>0</v>
      </c>
      <c r="G6" s="236">
        <f t="shared" si="1"/>
        <v>0</v>
      </c>
      <c r="H6" s="236">
        <f t="shared" si="1"/>
        <v>0</v>
      </c>
      <c r="I6" s="236">
        <f t="shared" si="1"/>
        <v>0</v>
      </c>
      <c r="J6" s="236">
        <f t="shared" si="1"/>
        <v>0</v>
      </c>
      <c r="K6" s="236">
        <f t="shared" si="1"/>
        <v>0</v>
      </c>
      <c r="L6" s="236">
        <f t="shared" si="1"/>
        <v>0</v>
      </c>
      <c r="M6" s="236">
        <f t="shared" si="1"/>
        <v>0</v>
      </c>
    </row>
    <row r="7" spans="1:14" x14ac:dyDescent="0.25"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</row>
    <row r="8" spans="1:14" x14ac:dyDescent="0.25">
      <c r="A8" s="233" t="s">
        <v>606</v>
      </c>
      <c r="B8" s="237">
        <v>0</v>
      </c>
      <c r="C8" s="237">
        <f>B23</f>
        <v>2273500</v>
      </c>
      <c r="D8" s="237">
        <f t="shared" ref="D8:M8" si="2">C23</f>
        <v>2273500</v>
      </c>
      <c r="E8" s="237">
        <f t="shared" si="2"/>
        <v>2273500</v>
      </c>
      <c r="F8" s="237">
        <f t="shared" si="2"/>
        <v>2273500</v>
      </c>
      <c r="G8" s="237">
        <f t="shared" si="2"/>
        <v>2273500</v>
      </c>
      <c r="H8" s="237">
        <f t="shared" si="2"/>
        <v>2273500</v>
      </c>
      <c r="I8" s="237">
        <f t="shared" si="2"/>
        <v>2273500</v>
      </c>
      <c r="J8" s="237">
        <f t="shared" si="2"/>
        <v>2273500</v>
      </c>
      <c r="K8" s="237">
        <f t="shared" si="2"/>
        <v>2273500</v>
      </c>
      <c r="L8" s="237">
        <f t="shared" si="2"/>
        <v>2273500</v>
      </c>
      <c r="M8" s="237">
        <f t="shared" si="2"/>
        <v>2273500</v>
      </c>
    </row>
    <row r="9" spans="1:14" x14ac:dyDescent="0.25">
      <c r="A9" s="243" t="s">
        <v>627</v>
      </c>
      <c r="B9" s="236">
        <f>'NT1 a NT4'!E51*$B$2</f>
        <v>2273500</v>
      </c>
      <c r="C9" s="236">
        <f>'NT1 a NT4'!F51*$B$2</f>
        <v>2273500</v>
      </c>
      <c r="D9" s="236">
        <f>'NT1 a NT4'!G51*$B$2</f>
        <v>2273500</v>
      </c>
      <c r="E9" s="236">
        <f>'NT1 a NT4'!H51*$B$2</f>
        <v>2273500</v>
      </c>
      <c r="F9" s="236">
        <f>'NT1 a NT4'!I51*$B$2</f>
        <v>2273500</v>
      </c>
      <c r="G9" s="236">
        <f>'NT1 a NT4'!J51*$B$2</f>
        <v>2273500</v>
      </c>
      <c r="H9" s="236">
        <f>'NT1 a NT4'!K51*$B$2</f>
        <v>2273500</v>
      </c>
      <c r="I9" s="236">
        <f>'NT1 a NT4'!L51*$B$2</f>
        <v>2273500</v>
      </c>
      <c r="J9" s="236">
        <f>'NT1 a NT4'!M51*$B$2</f>
        <v>2273500</v>
      </c>
      <c r="K9" s="236">
        <f>'NT1 a NT4'!N51*$B$2</f>
        <v>2273500</v>
      </c>
      <c r="L9" s="236">
        <f>'NT1 a NT4'!O51*$B$2</f>
        <v>2273500</v>
      </c>
      <c r="M9" s="236">
        <f>'NT1 a NT4'!P51*$B$2</f>
        <v>2273500</v>
      </c>
      <c r="N9" s="235"/>
    </row>
    <row r="10" spans="1:14" x14ac:dyDescent="0.25">
      <c r="A10" s="233" t="s">
        <v>607</v>
      </c>
      <c r="B10" s="238">
        <f>SUM(B11:B22)</f>
        <v>0</v>
      </c>
      <c r="C10" s="238">
        <f t="shared" ref="C10:M10" si="3">SUM(C11:C22)</f>
        <v>2273500</v>
      </c>
      <c r="D10" s="238">
        <f t="shared" si="3"/>
        <v>2273500</v>
      </c>
      <c r="E10" s="238">
        <f t="shared" si="3"/>
        <v>2273500</v>
      </c>
      <c r="F10" s="238">
        <f t="shared" si="3"/>
        <v>2273500</v>
      </c>
      <c r="G10" s="238">
        <f t="shared" si="3"/>
        <v>2273500</v>
      </c>
      <c r="H10" s="238">
        <f t="shared" si="3"/>
        <v>2273500</v>
      </c>
      <c r="I10" s="238">
        <f t="shared" si="3"/>
        <v>2273500</v>
      </c>
      <c r="J10" s="238">
        <f t="shared" si="3"/>
        <v>2273500</v>
      </c>
      <c r="K10" s="238">
        <f t="shared" si="3"/>
        <v>2273500</v>
      </c>
      <c r="L10" s="238">
        <f t="shared" si="3"/>
        <v>2273500</v>
      </c>
      <c r="M10" s="238">
        <f t="shared" si="3"/>
        <v>2273500</v>
      </c>
    </row>
    <row r="11" spans="1:14" outlineLevel="1" x14ac:dyDescent="0.25">
      <c r="A11" s="233" t="s">
        <v>608</v>
      </c>
      <c r="B11" s="239">
        <f>IF($B$3&lt;30,$B9,0)</f>
        <v>0</v>
      </c>
      <c r="C11" s="236">
        <f>IF(AND($B$3&gt;=30,$B$3&lt;60),$B$9,0)</f>
        <v>2273500</v>
      </c>
      <c r="D11" s="236">
        <f>IF(AND($B$3&gt;=60,$B$3&lt;90),$B$9,0)</f>
        <v>0</v>
      </c>
      <c r="E11" s="236">
        <f>IF(AND($B$3&gt;=90,$B$3&lt;120),$B$9,0)</f>
        <v>0</v>
      </c>
      <c r="F11" s="236">
        <f>IF(AND($B$3&gt;=120,$B$3&lt;150),$B$9,0)</f>
        <v>0</v>
      </c>
      <c r="G11" s="236">
        <f>IF(AND($B$3&gt;=150,$B$3&lt;180),$B$9,0)</f>
        <v>0</v>
      </c>
      <c r="H11" s="236">
        <f>IF(AND($B$3&gt;=180,$B$3&lt;210),$B$9,0)</f>
        <v>0</v>
      </c>
      <c r="I11" s="236">
        <f>IF(AND($B$3&gt;=210,$B$3&lt;240),$B$9,0)</f>
        <v>0</v>
      </c>
      <c r="J11" s="236">
        <f>IF(AND($B$3&gt;=240,$B$3&lt;270),$B$9,0)</f>
        <v>0</v>
      </c>
      <c r="K11" s="236">
        <f>IF(AND($B$3&gt;=270,$B$3&lt;300),$B$9,0)</f>
        <v>0</v>
      </c>
      <c r="L11" s="236">
        <f>IF(AND($B$3&gt;=300,$B$3&lt;330),$B$9,0)</f>
        <v>0</v>
      </c>
      <c r="M11" s="236">
        <f>IF(AND($B$3&gt;=330,$B$3&lt;360),$B$9,0)</f>
        <v>0</v>
      </c>
    </row>
    <row r="12" spans="1:14" outlineLevel="1" x14ac:dyDescent="0.25">
      <c r="A12" s="233" t="s">
        <v>609</v>
      </c>
      <c r="B12" s="240"/>
      <c r="C12" s="239">
        <f>IF($B$3&lt;30,C$9,0)</f>
        <v>0</v>
      </c>
      <c r="D12" s="236">
        <f>IF(AND($B$3&gt;=30,$B$3&lt;60),$C$9,0)</f>
        <v>2273500</v>
      </c>
      <c r="E12" s="236">
        <f>IF(AND($B$3&gt;=60,$B$3&lt;90),$C$9,0)</f>
        <v>0</v>
      </c>
      <c r="F12" s="236">
        <f>IF(AND($B$3&gt;=90,$B$3&lt;120),$C$9,0)</f>
        <v>0</v>
      </c>
      <c r="G12" s="236">
        <f>IF(AND($B$3&gt;=120,$B$3&lt;150),$C$9,0)</f>
        <v>0</v>
      </c>
      <c r="H12" s="236">
        <f>IF(AND($B$3&gt;=150,$B$3&lt;180),$C$9,0)</f>
        <v>0</v>
      </c>
      <c r="I12" s="236">
        <f>IF(AND($B$3&gt;=180,$B$3&lt;210),$C$9,0)</f>
        <v>0</v>
      </c>
      <c r="J12" s="236">
        <f>IF(AND($B$3&gt;=210,$B$3&lt;240),$C$9,0)</f>
        <v>0</v>
      </c>
      <c r="K12" s="236">
        <f>IF(AND($B$3&gt;=240,$B$3&lt;270),$C$9,0)</f>
        <v>0</v>
      </c>
      <c r="L12" s="236">
        <f>IF(AND($B$3&gt;=270,$B$3&lt;300),$C$9,0)</f>
        <v>0</v>
      </c>
      <c r="M12" s="236">
        <f>IF(AND($B$3&gt;=300,$B$3&lt;330),$C$9,0)</f>
        <v>0</v>
      </c>
    </row>
    <row r="13" spans="1:14" outlineLevel="1" x14ac:dyDescent="0.25">
      <c r="A13" s="233" t="s">
        <v>610</v>
      </c>
      <c r="B13" s="240"/>
      <c r="C13" s="240"/>
      <c r="D13" s="239">
        <f>IF($B$3&lt;30,D$9,0)</f>
        <v>0</v>
      </c>
      <c r="E13" s="236">
        <f>IF(AND($B$3&gt;=30,$B$3&lt;60),$D$9,0)</f>
        <v>2273500</v>
      </c>
      <c r="F13" s="236">
        <f>IF(AND($B$3&gt;=60,$B$3&lt;90),$D$9,0)</f>
        <v>0</v>
      </c>
      <c r="G13" s="236">
        <f>IF(AND($B$3&gt;=90,$B$3&lt;120),$D$9,0)</f>
        <v>0</v>
      </c>
      <c r="H13" s="236">
        <f>IF(AND($B$3&gt;=120,$B$3&lt;150),$D$9,0)</f>
        <v>0</v>
      </c>
      <c r="I13" s="236">
        <f>IF(AND($B$3&gt;=150,$B$3&lt;180),$D$9,0)</f>
        <v>0</v>
      </c>
      <c r="J13" s="236">
        <f>IF(AND($B$3&gt;=180,$B$3&lt;210),$D$9,0)</f>
        <v>0</v>
      </c>
      <c r="K13" s="236">
        <f>IF(AND($B$3&gt;=210,$B$3&lt;240),$D$9,0)</f>
        <v>0</v>
      </c>
      <c r="L13" s="236">
        <f>IF(AND($B$3&gt;=240,$B$3&lt;270),$D$9,0)</f>
        <v>0</v>
      </c>
      <c r="M13" s="236">
        <f>IF(AND($B$3&gt;=270,$B$3&lt;300),$D$9,0)</f>
        <v>0</v>
      </c>
    </row>
    <row r="14" spans="1:14" outlineLevel="1" x14ac:dyDescent="0.25">
      <c r="A14" s="233" t="s">
        <v>611</v>
      </c>
      <c r="B14" s="240"/>
      <c r="C14" s="240"/>
      <c r="D14" s="240"/>
      <c r="E14" s="239">
        <f>IF($B$3&lt;30,E$9,0)</f>
        <v>0</v>
      </c>
      <c r="F14" s="236">
        <f>IF(AND($B$3&gt;=30,$B$3&lt;60),$E$9,0)</f>
        <v>2273500</v>
      </c>
      <c r="G14" s="236">
        <f>IF(AND($B$3&gt;=60,$B$3&lt;90),$E$9,0)</f>
        <v>0</v>
      </c>
      <c r="H14" s="236">
        <f>IF(AND($B$3&gt;=90,$B$3&lt;120),$E$9,0)</f>
        <v>0</v>
      </c>
      <c r="I14" s="236">
        <f>IF(AND($B$3&gt;=120,$B$3&lt;150),$E$9,0)</f>
        <v>0</v>
      </c>
      <c r="J14" s="236">
        <f>IF(AND($B$3&gt;=150,$B$3&lt;180),$E$9,0)</f>
        <v>0</v>
      </c>
      <c r="K14" s="236">
        <f>IF(AND($B$3&gt;=180,$B$3&lt;210),$E$9,0)</f>
        <v>0</v>
      </c>
      <c r="L14" s="236">
        <f>IF(AND($B$3&gt;=210,$B$3&lt;240),$E$9,0)</f>
        <v>0</v>
      </c>
      <c r="M14" s="236">
        <f>IF(AND($B$3&gt;=240,$B$3&lt;270),$E$9,0)</f>
        <v>0</v>
      </c>
    </row>
    <row r="15" spans="1:14" outlineLevel="1" x14ac:dyDescent="0.25">
      <c r="A15" s="233" t="s">
        <v>612</v>
      </c>
      <c r="B15" s="240"/>
      <c r="C15" s="240"/>
      <c r="D15" s="240"/>
      <c r="E15" s="240"/>
      <c r="F15" s="239">
        <f>IF($B$3&lt;30,F$9,0)</f>
        <v>0</v>
      </c>
      <c r="G15" s="236">
        <f>IF(AND($B$3&gt;=30,$B$3&lt;60),$F$9,0)</f>
        <v>2273500</v>
      </c>
      <c r="H15" s="236">
        <f>IF(AND($B$3&gt;=60,$B$3&lt;90),$F$9,0)</f>
        <v>0</v>
      </c>
      <c r="I15" s="236">
        <f>IF(AND($B$3&gt;=90,$B$3&lt;120),$F$9,0)</f>
        <v>0</v>
      </c>
      <c r="J15" s="236">
        <f>IF(AND($B$3&gt;=120,$B$3&lt;150),$F$9,0)</f>
        <v>0</v>
      </c>
      <c r="K15" s="236">
        <f>IF(AND($B$3&gt;=150,$B$3&lt;180),$F$9,0)</f>
        <v>0</v>
      </c>
      <c r="L15" s="236">
        <f>IF(AND($B$3&gt;=180,$B$3&lt;210),$F$9,0)</f>
        <v>0</v>
      </c>
      <c r="M15" s="236">
        <f>IF(AND($B$3&gt;=210,$B$3&lt;240),$F$9,0)</f>
        <v>0</v>
      </c>
    </row>
    <row r="16" spans="1:14" outlineLevel="1" x14ac:dyDescent="0.25">
      <c r="A16" s="233" t="s">
        <v>613</v>
      </c>
      <c r="B16" s="240"/>
      <c r="C16" s="240"/>
      <c r="D16" s="240"/>
      <c r="E16" s="240"/>
      <c r="F16" s="240"/>
      <c r="G16" s="239">
        <f>IF($B$3&lt;30,G$9,0)</f>
        <v>0</v>
      </c>
      <c r="H16" s="236">
        <f>IF(AND($B$3&gt;=30,$B$3&lt;60),$G$9,0)</f>
        <v>2273500</v>
      </c>
      <c r="I16" s="236">
        <f>IF(AND($B$3&gt;=60,$B$3&lt;90),$G$9,0)</f>
        <v>0</v>
      </c>
      <c r="J16" s="236">
        <f>IF(AND($B$3&gt;=90,$B$3&lt;120),$G$9,0)</f>
        <v>0</v>
      </c>
      <c r="K16" s="236">
        <f>IF(AND($B$3&gt;=120,$B$3&lt;150),$G$9,0)</f>
        <v>0</v>
      </c>
      <c r="L16" s="236">
        <f>IF(AND($B$3&gt;=150,$B$3&lt;180),$G$9,0)</f>
        <v>0</v>
      </c>
      <c r="M16" s="236">
        <f>IF(AND($B$3&gt;=180,$B$3&lt;210),$G$9,0)</f>
        <v>0</v>
      </c>
    </row>
    <row r="17" spans="1:16" outlineLevel="1" x14ac:dyDescent="0.25">
      <c r="A17" s="233" t="s">
        <v>614</v>
      </c>
      <c r="B17" s="240"/>
      <c r="C17" s="240"/>
      <c r="D17" s="240"/>
      <c r="E17" s="240"/>
      <c r="F17" s="240"/>
      <c r="G17" s="240"/>
      <c r="H17" s="239">
        <f>IF($B$3&lt;30,H$9,0)</f>
        <v>0</v>
      </c>
      <c r="I17" s="236">
        <f>IF(AND($B$3&gt;=30,$B$3&lt;60),$H$9,0)</f>
        <v>2273500</v>
      </c>
      <c r="J17" s="236">
        <f>IF(AND($B$3&gt;=60,$B$3&lt;90),$H$9,0)</f>
        <v>0</v>
      </c>
      <c r="K17" s="236">
        <f>IF(AND($B$3&gt;=90,$B$3&lt;120),$H$9,0)</f>
        <v>0</v>
      </c>
      <c r="L17" s="236">
        <f>IF(AND($B$3&gt;=120,$B$3&lt;150),$H$9,0)</f>
        <v>0</v>
      </c>
      <c r="M17" s="236">
        <f>IF(AND($B$3&gt;=150,$B$3&lt;180),$H$9,0)</f>
        <v>0</v>
      </c>
    </row>
    <row r="18" spans="1:16" outlineLevel="1" x14ac:dyDescent="0.25">
      <c r="A18" s="233" t="s">
        <v>615</v>
      </c>
      <c r="B18" s="240"/>
      <c r="C18" s="240"/>
      <c r="D18" s="240"/>
      <c r="E18" s="240"/>
      <c r="F18" s="240"/>
      <c r="G18" s="240"/>
      <c r="H18" s="240"/>
      <c r="I18" s="239">
        <f>IF($B$3&lt;30,I$9,0)</f>
        <v>0</v>
      </c>
      <c r="J18" s="236">
        <f>IF(AND($B$3&gt;=30,$B$3&lt;60),$I$9,0)</f>
        <v>2273500</v>
      </c>
      <c r="K18" s="236">
        <f>IF(AND($B$3&gt;=60,$B$3&lt;90),$I$9,0)</f>
        <v>0</v>
      </c>
      <c r="L18" s="236">
        <f>IF(AND($B$3&gt;=90,$B$3&lt;120),$I$9,0)</f>
        <v>0</v>
      </c>
      <c r="M18" s="236">
        <f>IF(AND($B$3&gt;=120,$B$3&lt;150),$I$9,0)</f>
        <v>0</v>
      </c>
    </row>
    <row r="19" spans="1:16" outlineLevel="1" x14ac:dyDescent="0.25">
      <c r="A19" s="233" t="s">
        <v>616</v>
      </c>
      <c r="B19" s="240"/>
      <c r="C19" s="240"/>
      <c r="D19" s="240"/>
      <c r="E19" s="240"/>
      <c r="F19" s="240"/>
      <c r="G19" s="240"/>
      <c r="H19" s="240"/>
      <c r="I19" s="240"/>
      <c r="J19" s="239">
        <f>IF($B$3&lt;30,J$9,0)</f>
        <v>0</v>
      </c>
      <c r="K19" s="236">
        <f>IF(AND($B$3&gt;=30,$B$3&lt;60),$J$9,0)</f>
        <v>2273500</v>
      </c>
      <c r="L19" s="236">
        <f>IF(AND($B$3&gt;=60,$B$3&lt;90),$J$9,0)</f>
        <v>0</v>
      </c>
      <c r="M19" s="236">
        <f>IF(AND($B$3&gt;=90,$B$3&lt;120),$J$9,0)</f>
        <v>0</v>
      </c>
    </row>
    <row r="20" spans="1:16" outlineLevel="1" x14ac:dyDescent="0.25">
      <c r="A20" s="233" t="s">
        <v>617</v>
      </c>
      <c r="B20" s="240"/>
      <c r="C20" s="240"/>
      <c r="D20" s="240"/>
      <c r="E20" s="240"/>
      <c r="F20" s="240"/>
      <c r="G20" s="240"/>
      <c r="H20" s="240"/>
      <c r="I20" s="240"/>
      <c r="J20" s="240"/>
      <c r="K20" s="239">
        <f>IF($B$3&lt;30,K$9,0)</f>
        <v>0</v>
      </c>
      <c r="L20" s="236">
        <f>IF(AND($B$3&gt;=30,$B$3&lt;60),$K$9,0)</f>
        <v>2273500</v>
      </c>
      <c r="M20" s="236">
        <f>IF(AND($B$3&gt;=60,$B$3&lt;90),$K$9,0)</f>
        <v>0</v>
      </c>
    </row>
    <row r="21" spans="1:16" outlineLevel="1" x14ac:dyDescent="0.25">
      <c r="A21" s="233" t="s">
        <v>618</v>
      </c>
      <c r="B21" s="240"/>
      <c r="C21" s="240"/>
      <c r="D21" s="240"/>
      <c r="E21" s="240"/>
      <c r="F21" s="240"/>
      <c r="G21" s="240"/>
      <c r="H21" s="240"/>
      <c r="I21" s="240"/>
      <c r="J21" s="240"/>
      <c r="K21" s="240"/>
      <c r="L21" s="239">
        <f>IF($B$3&lt;30,L$9,0)</f>
        <v>0</v>
      </c>
      <c r="M21" s="236">
        <f>IF(AND($B$3&gt;=30,$B$3&lt;60),$L$9,0)</f>
        <v>2273500</v>
      </c>
    </row>
    <row r="22" spans="1:16" outlineLevel="1" x14ac:dyDescent="0.25">
      <c r="A22" s="233" t="s">
        <v>619</v>
      </c>
      <c r="B22" s="240"/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39">
        <f>IF($B$3&lt;30,M$9,0)</f>
        <v>0</v>
      </c>
    </row>
    <row r="23" spans="1:16" x14ac:dyDescent="0.25">
      <c r="A23" s="233" t="s">
        <v>620</v>
      </c>
      <c r="B23" s="235">
        <f>B8+B9-B10</f>
        <v>2273500</v>
      </c>
      <c r="C23" s="235">
        <f t="shared" ref="C23:M23" si="4">C8+C9-C10</f>
        <v>2273500</v>
      </c>
      <c r="D23" s="235">
        <f t="shared" si="4"/>
        <v>2273500</v>
      </c>
      <c r="E23" s="235">
        <f t="shared" si="4"/>
        <v>2273500</v>
      </c>
      <c r="F23" s="235">
        <f t="shared" si="4"/>
        <v>2273500</v>
      </c>
      <c r="G23" s="235">
        <f t="shared" si="4"/>
        <v>2273500</v>
      </c>
      <c r="H23" s="235">
        <f t="shared" si="4"/>
        <v>2273500</v>
      </c>
      <c r="I23" s="235">
        <f t="shared" si="4"/>
        <v>2273500</v>
      </c>
      <c r="J23" s="235">
        <f t="shared" si="4"/>
        <v>2273500</v>
      </c>
      <c r="K23" s="235">
        <f t="shared" si="4"/>
        <v>2273500</v>
      </c>
      <c r="L23" s="235">
        <f t="shared" si="4"/>
        <v>2273500</v>
      </c>
      <c r="M23" s="235">
        <f t="shared" si="4"/>
        <v>2273500</v>
      </c>
    </row>
    <row r="25" spans="1:16" x14ac:dyDescent="0.25">
      <c r="A25" s="233" t="s">
        <v>604</v>
      </c>
      <c r="B25" s="235">
        <f>B4+B8</f>
        <v>0</v>
      </c>
      <c r="C25" s="235">
        <f>B28</f>
        <v>2273500</v>
      </c>
      <c r="D25" s="235">
        <f t="shared" ref="D25:M25" si="5">C28</f>
        <v>2273500</v>
      </c>
      <c r="E25" s="235">
        <f t="shared" si="5"/>
        <v>2273500</v>
      </c>
      <c r="F25" s="235">
        <f t="shared" si="5"/>
        <v>2273500</v>
      </c>
      <c r="G25" s="235">
        <f t="shared" si="5"/>
        <v>2273500</v>
      </c>
      <c r="H25" s="235">
        <f t="shared" si="5"/>
        <v>2273500</v>
      </c>
      <c r="I25" s="235">
        <f t="shared" si="5"/>
        <v>2273500</v>
      </c>
      <c r="J25" s="235">
        <f t="shared" si="5"/>
        <v>2273500</v>
      </c>
      <c r="K25" s="235">
        <f t="shared" si="5"/>
        <v>2273500</v>
      </c>
      <c r="L25" s="235">
        <f t="shared" si="5"/>
        <v>2273500</v>
      </c>
      <c r="M25" s="235">
        <f t="shared" si="5"/>
        <v>2273500</v>
      </c>
      <c r="N25" s="235"/>
      <c r="O25" s="235"/>
      <c r="P25" s="235"/>
    </row>
    <row r="26" spans="1:16" x14ac:dyDescent="0.25">
      <c r="A26" s="233" t="s">
        <v>537</v>
      </c>
      <c r="B26" s="235">
        <f>B9</f>
        <v>2273500</v>
      </c>
      <c r="C26" s="235">
        <f t="shared" ref="C26:M26" si="6">C9</f>
        <v>2273500</v>
      </c>
      <c r="D26" s="235">
        <f t="shared" si="6"/>
        <v>2273500</v>
      </c>
      <c r="E26" s="235">
        <f t="shared" si="6"/>
        <v>2273500</v>
      </c>
      <c r="F26" s="235">
        <f t="shared" si="6"/>
        <v>2273500</v>
      </c>
      <c r="G26" s="235">
        <f t="shared" si="6"/>
        <v>2273500</v>
      </c>
      <c r="H26" s="235">
        <f t="shared" si="6"/>
        <v>2273500</v>
      </c>
      <c r="I26" s="235">
        <f t="shared" si="6"/>
        <v>2273500</v>
      </c>
      <c r="J26" s="235">
        <f t="shared" si="6"/>
        <v>2273500</v>
      </c>
      <c r="K26" s="235">
        <f t="shared" si="6"/>
        <v>2273500</v>
      </c>
      <c r="L26" s="235">
        <f t="shared" si="6"/>
        <v>2273500</v>
      </c>
      <c r="M26" s="235">
        <f t="shared" si="6"/>
        <v>2273500</v>
      </c>
      <c r="N26" s="235"/>
    </row>
    <row r="27" spans="1:16" x14ac:dyDescent="0.25">
      <c r="A27" s="233" t="s">
        <v>621</v>
      </c>
      <c r="B27" s="235">
        <f>B5+B10</f>
        <v>0</v>
      </c>
      <c r="C27" s="235">
        <f t="shared" ref="C27:M27" si="7">C5+C10</f>
        <v>2273500</v>
      </c>
      <c r="D27" s="235">
        <f t="shared" si="7"/>
        <v>2273500</v>
      </c>
      <c r="E27" s="235">
        <f t="shared" si="7"/>
        <v>2273500</v>
      </c>
      <c r="F27" s="235">
        <f t="shared" si="7"/>
        <v>2273500</v>
      </c>
      <c r="G27" s="235">
        <f t="shared" si="7"/>
        <v>2273500</v>
      </c>
      <c r="H27" s="235">
        <f t="shared" si="7"/>
        <v>2273500</v>
      </c>
      <c r="I27" s="235">
        <f t="shared" si="7"/>
        <v>2273500</v>
      </c>
      <c r="J27" s="235">
        <f t="shared" si="7"/>
        <v>2273500</v>
      </c>
      <c r="K27" s="235">
        <f t="shared" si="7"/>
        <v>2273500</v>
      </c>
      <c r="L27" s="235">
        <f t="shared" si="7"/>
        <v>2273500</v>
      </c>
      <c r="M27" s="235">
        <f t="shared" si="7"/>
        <v>2273500</v>
      </c>
      <c r="N27" s="235"/>
    </row>
    <row r="28" spans="1:16" x14ac:dyDescent="0.25">
      <c r="A28" s="233" t="s">
        <v>115</v>
      </c>
      <c r="B28" s="235">
        <f>B25+B26-B27</f>
        <v>2273500</v>
      </c>
      <c r="C28" s="235">
        <f t="shared" ref="C28:M28" si="8">C25+C26-C27</f>
        <v>2273500</v>
      </c>
      <c r="D28" s="235">
        <f t="shared" si="8"/>
        <v>2273500</v>
      </c>
      <c r="E28" s="235">
        <f t="shared" si="8"/>
        <v>2273500</v>
      </c>
      <c r="F28" s="235">
        <f t="shared" si="8"/>
        <v>2273500</v>
      </c>
      <c r="G28" s="235">
        <f t="shared" si="8"/>
        <v>2273500</v>
      </c>
      <c r="H28" s="235">
        <f t="shared" si="8"/>
        <v>2273500</v>
      </c>
      <c r="I28" s="235">
        <f t="shared" si="8"/>
        <v>2273500</v>
      </c>
      <c r="J28" s="235">
        <f t="shared" si="8"/>
        <v>2273500</v>
      </c>
      <c r="K28" s="235">
        <f t="shared" si="8"/>
        <v>2273500</v>
      </c>
      <c r="L28" s="235">
        <f t="shared" si="8"/>
        <v>2273500</v>
      </c>
      <c r="M28" s="235">
        <f t="shared" si="8"/>
        <v>2273500</v>
      </c>
      <c r="N28" s="235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N30"/>
  <sheetViews>
    <sheetView workbookViewId="0">
      <selection activeCell="M34" sqref="M34"/>
    </sheetView>
  </sheetViews>
  <sheetFormatPr defaultColWidth="9.140625" defaultRowHeight="15" x14ac:dyDescent="0.25"/>
  <cols>
    <col min="1" max="1" width="37.85546875" style="233" customWidth="1"/>
    <col min="2" max="2" width="14.28515625" style="233" bestFit="1" customWidth="1"/>
    <col min="3" max="3" width="11.28515625" style="233" bestFit="1" customWidth="1"/>
    <col min="4" max="4" width="14.140625" style="233" customWidth="1"/>
    <col min="5" max="5" width="11.5703125" style="233" bestFit="1" customWidth="1"/>
    <col min="6" max="6" width="12.7109375" style="233" bestFit="1" customWidth="1"/>
    <col min="7" max="13" width="11.5703125" style="233" bestFit="1" customWidth="1"/>
    <col min="14" max="14" width="13.5703125" style="233" customWidth="1"/>
    <col min="15" max="16384" width="9.140625" style="233"/>
  </cols>
  <sheetData>
    <row r="1" spans="1:14" x14ac:dyDescent="0.25">
      <c r="A1" s="259" t="s">
        <v>630</v>
      </c>
    </row>
    <row r="2" spans="1:14" x14ac:dyDescent="0.25">
      <c r="A2" s="241" t="s">
        <v>648</v>
      </c>
      <c r="B2" s="242">
        <v>0.5</v>
      </c>
    </row>
    <row r="3" spans="1:14" x14ac:dyDescent="0.25">
      <c r="A3" s="241" t="s">
        <v>649</v>
      </c>
      <c r="B3" s="242">
        <v>0.5</v>
      </c>
    </row>
    <row r="4" spans="1:14" x14ac:dyDescent="0.25">
      <c r="A4" s="241" t="s">
        <v>650</v>
      </c>
      <c r="B4" s="242">
        <v>0.3</v>
      </c>
    </row>
    <row r="5" spans="1:14" x14ac:dyDescent="0.25">
      <c r="A5" s="241" t="s">
        <v>652</v>
      </c>
      <c r="B5" s="242">
        <v>0.2</v>
      </c>
    </row>
    <row r="6" spans="1:14" x14ac:dyDescent="0.25">
      <c r="A6" s="260" t="s">
        <v>603</v>
      </c>
      <c r="B6" s="3">
        <f>'NT1 a NT4'!R51</f>
        <v>30</v>
      </c>
      <c r="D6" s="233">
        <v>45</v>
      </c>
    </row>
    <row r="7" spans="1:14" x14ac:dyDescent="0.25">
      <c r="A7" s="260"/>
    </row>
    <row r="8" spans="1:14" x14ac:dyDescent="0.25">
      <c r="A8" s="261" t="s">
        <v>668</v>
      </c>
      <c r="B8" s="233" t="str">
        <f>'NT1 a NT4'!E45</f>
        <v>Mês 1</v>
      </c>
      <c r="C8" s="233" t="str">
        <f>'NT1 a NT4'!F45</f>
        <v>Mês 2</v>
      </c>
      <c r="D8" s="233" t="str">
        <f>'NT1 a NT4'!G45</f>
        <v>Mês 3</v>
      </c>
      <c r="E8" s="233" t="str">
        <f>'NT1 a NT4'!H45</f>
        <v>Mês 4</v>
      </c>
      <c r="F8" s="233" t="str">
        <f>'NT1 a NT4'!I45</f>
        <v>Mês 5</v>
      </c>
      <c r="G8" s="233" t="str">
        <f>'NT1 a NT4'!J45</f>
        <v>Mês 6</v>
      </c>
      <c r="H8" s="233" t="str">
        <f>'NT1 a NT4'!K45</f>
        <v>Mês 7</v>
      </c>
      <c r="I8" s="233" t="str">
        <f>'NT1 a NT4'!L45</f>
        <v>Mês 8</v>
      </c>
      <c r="J8" s="233" t="str">
        <f>'NT1 a NT4'!M45</f>
        <v>Mês 9</v>
      </c>
      <c r="K8" s="233" t="str">
        <f>'NT1 a NT4'!N45</f>
        <v>Mês 10</v>
      </c>
      <c r="L8" s="233" t="str">
        <f>'NT1 a NT4'!O45</f>
        <v>Mês 11</v>
      </c>
      <c r="M8" s="233" t="str">
        <f>'NT1 a NT4'!P45</f>
        <v>Mês 12</v>
      </c>
      <c r="N8" s="256" t="s">
        <v>28</v>
      </c>
    </row>
    <row r="9" spans="1:14" x14ac:dyDescent="0.25">
      <c r="A9" s="260" t="s">
        <v>646</v>
      </c>
      <c r="B9" s="124">
        <f>'NT1 a NT4'!E51*$B$2*$B$3</f>
        <v>1136750</v>
      </c>
      <c r="C9" s="124">
        <f>'NT1 a NT4'!F51*$B$2*$B$3</f>
        <v>1136750</v>
      </c>
      <c r="D9" s="124">
        <f>'NT1 a NT4'!G51*$B$2*$B$3</f>
        <v>1136750</v>
      </c>
      <c r="E9" s="124">
        <f>'NT1 a NT4'!H51*$B$2*$B$3</f>
        <v>1136750</v>
      </c>
      <c r="F9" s="124">
        <f>'NT1 a NT4'!I51*$B$2*$B$3</f>
        <v>1136750</v>
      </c>
      <c r="G9" s="124">
        <f>'NT1 a NT4'!J51*$B$2*$B$3</f>
        <v>1136750</v>
      </c>
      <c r="H9" s="124">
        <f>'NT1 a NT4'!K51*$B$2*$B$3</f>
        <v>1136750</v>
      </c>
      <c r="I9" s="124">
        <f>'NT1 a NT4'!L51*$B$2*$B$3</f>
        <v>1136750</v>
      </c>
      <c r="J9" s="124">
        <f>'NT1 a NT4'!M51*$B$2*$B$3</f>
        <v>1136750</v>
      </c>
      <c r="K9" s="124">
        <f>'NT1 a NT4'!N51*$B$2*$B$3</f>
        <v>1136750</v>
      </c>
      <c r="L9" s="124">
        <f>'NT1 a NT4'!O51*$B$2*$B$3</f>
        <v>1136750</v>
      </c>
      <c r="M9" s="124">
        <f>'NT1 a NT4'!P51*$B$2*$B$3</f>
        <v>1136750</v>
      </c>
      <c r="N9" s="124">
        <f>SUM(B9:M9)</f>
        <v>13641000</v>
      </c>
    </row>
    <row r="10" spans="1:14" x14ac:dyDescent="0.25">
      <c r="A10" s="260" t="s">
        <v>651</v>
      </c>
      <c r="B10" s="124">
        <f>'NT1 a NT4'!E51*$B$2*$B$4</f>
        <v>682050</v>
      </c>
      <c r="C10" s="124">
        <f>'NT1 a NT4'!F51*$B$2*$B$4</f>
        <v>682050</v>
      </c>
      <c r="D10" s="124">
        <f>'NT1 a NT4'!G51*$B$2*$B$4</f>
        <v>682050</v>
      </c>
      <c r="E10" s="124">
        <f>'NT1 a NT4'!H51*$B$2*$B$4</f>
        <v>682050</v>
      </c>
      <c r="F10" s="124">
        <f>'NT1 a NT4'!I51*$B$2*$B$4</f>
        <v>682050</v>
      </c>
      <c r="G10" s="124">
        <f>'NT1 a NT4'!J51*$B$2*$B$4</f>
        <v>682050</v>
      </c>
      <c r="H10" s="124">
        <f>'NT1 a NT4'!K51*$B$2*$B$4</f>
        <v>682050</v>
      </c>
      <c r="I10" s="124">
        <f>'NT1 a NT4'!L51*$B$2*$B$4</f>
        <v>682050</v>
      </c>
      <c r="J10" s="124">
        <f>'NT1 a NT4'!M51*$B$2*$B$4</f>
        <v>682050</v>
      </c>
      <c r="K10" s="124">
        <f>'NT1 a NT4'!N51*$B$2*$B$4</f>
        <v>682050</v>
      </c>
      <c r="L10" s="124">
        <f>'NT1 a NT4'!O51*$B$2*$B$4</f>
        <v>682050</v>
      </c>
      <c r="M10" s="124">
        <f>'NT1 a NT4'!P51*$B$2*$B$4</f>
        <v>682050</v>
      </c>
      <c r="N10" s="124">
        <f t="shared" ref="N10:N14" si="0">SUM(B10:M10)</f>
        <v>8184600</v>
      </c>
    </row>
    <row r="11" spans="1:14" x14ac:dyDescent="0.25">
      <c r="A11" s="260" t="s">
        <v>647</v>
      </c>
      <c r="B11" s="124">
        <f>'NT1 a NT4'!E51*$B$2*$B$5</f>
        <v>454700</v>
      </c>
      <c r="C11" s="124">
        <f>'NT1 a NT4'!F51*$B$2*$B$5</f>
        <v>454700</v>
      </c>
      <c r="D11" s="124">
        <f>'NT1 a NT4'!G51*$B$2*$B$5</f>
        <v>454700</v>
      </c>
      <c r="E11" s="124">
        <f>'NT1 a NT4'!H51*$B$2*$B$5</f>
        <v>454700</v>
      </c>
      <c r="F11" s="124">
        <f>'NT1 a NT4'!I51*$B$2*$B$5</f>
        <v>454700</v>
      </c>
      <c r="G11" s="124">
        <f>'NT1 a NT4'!J51*$B$2*$B$5</f>
        <v>454700</v>
      </c>
      <c r="H11" s="124">
        <f>'NT1 a NT4'!K51*$B$2*$B$5</f>
        <v>454700</v>
      </c>
      <c r="I11" s="124">
        <f>'NT1 a NT4'!L51*$B$2*$B$5</f>
        <v>454700</v>
      </c>
      <c r="J11" s="124">
        <f>'NT1 a NT4'!M51*$B$2*$B$5</f>
        <v>454700</v>
      </c>
      <c r="K11" s="124">
        <f>'NT1 a NT4'!N51*$B$2*$B$5</f>
        <v>454700</v>
      </c>
      <c r="L11" s="124">
        <f>'NT1 a NT4'!O51*$B$2*$B$5</f>
        <v>454700</v>
      </c>
      <c r="M11" s="124">
        <f>'NT1 a NT4'!P51*$B$2*$B$5</f>
        <v>454700</v>
      </c>
      <c r="N11" s="124">
        <f t="shared" si="0"/>
        <v>5456400</v>
      </c>
    </row>
    <row r="12" spans="1:14" x14ac:dyDescent="0.25">
      <c r="A12" s="260" t="s">
        <v>653</v>
      </c>
      <c r="B12" s="124">
        <f>SUM(B9:B11)</f>
        <v>2273500</v>
      </c>
      <c r="C12" s="124">
        <f t="shared" ref="C12:M12" si="1">SUM(C9:C11)</f>
        <v>2273500</v>
      </c>
      <c r="D12" s="124">
        <f t="shared" si="1"/>
        <v>2273500</v>
      </c>
      <c r="E12" s="124">
        <f t="shared" si="1"/>
        <v>2273500</v>
      </c>
      <c r="F12" s="124">
        <f t="shared" si="1"/>
        <v>2273500</v>
      </c>
      <c r="G12" s="124">
        <f t="shared" si="1"/>
        <v>2273500</v>
      </c>
      <c r="H12" s="124">
        <f t="shared" si="1"/>
        <v>2273500</v>
      </c>
      <c r="I12" s="124">
        <f t="shared" si="1"/>
        <v>2273500</v>
      </c>
      <c r="J12" s="124">
        <f t="shared" si="1"/>
        <v>2273500</v>
      </c>
      <c r="K12" s="124">
        <f t="shared" si="1"/>
        <v>2273500</v>
      </c>
      <c r="L12" s="124">
        <f t="shared" si="1"/>
        <v>2273500</v>
      </c>
      <c r="M12" s="124">
        <f t="shared" si="1"/>
        <v>2273500</v>
      </c>
      <c r="N12" s="124">
        <f t="shared" si="0"/>
        <v>27282000</v>
      </c>
    </row>
    <row r="13" spans="1:14" x14ac:dyDescent="0.25">
      <c r="A13" s="260" t="s">
        <v>654</v>
      </c>
      <c r="B13" s="93">
        <f>'NT5'!B9</f>
        <v>2273500</v>
      </c>
      <c r="C13" s="93">
        <f>'NT5'!C9</f>
        <v>2273500</v>
      </c>
      <c r="D13" s="93">
        <f>'NT5'!D9</f>
        <v>2273500</v>
      </c>
      <c r="E13" s="93">
        <f>'NT5'!E9</f>
        <v>2273500</v>
      </c>
      <c r="F13" s="93">
        <f>'NT5'!F9</f>
        <v>2273500</v>
      </c>
      <c r="G13" s="93">
        <f>'NT5'!G9</f>
        <v>2273500</v>
      </c>
      <c r="H13" s="93">
        <f>'NT5'!H9</f>
        <v>2273500</v>
      </c>
      <c r="I13" s="93">
        <f>'NT5'!I9</f>
        <v>2273500</v>
      </c>
      <c r="J13" s="93">
        <f>'NT5'!J9</f>
        <v>2273500</v>
      </c>
      <c r="K13" s="93">
        <f>'NT5'!K9</f>
        <v>2273500</v>
      </c>
      <c r="L13" s="93">
        <f>'NT5'!L9</f>
        <v>2273500</v>
      </c>
      <c r="M13" s="93">
        <f>'NT5'!M9</f>
        <v>2273500</v>
      </c>
      <c r="N13" s="124">
        <f t="shared" si="0"/>
        <v>27282000</v>
      </c>
    </row>
    <row r="14" spans="1:14" x14ac:dyDescent="0.25">
      <c r="A14" s="260" t="s">
        <v>655</v>
      </c>
      <c r="B14" s="124">
        <f>B12+B13</f>
        <v>4547000</v>
      </c>
      <c r="C14" s="124">
        <f t="shared" ref="C14:M14" si="2">C12+C13</f>
        <v>4547000</v>
      </c>
      <c r="D14" s="124">
        <f t="shared" si="2"/>
        <v>4547000</v>
      </c>
      <c r="E14" s="124">
        <f t="shared" si="2"/>
        <v>4547000</v>
      </c>
      <c r="F14" s="124">
        <f t="shared" si="2"/>
        <v>4547000</v>
      </c>
      <c r="G14" s="124">
        <f t="shared" si="2"/>
        <v>4547000</v>
      </c>
      <c r="H14" s="124">
        <f t="shared" si="2"/>
        <v>4547000</v>
      </c>
      <c r="I14" s="124">
        <f t="shared" si="2"/>
        <v>4547000</v>
      </c>
      <c r="J14" s="124">
        <f t="shared" si="2"/>
        <v>4547000</v>
      </c>
      <c r="K14" s="124">
        <f t="shared" si="2"/>
        <v>4547000</v>
      </c>
      <c r="L14" s="124">
        <f t="shared" si="2"/>
        <v>4547000</v>
      </c>
      <c r="M14" s="124">
        <f t="shared" si="2"/>
        <v>4547000</v>
      </c>
      <c r="N14" s="124">
        <f t="shared" si="0"/>
        <v>54564000</v>
      </c>
    </row>
    <row r="15" spans="1:14" ht="5.0999999999999996" customHeight="1" x14ac:dyDescent="0.25">
      <c r="A15" s="262"/>
      <c r="B15" s="258"/>
      <c r="C15" s="258"/>
      <c r="D15" s="258"/>
      <c r="E15" s="258"/>
      <c r="F15" s="258"/>
      <c r="G15" s="258"/>
      <c r="H15" s="258"/>
      <c r="I15" s="258"/>
      <c r="J15" s="258"/>
      <c r="K15" s="258"/>
      <c r="L15" s="258"/>
      <c r="M15" s="258"/>
      <c r="N15" s="258"/>
    </row>
    <row r="16" spans="1:14" x14ac:dyDescent="0.25">
      <c r="A16" s="263" t="s">
        <v>663</v>
      </c>
    </row>
    <row r="17" spans="1:14" x14ac:dyDescent="0.25">
      <c r="A17" s="260" t="s">
        <v>656</v>
      </c>
      <c r="B17" s="124">
        <f>(B9*'Parametriza 6'!$B$20*$B$6/30)+(B10*'Parametriza 6'!$B$26*'NT 6'!$B$6/30)+('NT 6'!B11*'Parametriza 6'!$B$32*'NT 6'!$B$6/30)</f>
        <v>27969.10222222222</v>
      </c>
      <c r="C17" s="124">
        <f>(C9*'Parametriza 6'!$B$20*$B$6/30)+(C10*'Parametriza 6'!$B$26*'NT 6'!$B$6/30)+('NT 6'!C11*'Parametriza 6'!$B$32*'NT 6'!$B$6/30)</f>
        <v>27969.10222222222</v>
      </c>
      <c r="D17" s="124">
        <f>(D9*'Parametriza 6'!$B$20*$B$6/30)+(D10*'Parametriza 6'!$B$26*'NT 6'!$B$6/30)+('NT 6'!D11*'Parametriza 6'!$B$32*'NT 6'!$B$6/30)</f>
        <v>27969.10222222222</v>
      </c>
      <c r="E17" s="124">
        <f>(E9*'Parametriza 6'!$B$20*$B$6/30)+(E10*'Parametriza 6'!$B$26*'NT 6'!$B$6/30)+('NT 6'!E11*'Parametriza 6'!$B$32*'NT 6'!$B$6/30)</f>
        <v>27969.10222222222</v>
      </c>
      <c r="F17" s="124">
        <f>(F9*'Parametriza 6'!$B$20*$B$6/30)+(F10*'Parametriza 6'!$B$26*'NT 6'!$B$6/30)+('NT 6'!F11*'Parametriza 6'!$B$32*'NT 6'!$B$6/30)</f>
        <v>27969.10222222222</v>
      </c>
      <c r="G17" s="124">
        <f>(G9*'Parametriza 6'!$B$20*$B$6/30)+(G10*'Parametriza 6'!$B$26*'NT 6'!$B$6/30)+('NT 6'!G11*'Parametriza 6'!$B$32*'NT 6'!$B$6/30)</f>
        <v>27969.10222222222</v>
      </c>
      <c r="H17" s="124">
        <f>(H9*'Parametriza 6'!$B$20*$B$6/30)+(H10*'Parametriza 6'!$B$26*'NT 6'!$B$6/30)+('NT 6'!H11*'Parametriza 6'!$B$32*'NT 6'!$B$6/30)</f>
        <v>27969.10222222222</v>
      </c>
      <c r="I17" s="124">
        <f>(I9*'Parametriza 6'!$B$20*$B$6/30)+(I10*'Parametriza 6'!$B$26*'NT 6'!$B$6/30)+('NT 6'!I11*'Parametriza 6'!$B$32*'NT 6'!$B$6/30)</f>
        <v>27969.10222222222</v>
      </c>
      <c r="J17" s="124">
        <f>(J9*'Parametriza 6'!$B$20*$B$6/30)+(J10*'Parametriza 6'!$B$26*'NT 6'!$B$6/30)+('NT 6'!J11*'Parametriza 6'!$B$32*'NT 6'!$B$6/30)</f>
        <v>27969.10222222222</v>
      </c>
      <c r="K17" s="124">
        <f>(K9*'Parametriza 6'!$B$20*$B$6/30)+(K10*'Parametriza 6'!$B$26*'NT 6'!$B$6/30)+('NT 6'!K11*'Parametriza 6'!$B$32*'NT 6'!$B$6/30)</f>
        <v>27969.10222222222</v>
      </c>
      <c r="L17" s="124">
        <f>(L9*'Parametriza 6'!$B$20*$B$6/30)+(L10*'Parametriza 6'!$B$26*'NT 6'!$B$6/30)+('NT 6'!L11*'Parametriza 6'!$B$32*'NT 6'!$B$6/30)</f>
        <v>27969.10222222222</v>
      </c>
      <c r="M17" s="124">
        <f>(M9*'Parametriza 6'!$B$20*$B$6/30)+(M10*'Parametriza 6'!$B$26*'NT 6'!$B$6/30)+('NT 6'!M11*'Parametriza 6'!$B$32*'NT 6'!$B$6/30)</f>
        <v>27969.10222222222</v>
      </c>
      <c r="N17" s="124">
        <f>SUM(B17:M17)</f>
        <v>335629.22666666657</v>
      </c>
    </row>
    <row r="18" spans="1:14" x14ac:dyDescent="0.25">
      <c r="A18" s="260" t="s">
        <v>657</v>
      </c>
      <c r="B18" s="124">
        <f>((B12-B17)*'Parametriza 6'!$B$35*'NT5'!$B$3)+(B12-B17)*'Parametriza 6'!$B$36</f>
        <v>11295.020415822222</v>
      </c>
      <c r="C18" s="124">
        <f>((C12-C17)*'Parametriza 6'!$B$35*'NT5'!$B$3)+(C12-C17)*'Parametriza 6'!$B$36</f>
        <v>11295.020415822222</v>
      </c>
      <c r="D18" s="124">
        <f>((D12-D17)*'Parametriza 6'!$B$35*'NT5'!$B$3)+(D12-D17)*'Parametriza 6'!$B$36</f>
        <v>11295.020415822222</v>
      </c>
      <c r="E18" s="124">
        <f>((E12-E17)*'Parametriza 6'!$B$35*'NT5'!$B$3)+(E12-E17)*'Parametriza 6'!$B$36</f>
        <v>11295.020415822222</v>
      </c>
      <c r="F18" s="124">
        <f>((F12-F17)*'Parametriza 6'!$B$35*'NT5'!$B$3)+(F12-F17)*'Parametriza 6'!$B$36</f>
        <v>11295.020415822222</v>
      </c>
      <c r="G18" s="124">
        <f>((G12-G17)*'Parametriza 6'!$B$35*'NT5'!$B$3)+(G12-G17)*'Parametriza 6'!$B$36</f>
        <v>11295.020415822222</v>
      </c>
      <c r="H18" s="124">
        <f>((H12-H17)*'Parametriza 6'!$B$35*'NT5'!$B$3)+(H12-H17)*'Parametriza 6'!$B$36</f>
        <v>11295.020415822222</v>
      </c>
      <c r="I18" s="124">
        <f>((I12-I17)*'Parametriza 6'!$B$35*'NT5'!$B$3)+(I12-I17)*'Parametriza 6'!$B$36</f>
        <v>11295.020415822222</v>
      </c>
      <c r="J18" s="124">
        <f>((J12-J17)*'Parametriza 6'!$B$35*'NT5'!$B$3)+(J12-J17)*'Parametriza 6'!$B$36</f>
        <v>11295.020415822222</v>
      </c>
      <c r="K18" s="124">
        <f>((K12-K17)*'Parametriza 6'!$B$35*'NT5'!$B$3)+(K12-K17)*'Parametriza 6'!$B$36</f>
        <v>11295.020415822222</v>
      </c>
      <c r="L18" s="124">
        <f>((L12-L17)*'Parametriza 6'!$B$35*'NT5'!$B$3)+(L12-L17)*'Parametriza 6'!$B$36</f>
        <v>11295.020415822222</v>
      </c>
      <c r="M18" s="124">
        <f>((M12-M17)*'Parametriza 6'!$B$35*'NT5'!$B$3)+(M12-M17)*'Parametriza 6'!$B$36</f>
        <v>11295.020415822222</v>
      </c>
      <c r="N18" s="124">
        <f t="shared" ref="N18:N20" si="3">SUM(B18:M18)</f>
        <v>135540.24498986665</v>
      </c>
    </row>
    <row r="19" spans="1:14" x14ac:dyDescent="0.25">
      <c r="A19" s="260" t="s">
        <v>662</v>
      </c>
      <c r="B19" s="124">
        <f>(B9*'Parametriza 6'!$D$20)+('NT 6'!B10*'Parametriza 6'!$D$26)+('NT 6'!B11*'Parametriza 6'!$D$32)</f>
        <v>6820.5</v>
      </c>
      <c r="C19" s="124">
        <f>(C9*'Parametriza 6'!$D$20)+('NT 6'!C10*'Parametriza 6'!$D$26)+('NT 6'!C11*'Parametriza 6'!$D$32)</f>
        <v>6820.5</v>
      </c>
      <c r="D19" s="124">
        <f>(D9*'Parametriza 6'!$D$20)+('NT 6'!D10*'Parametriza 6'!$D$26)+('NT 6'!D11*'Parametriza 6'!$D$32)</f>
        <v>6820.5</v>
      </c>
      <c r="E19" s="124">
        <f>(E9*'Parametriza 6'!$D$20)+('NT 6'!E10*'Parametriza 6'!$D$26)+('NT 6'!E11*'Parametriza 6'!$D$32)</f>
        <v>6820.5</v>
      </c>
      <c r="F19" s="124">
        <f>(F9*'Parametriza 6'!$D$20)+('NT 6'!F10*'Parametriza 6'!$D$26)+('NT 6'!F11*'Parametriza 6'!$D$32)</f>
        <v>6820.5</v>
      </c>
      <c r="G19" s="124">
        <f>(G9*'Parametriza 6'!$D$20)+('NT 6'!G10*'Parametriza 6'!$D$26)+('NT 6'!G11*'Parametriza 6'!$D$32)</f>
        <v>6820.5</v>
      </c>
      <c r="H19" s="124">
        <f>(H9*'Parametriza 6'!$D$20)+('NT 6'!H10*'Parametriza 6'!$D$26)+('NT 6'!H11*'Parametriza 6'!$D$32)</f>
        <v>6820.5</v>
      </c>
      <c r="I19" s="124">
        <f>(I9*'Parametriza 6'!$D$20)+('NT 6'!I10*'Parametriza 6'!$D$26)+('NT 6'!I11*'Parametriza 6'!$D$32)</f>
        <v>6820.5</v>
      </c>
      <c r="J19" s="124">
        <f>(J9*'Parametriza 6'!$D$20)+('NT 6'!J10*'Parametriza 6'!$D$26)+('NT 6'!J11*'Parametriza 6'!$D$32)</f>
        <v>6820.5</v>
      </c>
      <c r="K19" s="124">
        <f>(K9*'Parametriza 6'!$D$20)+('NT 6'!K10*'Parametriza 6'!$D$26)+('NT 6'!K11*'Parametriza 6'!$D$32)</f>
        <v>6820.5</v>
      </c>
      <c r="L19" s="124">
        <f>(L9*'Parametriza 6'!$D$20)+('NT 6'!L10*'Parametriza 6'!$D$26)+('NT 6'!L11*'Parametriza 6'!$D$32)</f>
        <v>6820.5</v>
      </c>
      <c r="M19" s="124">
        <f>(M9*'Parametriza 6'!$D$20)+('NT 6'!M10*'Parametriza 6'!$D$26)+('NT 6'!M11*'Parametriza 6'!$D$32)</f>
        <v>6820.5</v>
      </c>
      <c r="N19" s="124">
        <f t="shared" si="3"/>
        <v>81846</v>
      </c>
    </row>
    <row r="20" spans="1:14" x14ac:dyDescent="0.25">
      <c r="A20" s="260" t="s">
        <v>664</v>
      </c>
      <c r="B20" s="124">
        <f>SUM(B17:B19)</f>
        <v>46084.622638044442</v>
      </c>
      <c r="C20" s="124">
        <f t="shared" ref="C20:M20" si="4">SUM(C17:C19)</f>
        <v>46084.622638044442</v>
      </c>
      <c r="D20" s="124">
        <f t="shared" si="4"/>
        <v>46084.622638044442</v>
      </c>
      <c r="E20" s="124">
        <f t="shared" si="4"/>
        <v>46084.622638044442</v>
      </c>
      <c r="F20" s="124">
        <f t="shared" si="4"/>
        <v>46084.622638044442</v>
      </c>
      <c r="G20" s="124">
        <f t="shared" si="4"/>
        <v>46084.622638044442</v>
      </c>
      <c r="H20" s="124">
        <f t="shared" si="4"/>
        <v>46084.622638044442</v>
      </c>
      <c r="I20" s="124">
        <f t="shared" si="4"/>
        <v>46084.622638044442</v>
      </c>
      <c r="J20" s="124">
        <f t="shared" si="4"/>
        <v>46084.622638044442</v>
      </c>
      <c r="K20" s="124">
        <f t="shared" si="4"/>
        <v>46084.622638044442</v>
      </c>
      <c r="L20" s="124">
        <f t="shared" si="4"/>
        <v>46084.622638044442</v>
      </c>
      <c r="M20" s="124">
        <f t="shared" si="4"/>
        <v>46084.622638044442</v>
      </c>
      <c r="N20" s="124">
        <f t="shared" si="3"/>
        <v>553015.47165653319</v>
      </c>
    </row>
    <row r="21" spans="1:14" x14ac:dyDescent="0.25">
      <c r="A21" s="260" t="s">
        <v>665</v>
      </c>
      <c r="B21" s="60">
        <f t="shared" ref="B21:M21" si="5">B20/B12</f>
        <v>2.0270342044444445E-2</v>
      </c>
      <c r="C21" s="60">
        <f t="shared" si="5"/>
        <v>2.0270342044444445E-2</v>
      </c>
      <c r="D21" s="60">
        <f t="shared" si="5"/>
        <v>2.0270342044444445E-2</v>
      </c>
      <c r="E21" s="60">
        <f t="shared" si="5"/>
        <v>2.0270342044444445E-2</v>
      </c>
      <c r="F21" s="60">
        <f t="shared" si="5"/>
        <v>2.0270342044444445E-2</v>
      </c>
      <c r="G21" s="60">
        <f t="shared" si="5"/>
        <v>2.0270342044444445E-2</v>
      </c>
      <c r="H21" s="60">
        <f t="shared" si="5"/>
        <v>2.0270342044444445E-2</v>
      </c>
      <c r="I21" s="60">
        <f t="shared" si="5"/>
        <v>2.0270342044444445E-2</v>
      </c>
      <c r="J21" s="60">
        <f t="shared" si="5"/>
        <v>2.0270342044444445E-2</v>
      </c>
      <c r="K21" s="60">
        <f t="shared" si="5"/>
        <v>2.0270342044444445E-2</v>
      </c>
      <c r="L21" s="60">
        <f t="shared" si="5"/>
        <v>2.0270342044444445E-2</v>
      </c>
      <c r="M21" s="60">
        <f t="shared" si="5"/>
        <v>2.0270342044444445E-2</v>
      </c>
      <c r="N21" s="254">
        <f>SUMPRODUCT(B20:M20,B21:M21)/N20</f>
        <v>2.0270342044444441E-2</v>
      </c>
    </row>
    <row r="22" spans="1:14" x14ac:dyDescent="0.25">
      <c r="A22" s="260"/>
    </row>
    <row r="23" spans="1:14" x14ac:dyDescent="0.25">
      <c r="A23" s="260" t="s">
        <v>666</v>
      </c>
      <c r="B23" s="124">
        <f t="shared" ref="B23:M23" si="6">B12-B20</f>
        <v>2227415.3773619556</v>
      </c>
      <c r="C23" s="124">
        <f t="shared" si="6"/>
        <v>2227415.3773619556</v>
      </c>
      <c r="D23" s="124">
        <f t="shared" si="6"/>
        <v>2227415.3773619556</v>
      </c>
      <c r="E23" s="124">
        <f t="shared" si="6"/>
        <v>2227415.3773619556</v>
      </c>
      <c r="F23" s="124">
        <f t="shared" si="6"/>
        <v>2227415.3773619556</v>
      </c>
      <c r="G23" s="124">
        <f t="shared" si="6"/>
        <v>2227415.3773619556</v>
      </c>
      <c r="H23" s="124">
        <f t="shared" si="6"/>
        <v>2227415.3773619556</v>
      </c>
      <c r="I23" s="124">
        <f t="shared" si="6"/>
        <v>2227415.3773619556</v>
      </c>
      <c r="J23" s="124">
        <f t="shared" si="6"/>
        <v>2227415.3773619556</v>
      </c>
      <c r="K23" s="124">
        <f t="shared" si="6"/>
        <v>2227415.3773619556</v>
      </c>
      <c r="L23" s="124">
        <f t="shared" si="6"/>
        <v>2227415.3773619556</v>
      </c>
      <c r="M23" s="124">
        <f t="shared" si="6"/>
        <v>2227415.3773619556</v>
      </c>
      <c r="N23" s="124">
        <f>SUM(B23:M23)</f>
        <v>26728984.528343473</v>
      </c>
    </row>
    <row r="24" spans="1:14" x14ac:dyDescent="0.25">
      <c r="A24" s="260" t="s">
        <v>667</v>
      </c>
      <c r="B24" s="257">
        <f t="shared" ref="B24:M24" si="7">B23/B12</f>
        <v>0.97972965795555556</v>
      </c>
      <c r="C24" s="257">
        <f t="shared" si="7"/>
        <v>0.97972965795555556</v>
      </c>
      <c r="D24" s="257">
        <f t="shared" si="7"/>
        <v>0.97972965795555556</v>
      </c>
      <c r="E24" s="257">
        <f t="shared" si="7"/>
        <v>0.97972965795555556</v>
      </c>
      <c r="F24" s="257">
        <f t="shared" si="7"/>
        <v>0.97972965795555556</v>
      </c>
      <c r="G24" s="257">
        <f t="shared" si="7"/>
        <v>0.97972965795555556</v>
      </c>
      <c r="H24" s="257">
        <f t="shared" si="7"/>
        <v>0.97972965795555556</v>
      </c>
      <c r="I24" s="257">
        <f t="shared" si="7"/>
        <v>0.97972965795555556</v>
      </c>
      <c r="J24" s="257">
        <f t="shared" si="7"/>
        <v>0.97972965795555556</v>
      </c>
      <c r="K24" s="257">
        <f t="shared" si="7"/>
        <v>0.97972965795555556</v>
      </c>
      <c r="L24" s="257">
        <f t="shared" si="7"/>
        <v>0.97972965795555556</v>
      </c>
      <c r="M24" s="257">
        <f t="shared" si="7"/>
        <v>0.97972965795555556</v>
      </c>
      <c r="N24" s="253">
        <f>SUMPRODUCT(B23:M23,B24:M24)/N23</f>
        <v>0.97972965795555533</v>
      </c>
    </row>
    <row r="25" spans="1:14" ht="5.0999999999999996" customHeight="1" x14ac:dyDescent="0.25">
      <c r="A25" s="258"/>
      <c r="B25" s="258"/>
      <c r="C25" s="258"/>
      <c r="D25" s="258"/>
      <c r="E25" s="258"/>
      <c r="F25" s="258"/>
      <c r="G25" s="258"/>
      <c r="H25" s="258"/>
      <c r="I25" s="258"/>
      <c r="J25" s="258"/>
      <c r="K25" s="258"/>
      <c r="L25" s="258"/>
      <c r="M25" s="258"/>
      <c r="N25" s="258"/>
    </row>
    <row r="26" spans="1:14" x14ac:dyDescent="0.25">
      <c r="A26" s="263" t="s">
        <v>669</v>
      </c>
    </row>
    <row r="27" spans="1:14" x14ac:dyDescent="0.25">
      <c r="A27" s="264" t="s">
        <v>670</v>
      </c>
      <c r="B27" s="235">
        <f>'Parametriza 6'!$C$20+'Parametriza 6'!$C$26+'Parametriza 6'!$C$32</f>
        <v>15000000</v>
      </c>
      <c r="C27" s="235">
        <f>'Parametriza 6'!$C$20+'Parametriza 6'!$C$26+'Parametriza 6'!$C$32</f>
        <v>15000000</v>
      </c>
      <c r="D27" s="235">
        <f>'Parametriza 6'!$C$20+'Parametriza 6'!$C$26+'Parametriza 6'!$C$32</f>
        <v>15000000</v>
      </c>
      <c r="E27" s="235">
        <f>'Parametriza 6'!$C$20+'Parametriza 6'!$C$26+'Parametriza 6'!$C$32</f>
        <v>15000000</v>
      </c>
      <c r="F27" s="235">
        <f>'Parametriza 6'!$C$20+'Parametriza 6'!$C$26+'Parametriza 6'!$C$32</f>
        <v>15000000</v>
      </c>
      <c r="G27" s="235">
        <f>'Parametriza 6'!$C$20+'Parametriza 6'!$C$26+'Parametriza 6'!$C$32</f>
        <v>15000000</v>
      </c>
      <c r="H27" s="235">
        <f>'Parametriza 6'!$C$20+'Parametriza 6'!$C$26+'Parametriza 6'!$C$32</f>
        <v>15000000</v>
      </c>
      <c r="I27" s="235">
        <f>'Parametriza 6'!$C$20+'Parametriza 6'!$C$26+'Parametriza 6'!$C$32</f>
        <v>15000000</v>
      </c>
      <c r="J27" s="235">
        <f>'Parametriza 6'!$C$20+'Parametriza 6'!$C$26+'Parametriza 6'!$C$32</f>
        <v>15000000</v>
      </c>
      <c r="K27" s="235">
        <f>'Parametriza 6'!$C$20+'Parametriza 6'!$C$26+'Parametriza 6'!$C$32</f>
        <v>15000000</v>
      </c>
      <c r="L27" s="235">
        <f>'Parametriza 6'!$C$20+'Parametriza 6'!$C$26+'Parametriza 6'!$C$32</f>
        <v>15000000</v>
      </c>
      <c r="M27" s="235">
        <f>'Parametriza 6'!$C$20+'Parametriza 6'!$C$26+'Parametriza 6'!$C$32</f>
        <v>15000000</v>
      </c>
    </row>
    <row r="28" spans="1:14" x14ac:dyDescent="0.25">
      <c r="A28" s="264" t="s">
        <v>671</v>
      </c>
      <c r="B28" s="235">
        <f>B27*30/$B$6</f>
        <v>15000000</v>
      </c>
      <c r="C28" s="235">
        <f t="shared" ref="C28:M28" si="8">C27*30/$B$6</f>
        <v>15000000</v>
      </c>
      <c r="D28" s="235">
        <f t="shared" si="8"/>
        <v>15000000</v>
      </c>
      <c r="E28" s="235">
        <f t="shared" si="8"/>
        <v>15000000</v>
      </c>
      <c r="F28" s="235">
        <f t="shared" si="8"/>
        <v>15000000</v>
      </c>
      <c r="G28" s="235">
        <f t="shared" si="8"/>
        <v>15000000</v>
      </c>
      <c r="H28" s="235">
        <f t="shared" si="8"/>
        <v>15000000</v>
      </c>
      <c r="I28" s="235">
        <f t="shared" si="8"/>
        <v>15000000</v>
      </c>
      <c r="J28" s="235">
        <f t="shared" si="8"/>
        <v>15000000</v>
      </c>
      <c r="K28" s="235">
        <f t="shared" si="8"/>
        <v>15000000</v>
      </c>
      <c r="L28" s="235">
        <f t="shared" si="8"/>
        <v>15000000</v>
      </c>
      <c r="M28" s="235">
        <f t="shared" si="8"/>
        <v>15000000</v>
      </c>
    </row>
    <row r="29" spans="1:14" x14ac:dyDescent="0.25">
      <c r="A29" s="264" t="s">
        <v>672</v>
      </c>
      <c r="B29" s="265">
        <f>B12</f>
        <v>2273500</v>
      </c>
      <c r="C29" s="265">
        <f t="shared" ref="C29:M29" si="9">C12</f>
        <v>2273500</v>
      </c>
      <c r="D29" s="265">
        <f t="shared" si="9"/>
        <v>2273500</v>
      </c>
      <c r="E29" s="265">
        <f t="shared" si="9"/>
        <v>2273500</v>
      </c>
      <c r="F29" s="265">
        <f t="shared" si="9"/>
        <v>2273500</v>
      </c>
      <c r="G29" s="265">
        <f t="shared" si="9"/>
        <v>2273500</v>
      </c>
      <c r="H29" s="265">
        <f t="shared" si="9"/>
        <v>2273500</v>
      </c>
      <c r="I29" s="265">
        <f t="shared" si="9"/>
        <v>2273500</v>
      </c>
      <c r="J29" s="265">
        <f t="shared" si="9"/>
        <v>2273500</v>
      </c>
      <c r="K29" s="265">
        <f t="shared" si="9"/>
        <v>2273500</v>
      </c>
      <c r="L29" s="265">
        <f t="shared" si="9"/>
        <v>2273500</v>
      </c>
      <c r="M29" s="265">
        <f t="shared" si="9"/>
        <v>2273500</v>
      </c>
    </row>
    <row r="30" spans="1:14" x14ac:dyDescent="0.25">
      <c r="A30" s="264" t="s">
        <v>673</v>
      </c>
      <c r="B30" s="266">
        <f>B29/B28</f>
        <v>0.15156666666666666</v>
      </c>
      <c r="C30" s="266">
        <f t="shared" ref="C30:M30" si="10">C29/C28</f>
        <v>0.15156666666666666</v>
      </c>
      <c r="D30" s="266">
        <f t="shared" si="10"/>
        <v>0.15156666666666666</v>
      </c>
      <c r="E30" s="266">
        <f t="shared" si="10"/>
        <v>0.15156666666666666</v>
      </c>
      <c r="F30" s="266">
        <f t="shared" si="10"/>
        <v>0.15156666666666666</v>
      </c>
      <c r="G30" s="266">
        <f t="shared" si="10"/>
        <v>0.15156666666666666</v>
      </c>
      <c r="H30" s="266">
        <f t="shared" si="10"/>
        <v>0.15156666666666666</v>
      </c>
      <c r="I30" s="266">
        <f t="shared" si="10"/>
        <v>0.15156666666666666</v>
      </c>
      <c r="J30" s="266">
        <f t="shared" si="10"/>
        <v>0.15156666666666666</v>
      </c>
      <c r="K30" s="266">
        <f t="shared" si="10"/>
        <v>0.15156666666666666</v>
      </c>
      <c r="L30" s="266">
        <f t="shared" si="10"/>
        <v>0.15156666666666666</v>
      </c>
      <c r="M30" s="266">
        <f t="shared" si="10"/>
        <v>0.15156666666666666</v>
      </c>
    </row>
  </sheetData>
  <pageMargins left="0.51181102362204722" right="0.51181102362204722" top="0.78740157480314965" bottom="0.78740157480314965" header="0.31496062992125984" footer="0.31496062992125984"/>
  <pageSetup paperSize="9" scale="70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7"/>
  <sheetViews>
    <sheetView workbookViewId="0">
      <selection activeCell="B3" sqref="B3"/>
    </sheetView>
  </sheetViews>
  <sheetFormatPr defaultColWidth="9.140625" defaultRowHeight="15" outlineLevelRow="1" x14ac:dyDescent="0.25"/>
  <cols>
    <col min="1" max="1" width="39.42578125" style="233" customWidth="1"/>
    <col min="2" max="3" width="11.28515625" style="233" bestFit="1" customWidth="1"/>
    <col min="4" max="14" width="11.5703125" style="233" bestFit="1" customWidth="1"/>
    <col min="15" max="16384" width="9.140625" style="233"/>
  </cols>
  <sheetData>
    <row r="1" spans="1:14" x14ac:dyDescent="0.25">
      <c r="A1" s="135" t="s">
        <v>674</v>
      </c>
    </row>
    <row r="2" spans="1:14" ht="15.75" thickBot="1" x14ac:dyDescent="0.3">
      <c r="A2" s="267" t="s">
        <v>539</v>
      </c>
      <c r="B2" s="3">
        <f>'NT1 a NT4'!D41</f>
        <v>30</v>
      </c>
    </row>
    <row r="3" spans="1:14" ht="16.5" thickTop="1" thickBot="1" x14ac:dyDescent="0.3">
      <c r="A3" s="267" t="s">
        <v>675</v>
      </c>
      <c r="B3" s="234"/>
      <c r="C3" s="235">
        <f>B5</f>
        <v>0</v>
      </c>
      <c r="D3" s="235">
        <f t="shared" ref="D3:M3" si="0">C5</f>
        <v>0</v>
      </c>
      <c r="E3" s="235">
        <f t="shared" si="0"/>
        <v>0</v>
      </c>
      <c r="F3" s="235">
        <f t="shared" si="0"/>
        <v>0</v>
      </c>
      <c r="G3" s="235">
        <f t="shared" si="0"/>
        <v>0</v>
      </c>
      <c r="H3" s="235">
        <f t="shared" si="0"/>
        <v>0</v>
      </c>
      <c r="I3" s="235">
        <f t="shared" si="0"/>
        <v>0</v>
      </c>
      <c r="J3" s="235">
        <f t="shared" si="0"/>
        <v>0</v>
      </c>
      <c r="K3" s="235">
        <f t="shared" si="0"/>
        <v>0</v>
      </c>
      <c r="L3" s="235">
        <f t="shared" si="0"/>
        <v>0</v>
      </c>
      <c r="M3" s="235">
        <f t="shared" si="0"/>
        <v>0</v>
      </c>
    </row>
    <row r="4" spans="1:14" ht="15.75" thickTop="1" x14ac:dyDescent="0.25">
      <c r="A4" s="267" t="s">
        <v>540</v>
      </c>
      <c r="B4" s="236">
        <f>IF($B$2&lt;30,$B$3,0)</f>
        <v>0</v>
      </c>
      <c r="C4" s="236">
        <f>IF(AND($B$2&gt;=30,$B$2&lt;60),$B$3,0)</f>
        <v>0</v>
      </c>
      <c r="D4" s="236">
        <f>IF(AND($B$2&gt;=60,$B$2&lt;90),$B$3,0)</f>
        <v>0</v>
      </c>
      <c r="E4" s="236">
        <f>IF(AND($B$2&gt;=90,$B$2&lt;120),$B$3,0)</f>
        <v>0</v>
      </c>
      <c r="F4" s="236">
        <f>IF(AND($B$2&gt;=120,$B$2&lt;150),$B$3,0)</f>
        <v>0</v>
      </c>
      <c r="G4" s="236">
        <f>IF(AND($B$2&gt;=150,$B$2&lt;180),$B$3,0)</f>
        <v>0</v>
      </c>
      <c r="H4" s="236">
        <f>IF(AND($B$2&gt;=180,$B$2&lt;210),$B$3,0)</f>
        <v>0</v>
      </c>
      <c r="I4" s="236">
        <f>IF(AND($B$2&gt;=210,$B$2&lt;240),$B$3,0)</f>
        <v>0</v>
      </c>
      <c r="J4" s="236">
        <f>IF(AND($B$2&gt;=240,$B$2&lt;270),$B$3,0)</f>
        <v>0</v>
      </c>
      <c r="K4" s="236">
        <f>IF(AND($B$2&gt;=270,$B$2&lt;300),$B$3,0)</f>
        <v>0</v>
      </c>
      <c r="L4" s="236">
        <f>IF(AND($B$2&gt;=300,$B$2&lt;330),$B$3,0)</f>
        <v>0</v>
      </c>
      <c r="M4" s="236">
        <f>IF(AND($B$2&gt;=330,$B$2&lt;360),$B$3,0)</f>
        <v>0</v>
      </c>
    </row>
    <row r="5" spans="1:14" x14ac:dyDescent="0.25">
      <c r="A5" s="267" t="s">
        <v>676</v>
      </c>
      <c r="B5" s="236">
        <f>B3-B4</f>
        <v>0</v>
      </c>
      <c r="C5" s="236">
        <f t="shared" ref="C5:M5" si="1">C3-C4</f>
        <v>0</v>
      </c>
      <c r="D5" s="236">
        <f t="shared" si="1"/>
        <v>0</v>
      </c>
      <c r="E5" s="236">
        <f t="shared" si="1"/>
        <v>0</v>
      </c>
      <c r="F5" s="236">
        <f t="shared" si="1"/>
        <v>0</v>
      </c>
      <c r="G5" s="236">
        <f t="shared" si="1"/>
        <v>0</v>
      </c>
      <c r="H5" s="236">
        <f t="shared" si="1"/>
        <v>0</v>
      </c>
      <c r="I5" s="236">
        <f t="shared" si="1"/>
        <v>0</v>
      </c>
      <c r="J5" s="236">
        <f t="shared" si="1"/>
        <v>0</v>
      </c>
      <c r="K5" s="236">
        <f t="shared" si="1"/>
        <v>0</v>
      </c>
      <c r="L5" s="236">
        <f t="shared" si="1"/>
        <v>0</v>
      </c>
      <c r="M5" s="236">
        <f t="shared" si="1"/>
        <v>0</v>
      </c>
    </row>
    <row r="6" spans="1:14" x14ac:dyDescent="0.25"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</row>
    <row r="7" spans="1:14" x14ac:dyDescent="0.25">
      <c r="A7" s="267" t="s">
        <v>678</v>
      </c>
      <c r="B7" s="237">
        <v>0</v>
      </c>
      <c r="C7" s="237">
        <f>B22</f>
        <v>6570600</v>
      </c>
      <c r="D7" s="237">
        <f t="shared" ref="D7:M7" si="2">C22</f>
        <v>3285300</v>
      </c>
      <c r="E7" s="237">
        <f t="shared" si="2"/>
        <v>3285300</v>
      </c>
      <c r="F7" s="237">
        <f t="shared" si="2"/>
        <v>3285300</v>
      </c>
      <c r="G7" s="237">
        <f t="shared" si="2"/>
        <v>3285300</v>
      </c>
      <c r="H7" s="237">
        <f t="shared" si="2"/>
        <v>3285300</v>
      </c>
      <c r="I7" s="237">
        <f t="shared" si="2"/>
        <v>3285300</v>
      </c>
      <c r="J7" s="237">
        <f t="shared" si="2"/>
        <v>3285300</v>
      </c>
      <c r="K7" s="237">
        <f t="shared" si="2"/>
        <v>3285300</v>
      </c>
      <c r="L7" s="237">
        <f t="shared" si="2"/>
        <v>3285300</v>
      </c>
      <c r="M7" s="237">
        <f t="shared" si="2"/>
        <v>3285300</v>
      </c>
    </row>
    <row r="8" spans="1:14" x14ac:dyDescent="0.25">
      <c r="A8" s="267" t="s">
        <v>679</v>
      </c>
      <c r="B8" s="236">
        <f>'NT1 a NT4'!E14</f>
        <v>6570600</v>
      </c>
      <c r="C8" s="236">
        <f>'NT1 a NT4'!F14</f>
        <v>3285300</v>
      </c>
      <c r="D8" s="236">
        <f>'NT1 a NT4'!G14</f>
        <v>3285300</v>
      </c>
      <c r="E8" s="236">
        <f>'NT1 a NT4'!H14</f>
        <v>3285300</v>
      </c>
      <c r="F8" s="236">
        <f>'NT1 a NT4'!I14</f>
        <v>3285300</v>
      </c>
      <c r="G8" s="236">
        <f>'NT1 a NT4'!J14</f>
        <v>3285300</v>
      </c>
      <c r="H8" s="236">
        <f>'NT1 a NT4'!K14</f>
        <v>3285300</v>
      </c>
      <c r="I8" s="236">
        <f>'NT1 a NT4'!L14</f>
        <v>3285300</v>
      </c>
      <c r="J8" s="236">
        <f>'NT1 a NT4'!M14</f>
        <v>3285300</v>
      </c>
      <c r="K8" s="236">
        <f>'NT1 a NT4'!N14</f>
        <v>3285300</v>
      </c>
      <c r="L8" s="236">
        <f>'NT1 a NT4'!O14</f>
        <v>3285300</v>
      </c>
      <c r="M8" s="236">
        <f>'NT1 a NT4'!P14</f>
        <v>3285300</v>
      </c>
      <c r="N8" s="235"/>
    </row>
    <row r="9" spans="1:14" x14ac:dyDescent="0.25">
      <c r="A9" s="267" t="s">
        <v>680</v>
      </c>
      <c r="B9" s="238">
        <f>SUM(B10:B21)</f>
        <v>0</v>
      </c>
      <c r="C9" s="238">
        <f t="shared" ref="C9:M9" si="3">SUM(C10:C21)</f>
        <v>6570600</v>
      </c>
      <c r="D9" s="238">
        <f t="shared" si="3"/>
        <v>3285300</v>
      </c>
      <c r="E9" s="238">
        <f t="shared" si="3"/>
        <v>3285300</v>
      </c>
      <c r="F9" s="238">
        <f t="shared" si="3"/>
        <v>3285300</v>
      </c>
      <c r="G9" s="238">
        <f t="shared" si="3"/>
        <v>3285300</v>
      </c>
      <c r="H9" s="238">
        <f t="shared" si="3"/>
        <v>3285300</v>
      </c>
      <c r="I9" s="238">
        <f t="shared" si="3"/>
        <v>3285300</v>
      </c>
      <c r="J9" s="238">
        <f t="shared" si="3"/>
        <v>3285300</v>
      </c>
      <c r="K9" s="238">
        <f t="shared" si="3"/>
        <v>3285300</v>
      </c>
      <c r="L9" s="238">
        <f t="shared" si="3"/>
        <v>3285300</v>
      </c>
      <c r="M9" s="238">
        <f t="shared" si="3"/>
        <v>3285300</v>
      </c>
    </row>
    <row r="10" spans="1:14" outlineLevel="1" x14ac:dyDescent="0.25">
      <c r="A10" s="233" t="s">
        <v>608</v>
      </c>
      <c r="B10" s="239">
        <f>IF($B$2&lt;30,$B8,0)</f>
        <v>0</v>
      </c>
      <c r="C10" s="236">
        <f>IF(AND($B$2&gt;=30,$B$2&lt;60),$B$8,0)</f>
        <v>6570600</v>
      </c>
      <c r="D10" s="236">
        <f>IF(AND($B$2&gt;=60,$B$2&lt;90),$B$8,0)</f>
        <v>0</v>
      </c>
      <c r="E10" s="236">
        <f>IF(AND($B$2&gt;=90,$B$2&lt;120),$B$8,0)</f>
        <v>0</v>
      </c>
      <c r="F10" s="236">
        <f>IF(AND($B$2&gt;=120,$B$2&lt;150),$B$8,0)</f>
        <v>0</v>
      </c>
      <c r="G10" s="236">
        <f>IF(AND($B$2&gt;=150,$B$2&lt;180),$B$8,0)</f>
        <v>0</v>
      </c>
      <c r="H10" s="236">
        <f>IF(AND($B$2&gt;=180,$B$2&lt;210),$B$8,0)</f>
        <v>0</v>
      </c>
      <c r="I10" s="236">
        <f>IF(AND($B$2&gt;=210,$B$2&lt;240),$B$8,0)</f>
        <v>0</v>
      </c>
      <c r="J10" s="236">
        <f>IF(AND($B$2&gt;=240,$B$2&lt;270),$B$8,0)</f>
        <v>0</v>
      </c>
      <c r="K10" s="236">
        <f>IF(AND($B$2&gt;=270,$B$2&lt;300),$B$8,0)</f>
        <v>0</v>
      </c>
      <c r="L10" s="236">
        <f>IF(AND($B$2&gt;=300,$B$2&lt;330),$B$8,0)</f>
        <v>0</v>
      </c>
      <c r="M10" s="236">
        <f>IF(AND($B$2&gt;=330,$B$2&lt;360),$B$8,0)</f>
        <v>0</v>
      </c>
    </row>
    <row r="11" spans="1:14" outlineLevel="1" x14ac:dyDescent="0.25">
      <c r="A11" s="233" t="s">
        <v>609</v>
      </c>
      <c r="B11" s="240"/>
      <c r="C11" s="239">
        <f>IF($B$2&lt;30,C$8,0)</f>
        <v>0</v>
      </c>
      <c r="D11" s="236">
        <f>IF(AND($B$2&gt;=30,$B$2&lt;60),$C$8,0)</f>
        <v>3285300</v>
      </c>
      <c r="E11" s="236">
        <f>IF(AND($B$2&gt;=60,$B$2&lt;90),$C$8,0)</f>
        <v>0</v>
      </c>
      <c r="F11" s="236">
        <f>IF(AND($B$2&gt;=90,$B$2&lt;120),$C$8,0)</f>
        <v>0</v>
      </c>
      <c r="G11" s="236">
        <f>IF(AND($B$2&gt;=120,$B$2&lt;150),$C$8,0)</f>
        <v>0</v>
      </c>
      <c r="H11" s="236">
        <f>IF(AND($B$2&gt;=150,$B$2&lt;180),$C$8,0)</f>
        <v>0</v>
      </c>
      <c r="I11" s="236">
        <f>IF(AND($B$2&gt;=180,$B$2&lt;210),$C$8,0)</f>
        <v>0</v>
      </c>
      <c r="J11" s="236">
        <f>IF(AND($B$2&gt;=210,$B$2&lt;240),$C$8,0)</f>
        <v>0</v>
      </c>
      <c r="K11" s="236">
        <f>IF(AND($B$2&gt;=240,$B$2&lt;270),$C$8,0)</f>
        <v>0</v>
      </c>
      <c r="L11" s="236">
        <f>IF(AND($B$2&gt;=270,$B$2&lt;300),$C$8,0)</f>
        <v>0</v>
      </c>
      <c r="M11" s="236">
        <f>IF(AND($B$2&gt;=300,$B$2&lt;330),$C$8,0)</f>
        <v>0</v>
      </c>
    </row>
    <row r="12" spans="1:14" outlineLevel="1" x14ac:dyDescent="0.25">
      <c r="A12" s="233" t="s">
        <v>610</v>
      </c>
      <c r="B12" s="240"/>
      <c r="C12" s="240"/>
      <c r="D12" s="239">
        <f>IF($B$2&lt;30,D$8,0)</f>
        <v>0</v>
      </c>
      <c r="E12" s="236">
        <f>IF(AND($B$2&gt;=30,$B$2&lt;60),$D$8,0)</f>
        <v>3285300</v>
      </c>
      <c r="F12" s="236">
        <f>IF(AND($B$2&gt;=60,$B$2&lt;90),$D$8,0)</f>
        <v>0</v>
      </c>
      <c r="G12" s="236">
        <f>IF(AND($B$2&gt;=90,$B$2&lt;120),$D$8,0)</f>
        <v>0</v>
      </c>
      <c r="H12" s="236">
        <f>IF(AND($B$2&gt;=120,$B$2&lt;150),$D$8,0)</f>
        <v>0</v>
      </c>
      <c r="I12" s="236">
        <f>IF(AND($B$2&gt;=150,$B$2&lt;180),$D$8,0)</f>
        <v>0</v>
      </c>
      <c r="J12" s="236">
        <f>IF(AND($B$2&gt;=180,$B$2&lt;210),$D$8,0)</f>
        <v>0</v>
      </c>
      <c r="K12" s="236">
        <f>IF(AND($B$2&gt;=210,$B$2&lt;240),$D$8,0)</f>
        <v>0</v>
      </c>
      <c r="L12" s="236">
        <f>IF(AND($B$2&gt;=240,$B$2&lt;270),$D$8,0)</f>
        <v>0</v>
      </c>
      <c r="M12" s="236">
        <f>IF(AND($B$2&gt;=270,$B$2&lt;300),$D$8,0)</f>
        <v>0</v>
      </c>
    </row>
    <row r="13" spans="1:14" outlineLevel="1" x14ac:dyDescent="0.25">
      <c r="A13" s="233" t="s">
        <v>611</v>
      </c>
      <c r="B13" s="240"/>
      <c r="C13" s="240"/>
      <c r="D13" s="240"/>
      <c r="E13" s="239">
        <f>IF($B$2&lt;30,E$8,0)</f>
        <v>0</v>
      </c>
      <c r="F13" s="236">
        <f>IF(AND($B$2&gt;=30,$B$2&lt;60),$E$8,0)</f>
        <v>3285300</v>
      </c>
      <c r="G13" s="236">
        <f>IF(AND($B$2&gt;=60,$B$2&lt;90),$E$8,0)</f>
        <v>0</v>
      </c>
      <c r="H13" s="236">
        <f>IF(AND($B$2&gt;=90,$B$2&lt;120),$E$8,0)</f>
        <v>0</v>
      </c>
      <c r="I13" s="236">
        <f>IF(AND($B$2&gt;=120,$B$2&lt;150),$E$8,0)</f>
        <v>0</v>
      </c>
      <c r="J13" s="236">
        <f>IF(AND($B$2&gt;=150,$B$2&lt;180),$E$8,0)</f>
        <v>0</v>
      </c>
      <c r="K13" s="236">
        <f>IF(AND($B$2&gt;=180,$B$2&lt;210),$E$8,0)</f>
        <v>0</v>
      </c>
      <c r="L13" s="236">
        <f>IF(AND($B$2&gt;=210,$B$2&lt;240),$E$8,0)</f>
        <v>0</v>
      </c>
      <c r="M13" s="236">
        <f>IF(AND($B$2&gt;=240,$B$2&lt;270),$E$8,0)</f>
        <v>0</v>
      </c>
    </row>
    <row r="14" spans="1:14" outlineLevel="1" x14ac:dyDescent="0.25">
      <c r="A14" s="233" t="s">
        <v>612</v>
      </c>
      <c r="B14" s="240"/>
      <c r="C14" s="240"/>
      <c r="D14" s="240"/>
      <c r="E14" s="240"/>
      <c r="F14" s="239">
        <f>IF($B$2&lt;30,F$8,0)</f>
        <v>0</v>
      </c>
      <c r="G14" s="236">
        <f>IF(AND($B$2&gt;=30,$B$2&lt;60),$F$8,0)</f>
        <v>3285300</v>
      </c>
      <c r="H14" s="236">
        <f>IF(AND($B$2&gt;=60,$B$2&lt;90),$F$8,0)</f>
        <v>0</v>
      </c>
      <c r="I14" s="236">
        <f>IF(AND($B$2&gt;=90,$B$2&lt;120),$F$8,0)</f>
        <v>0</v>
      </c>
      <c r="J14" s="236">
        <f>IF(AND($B$2&gt;=120,$B$2&lt;150),$F$8,0)</f>
        <v>0</v>
      </c>
      <c r="K14" s="236">
        <f>IF(AND($B$2&gt;=150,$B$2&lt;180),$F$8,0)</f>
        <v>0</v>
      </c>
      <c r="L14" s="236">
        <f>IF(AND($B$2&gt;=180,$B$2&lt;210),$F$8,0)</f>
        <v>0</v>
      </c>
      <c r="M14" s="236">
        <f>IF(AND($B$2&gt;=210,$B$2&lt;240),$F$8,0)</f>
        <v>0</v>
      </c>
    </row>
    <row r="15" spans="1:14" outlineLevel="1" x14ac:dyDescent="0.25">
      <c r="A15" s="233" t="s">
        <v>613</v>
      </c>
      <c r="B15" s="240"/>
      <c r="C15" s="240"/>
      <c r="D15" s="240"/>
      <c r="E15" s="240"/>
      <c r="F15" s="240"/>
      <c r="G15" s="239">
        <f>IF($B$2&lt;30,G$8,0)</f>
        <v>0</v>
      </c>
      <c r="H15" s="236">
        <f>IF(AND($B$2&gt;=30,$B$2&lt;60),$G$8,0)</f>
        <v>3285300</v>
      </c>
      <c r="I15" s="236">
        <f>IF(AND($B$2&gt;=60,$B$2&lt;90),$G$8,0)</f>
        <v>0</v>
      </c>
      <c r="J15" s="236">
        <f>IF(AND($B$2&gt;=90,$B$2&lt;120),$G$8,0)</f>
        <v>0</v>
      </c>
      <c r="K15" s="236">
        <f>IF(AND($B$2&gt;=120,$B$2&lt;150),$G$8,0)</f>
        <v>0</v>
      </c>
      <c r="L15" s="236">
        <f>IF(AND($B$2&gt;=150,$B$2&lt;180),$G$8,0)</f>
        <v>0</v>
      </c>
      <c r="M15" s="236">
        <f>IF(AND($B$2&gt;=180,$B$2&lt;210),$G$8,0)</f>
        <v>0</v>
      </c>
    </row>
    <row r="16" spans="1:14" outlineLevel="1" x14ac:dyDescent="0.25">
      <c r="A16" s="233" t="s">
        <v>614</v>
      </c>
      <c r="B16" s="240"/>
      <c r="C16" s="240"/>
      <c r="D16" s="240"/>
      <c r="E16" s="240"/>
      <c r="F16" s="240"/>
      <c r="G16" s="240"/>
      <c r="H16" s="239">
        <f>IF($B$2&lt;30,H$8,0)</f>
        <v>0</v>
      </c>
      <c r="I16" s="236">
        <f>IF(AND($B$2&gt;=30,$B$2&lt;60),$H$8,0)</f>
        <v>3285300</v>
      </c>
      <c r="J16" s="236">
        <f>IF(AND($B$2&gt;=60,$B$2&lt;90),$H$8,0)</f>
        <v>0</v>
      </c>
      <c r="K16" s="236">
        <f>IF(AND($B$2&gt;=90,$B$2&lt;120),$H$8,0)</f>
        <v>0</v>
      </c>
      <c r="L16" s="236">
        <f>IF(AND($B$2&gt;=120,$B$2&lt;150),$H$8,0)</f>
        <v>0</v>
      </c>
      <c r="M16" s="236">
        <f>IF(AND($B$2&gt;=150,$B$2&lt;180),$H$8,0)</f>
        <v>0</v>
      </c>
    </row>
    <row r="17" spans="1:16" outlineLevel="1" x14ac:dyDescent="0.25">
      <c r="A17" s="233" t="s">
        <v>615</v>
      </c>
      <c r="B17" s="240"/>
      <c r="C17" s="240"/>
      <c r="D17" s="240"/>
      <c r="E17" s="240"/>
      <c r="F17" s="240"/>
      <c r="G17" s="240"/>
      <c r="H17" s="240"/>
      <c r="I17" s="239">
        <f>IF($B$2&lt;30,I$8,0)</f>
        <v>0</v>
      </c>
      <c r="J17" s="236">
        <f>IF(AND($B$2&gt;=30,$B$2&lt;60),$I$8,0)</f>
        <v>3285300</v>
      </c>
      <c r="K17" s="236">
        <f>IF(AND($B$2&gt;=60,$B$2&lt;90),$I$8,0)</f>
        <v>0</v>
      </c>
      <c r="L17" s="236">
        <f>IF(AND($B$2&gt;=90,$B$2&lt;120),$I$8,0)</f>
        <v>0</v>
      </c>
      <c r="M17" s="236">
        <f>IF(AND($B$2&gt;=120,$B$2&lt;150),$I$8,0)</f>
        <v>0</v>
      </c>
    </row>
    <row r="18" spans="1:16" outlineLevel="1" x14ac:dyDescent="0.25">
      <c r="A18" s="233" t="s">
        <v>616</v>
      </c>
      <c r="B18" s="240"/>
      <c r="C18" s="240"/>
      <c r="D18" s="240"/>
      <c r="E18" s="240"/>
      <c r="F18" s="240"/>
      <c r="G18" s="240"/>
      <c r="H18" s="240"/>
      <c r="I18" s="240"/>
      <c r="J18" s="239">
        <f>IF($B$2&lt;30,J$8,0)</f>
        <v>0</v>
      </c>
      <c r="K18" s="236">
        <f>IF(AND($B$2&gt;=30,$B$2&lt;60),$J$8,0)</f>
        <v>3285300</v>
      </c>
      <c r="L18" s="236">
        <f>IF(AND($B$2&gt;=60,$B$2&lt;90),$J$8,0)</f>
        <v>0</v>
      </c>
      <c r="M18" s="236">
        <f>IF(AND($B$2&gt;=90,$B$2&lt;120),$J$8,0)</f>
        <v>0</v>
      </c>
    </row>
    <row r="19" spans="1:16" outlineLevel="1" x14ac:dyDescent="0.25">
      <c r="A19" s="233" t="s">
        <v>617</v>
      </c>
      <c r="B19" s="240"/>
      <c r="C19" s="240"/>
      <c r="D19" s="240"/>
      <c r="E19" s="240"/>
      <c r="F19" s="240"/>
      <c r="G19" s="240"/>
      <c r="H19" s="240"/>
      <c r="I19" s="240"/>
      <c r="J19" s="240"/>
      <c r="K19" s="239">
        <f>IF($B$2&lt;30,K$8,0)</f>
        <v>0</v>
      </c>
      <c r="L19" s="236">
        <f>IF(AND($B$2&gt;=30,$B$2&lt;60),$K$8,0)</f>
        <v>3285300</v>
      </c>
      <c r="M19" s="236">
        <f>IF(AND($B$2&gt;=60,$B$2&lt;90),$K$8,0)</f>
        <v>0</v>
      </c>
    </row>
    <row r="20" spans="1:16" outlineLevel="1" x14ac:dyDescent="0.25">
      <c r="A20" s="233" t="s">
        <v>618</v>
      </c>
      <c r="B20" s="240"/>
      <c r="C20" s="240"/>
      <c r="D20" s="240"/>
      <c r="E20" s="240"/>
      <c r="F20" s="240"/>
      <c r="G20" s="240"/>
      <c r="H20" s="240"/>
      <c r="I20" s="240"/>
      <c r="J20" s="240"/>
      <c r="K20" s="240"/>
      <c r="L20" s="239">
        <f>IF($B$2&lt;30,L$8,0)</f>
        <v>0</v>
      </c>
      <c r="M20" s="236">
        <f>IF(AND($B$2&gt;=30,$B$2&lt;60),$L$8,0)</f>
        <v>3285300</v>
      </c>
    </row>
    <row r="21" spans="1:16" outlineLevel="1" x14ac:dyDescent="0.25">
      <c r="A21" s="233" t="s">
        <v>619</v>
      </c>
      <c r="B21" s="240"/>
      <c r="C21" s="240"/>
      <c r="D21" s="240"/>
      <c r="E21" s="240"/>
      <c r="F21" s="240"/>
      <c r="G21" s="240"/>
      <c r="H21" s="240"/>
      <c r="I21" s="240"/>
      <c r="J21" s="240"/>
      <c r="K21" s="240"/>
      <c r="L21" s="240"/>
      <c r="M21" s="239">
        <f>IF($B$2&lt;30,M$8,0)</f>
        <v>0</v>
      </c>
    </row>
    <row r="22" spans="1:16" x14ac:dyDescent="0.25">
      <c r="A22" s="233" t="s">
        <v>620</v>
      </c>
      <c r="B22" s="235">
        <f>B7+B8-B9</f>
        <v>6570600</v>
      </c>
      <c r="C22" s="235">
        <f t="shared" ref="C22:M22" si="4">C7+C8-C9</f>
        <v>3285300</v>
      </c>
      <c r="D22" s="235">
        <f t="shared" si="4"/>
        <v>3285300</v>
      </c>
      <c r="E22" s="235">
        <f t="shared" si="4"/>
        <v>3285300</v>
      </c>
      <c r="F22" s="235">
        <f t="shared" si="4"/>
        <v>3285300</v>
      </c>
      <c r="G22" s="235">
        <f t="shared" si="4"/>
        <v>3285300</v>
      </c>
      <c r="H22" s="235">
        <f t="shared" si="4"/>
        <v>3285300</v>
      </c>
      <c r="I22" s="235">
        <f t="shared" si="4"/>
        <v>3285300</v>
      </c>
      <c r="J22" s="235">
        <f t="shared" si="4"/>
        <v>3285300</v>
      </c>
      <c r="K22" s="235">
        <f t="shared" si="4"/>
        <v>3285300</v>
      </c>
      <c r="L22" s="235">
        <f t="shared" si="4"/>
        <v>3285300</v>
      </c>
      <c r="M22" s="235">
        <f t="shared" si="4"/>
        <v>3285300</v>
      </c>
    </row>
    <row r="24" spans="1:16" x14ac:dyDescent="0.25">
      <c r="A24" s="267" t="s">
        <v>675</v>
      </c>
      <c r="B24" s="235">
        <f>B3+B7</f>
        <v>0</v>
      </c>
      <c r="C24" s="235">
        <f>B27</f>
        <v>6570600</v>
      </c>
      <c r="D24" s="235">
        <f t="shared" ref="D24:M24" si="5">C27</f>
        <v>3285300</v>
      </c>
      <c r="E24" s="235">
        <f t="shared" si="5"/>
        <v>3285300</v>
      </c>
      <c r="F24" s="235">
        <f t="shared" si="5"/>
        <v>3285300</v>
      </c>
      <c r="G24" s="235">
        <f t="shared" si="5"/>
        <v>3285300</v>
      </c>
      <c r="H24" s="235">
        <f t="shared" si="5"/>
        <v>3285300</v>
      </c>
      <c r="I24" s="235">
        <f t="shared" si="5"/>
        <v>3285300</v>
      </c>
      <c r="J24" s="235">
        <f t="shared" si="5"/>
        <v>3285300</v>
      </c>
      <c r="K24" s="235">
        <f t="shared" si="5"/>
        <v>3285300</v>
      </c>
      <c r="L24" s="235">
        <f t="shared" si="5"/>
        <v>3285300</v>
      </c>
      <c r="M24" s="235">
        <f t="shared" si="5"/>
        <v>3285300</v>
      </c>
      <c r="N24" s="235"/>
      <c r="O24" s="235"/>
      <c r="P24" s="235"/>
    </row>
    <row r="25" spans="1:16" x14ac:dyDescent="0.25">
      <c r="A25" s="267" t="s">
        <v>163</v>
      </c>
      <c r="B25" s="235">
        <f>B8</f>
        <v>6570600</v>
      </c>
      <c r="C25" s="235">
        <f t="shared" ref="C25:M25" si="6">C8</f>
        <v>3285300</v>
      </c>
      <c r="D25" s="235">
        <f t="shared" si="6"/>
        <v>3285300</v>
      </c>
      <c r="E25" s="235">
        <f t="shared" si="6"/>
        <v>3285300</v>
      </c>
      <c r="F25" s="235">
        <f t="shared" si="6"/>
        <v>3285300</v>
      </c>
      <c r="G25" s="235">
        <f t="shared" si="6"/>
        <v>3285300</v>
      </c>
      <c r="H25" s="235">
        <f t="shared" si="6"/>
        <v>3285300</v>
      </c>
      <c r="I25" s="235">
        <f t="shared" si="6"/>
        <v>3285300</v>
      </c>
      <c r="J25" s="235">
        <f t="shared" si="6"/>
        <v>3285300</v>
      </c>
      <c r="K25" s="235">
        <f t="shared" si="6"/>
        <v>3285300</v>
      </c>
      <c r="L25" s="235">
        <f t="shared" si="6"/>
        <v>3285300</v>
      </c>
      <c r="M25" s="235">
        <f t="shared" si="6"/>
        <v>3285300</v>
      </c>
      <c r="N25" s="235"/>
    </row>
    <row r="26" spans="1:16" x14ac:dyDescent="0.25">
      <c r="A26" s="267" t="s">
        <v>171</v>
      </c>
      <c r="B26" s="235">
        <f>B4+B9</f>
        <v>0</v>
      </c>
      <c r="C26" s="235">
        <f t="shared" ref="C26:M26" si="7">C4+C9</f>
        <v>6570600</v>
      </c>
      <c r="D26" s="235">
        <f t="shared" si="7"/>
        <v>3285300</v>
      </c>
      <c r="E26" s="235">
        <f t="shared" si="7"/>
        <v>3285300</v>
      </c>
      <c r="F26" s="235">
        <f t="shared" si="7"/>
        <v>3285300</v>
      </c>
      <c r="G26" s="235">
        <f t="shared" si="7"/>
        <v>3285300</v>
      </c>
      <c r="H26" s="235">
        <f t="shared" si="7"/>
        <v>3285300</v>
      </c>
      <c r="I26" s="235">
        <f t="shared" si="7"/>
        <v>3285300</v>
      </c>
      <c r="J26" s="235">
        <f t="shared" si="7"/>
        <v>3285300</v>
      </c>
      <c r="K26" s="235">
        <f t="shared" si="7"/>
        <v>3285300</v>
      </c>
      <c r="L26" s="235">
        <f t="shared" si="7"/>
        <v>3285300</v>
      </c>
      <c r="M26" s="235">
        <f t="shared" si="7"/>
        <v>3285300</v>
      </c>
      <c r="N26" s="235"/>
    </row>
    <row r="27" spans="1:16" x14ac:dyDescent="0.25">
      <c r="A27" s="233" t="s">
        <v>115</v>
      </c>
      <c r="B27" s="235">
        <f>B24+B25-B26</f>
        <v>6570600</v>
      </c>
      <c r="C27" s="235">
        <f t="shared" ref="C27:M27" si="8">C24+C25-C26</f>
        <v>3285300</v>
      </c>
      <c r="D27" s="235">
        <f t="shared" si="8"/>
        <v>3285300</v>
      </c>
      <c r="E27" s="235">
        <f t="shared" si="8"/>
        <v>3285300</v>
      </c>
      <c r="F27" s="235">
        <f t="shared" si="8"/>
        <v>3285300</v>
      </c>
      <c r="G27" s="235">
        <f t="shared" si="8"/>
        <v>3285300</v>
      </c>
      <c r="H27" s="235">
        <f t="shared" si="8"/>
        <v>3285300</v>
      </c>
      <c r="I27" s="235">
        <f t="shared" si="8"/>
        <v>3285300</v>
      </c>
      <c r="J27" s="235">
        <f t="shared" si="8"/>
        <v>3285300</v>
      </c>
      <c r="K27" s="235">
        <f t="shared" si="8"/>
        <v>3285300</v>
      </c>
      <c r="L27" s="235">
        <f t="shared" si="8"/>
        <v>3285300</v>
      </c>
      <c r="M27" s="235">
        <f t="shared" si="8"/>
        <v>3285300</v>
      </c>
      <c r="N27" s="235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topLeftCell="C1" workbookViewId="0">
      <selection activeCell="D22" sqref="D22"/>
    </sheetView>
  </sheetViews>
  <sheetFormatPr defaultRowHeight="12.75" x14ac:dyDescent="0.2"/>
  <cols>
    <col min="1" max="1" width="21" customWidth="1"/>
    <col min="2" max="2" width="33.140625" bestFit="1" customWidth="1"/>
    <col min="3" max="3" width="37.42578125" customWidth="1"/>
    <col min="4" max="21" width="12.7109375" customWidth="1"/>
  </cols>
  <sheetData>
    <row r="2" spans="1:16" x14ac:dyDescent="0.2">
      <c r="D2" s="80" t="s">
        <v>96</v>
      </c>
      <c r="E2" s="80" t="s">
        <v>97</v>
      </c>
      <c r="F2" s="80" t="s">
        <v>98</v>
      </c>
      <c r="G2" s="80" t="s">
        <v>99</v>
      </c>
      <c r="H2" s="80" t="s">
        <v>100</v>
      </c>
      <c r="I2" s="80" t="s">
        <v>101</v>
      </c>
      <c r="J2" s="80" t="s">
        <v>102</v>
      </c>
      <c r="K2" s="80" t="s">
        <v>103</v>
      </c>
      <c r="L2" s="80" t="s">
        <v>104</v>
      </c>
      <c r="M2" s="80" t="s">
        <v>105</v>
      </c>
      <c r="N2" s="80" t="s">
        <v>106</v>
      </c>
      <c r="O2" s="80" t="s">
        <v>107</v>
      </c>
      <c r="P2" s="80" t="s">
        <v>28</v>
      </c>
    </row>
    <row r="3" spans="1:16" x14ac:dyDescent="0.2">
      <c r="C3" s="1"/>
      <c r="D3" s="92"/>
    </row>
    <row r="4" spans="1:16" ht="15" x14ac:dyDescent="0.25">
      <c r="A4" s="203" t="s">
        <v>437</v>
      </c>
      <c r="B4" s="204" t="str">
        <f>CONCATENATE('Cadastro PCR'!A34,'Cadastro PCR'!B34,'Cadastro PCR'!C34)</f>
        <v>33001Custo dos Produtos de Revenda</v>
      </c>
      <c r="C4" s="14" t="s">
        <v>553</v>
      </c>
      <c r="D4" s="92">
        <f>('Familia e Produtos'!$AJ$7*'NT1 a NT4'!E17)+('Familia e Produtos'!$AJ$8*'NT1 a NT4'!E23)+('Familia e Produtos'!$AJ$9*'NT1 a NT4'!E29)</f>
        <v>2752500</v>
      </c>
      <c r="E4" s="92">
        <f>('Familia e Produtos'!$AJ$7*'NT1 a NT4'!F17)+('Familia e Produtos'!$AJ$8*'NT1 a NT4'!F23)+('Familia e Produtos'!$AJ$9*'NT1 a NT4'!F29)</f>
        <v>2752500</v>
      </c>
      <c r="F4" s="92">
        <f>('Familia e Produtos'!$AJ$7*'NT1 a NT4'!G17)+('Familia e Produtos'!$AJ$8*'NT1 a NT4'!G23)+('Familia e Produtos'!$AJ$9*'NT1 a NT4'!G29)</f>
        <v>2752500</v>
      </c>
      <c r="G4" s="92">
        <f>('Familia e Produtos'!$AJ$7*'NT1 a NT4'!H17)+('Familia e Produtos'!$AJ$8*'NT1 a NT4'!H23)+('Familia e Produtos'!$AJ$9*'NT1 a NT4'!H29)</f>
        <v>2752500</v>
      </c>
      <c r="H4" s="92">
        <f>('Familia e Produtos'!$AJ$7*'NT1 a NT4'!I17)+('Familia e Produtos'!$AJ$8*'NT1 a NT4'!I23)+('Familia e Produtos'!$AJ$9*'NT1 a NT4'!I29)</f>
        <v>2752500</v>
      </c>
      <c r="I4" s="92">
        <f>('Familia e Produtos'!$AJ$7*'NT1 a NT4'!J17)+('Familia e Produtos'!$AJ$8*'NT1 a NT4'!J23)+('Familia e Produtos'!$AJ$9*'NT1 a NT4'!J29)</f>
        <v>2752500</v>
      </c>
      <c r="J4" s="92">
        <f>('Familia e Produtos'!$AJ$7*'NT1 a NT4'!K17)+('Familia e Produtos'!$AJ$8*'NT1 a NT4'!K23)+('Familia e Produtos'!$AJ$9*'NT1 a NT4'!K29)</f>
        <v>2752500</v>
      </c>
      <c r="K4" s="92">
        <f>('Familia e Produtos'!$AJ$7*'NT1 a NT4'!L17)+('Familia e Produtos'!$AJ$8*'NT1 a NT4'!L23)+('Familia e Produtos'!$AJ$9*'NT1 a NT4'!L29)</f>
        <v>2752500</v>
      </c>
      <c r="L4" s="92">
        <f>('Familia e Produtos'!$AJ$7*'NT1 a NT4'!M17)+('Familia e Produtos'!$AJ$8*'NT1 a NT4'!M23)+('Familia e Produtos'!$AJ$9*'NT1 a NT4'!M29)</f>
        <v>2752500</v>
      </c>
      <c r="M4" s="92">
        <f>('Familia e Produtos'!$AJ$7*'NT1 a NT4'!N17)+('Familia e Produtos'!$AJ$8*'NT1 a NT4'!N23)+('Familia e Produtos'!$AJ$9*'NT1 a NT4'!N29)</f>
        <v>2752500</v>
      </c>
      <c r="N4" s="92">
        <f>('Familia e Produtos'!$AJ$7*'NT1 a NT4'!O17)+('Familia e Produtos'!$AJ$8*'NT1 a NT4'!O23)+('Familia e Produtos'!$AJ$9*'NT1 a NT4'!O29)</f>
        <v>2752500</v>
      </c>
      <c r="O4" s="92">
        <f>('Familia e Produtos'!$AJ$7*'NT1 a NT4'!P17)+('Familia e Produtos'!$AJ$8*'NT1 a NT4'!P23)+('Familia e Produtos'!$AJ$9*'NT1 a NT4'!P29)</f>
        <v>2752500</v>
      </c>
      <c r="P4" s="92">
        <f>SUM(D4:O4)</f>
        <v>33030000</v>
      </c>
    </row>
    <row r="6" spans="1:16" ht="15" x14ac:dyDescent="0.25">
      <c r="C6" s="14" t="s">
        <v>554</v>
      </c>
    </row>
    <row r="7" spans="1:16" ht="15" x14ac:dyDescent="0.25">
      <c r="A7" s="204" t="str">
        <f>CONCATENATE('Cadastro PCP'!A38,'Cadastro PCP'!B38,'Cadastro PCP'!C38)</f>
        <v>11003Estoques</v>
      </c>
      <c r="B7" s="1" t="s">
        <v>439</v>
      </c>
      <c r="C7" s="1" t="s">
        <v>165</v>
      </c>
      <c r="D7" s="93">
        <f>'NT1 a NT4'!D16+'NT1 a NT4'!D22+'NT1 a NT4'!D28</f>
        <v>0</v>
      </c>
      <c r="E7" s="84">
        <f>D10</f>
        <v>2752500</v>
      </c>
      <c r="F7" s="84">
        <f t="shared" ref="F7:O7" si="0">E10</f>
        <v>2752500</v>
      </c>
      <c r="G7" s="84">
        <f t="shared" si="0"/>
        <v>2752500</v>
      </c>
      <c r="H7" s="84">
        <f t="shared" si="0"/>
        <v>2752500</v>
      </c>
      <c r="I7" s="84">
        <f t="shared" si="0"/>
        <v>2752500</v>
      </c>
      <c r="J7" s="84">
        <f t="shared" si="0"/>
        <v>2752500</v>
      </c>
      <c r="K7" s="84">
        <f t="shared" si="0"/>
        <v>2752500</v>
      </c>
      <c r="L7" s="84">
        <f t="shared" si="0"/>
        <v>2752500</v>
      </c>
      <c r="M7" s="84">
        <f t="shared" si="0"/>
        <v>2752500</v>
      </c>
      <c r="N7" s="84">
        <f t="shared" si="0"/>
        <v>2752500</v>
      </c>
      <c r="O7" s="84">
        <f t="shared" si="0"/>
        <v>2752500</v>
      </c>
    </row>
    <row r="8" spans="1:16" ht="15" x14ac:dyDescent="0.25">
      <c r="A8" s="203" t="s">
        <v>437</v>
      </c>
      <c r="B8" s="202"/>
      <c r="C8" t="s">
        <v>166</v>
      </c>
      <c r="D8" s="85">
        <f>('Familia e Produtos'!$AJ$7*'NT1 a NT4'!E21)+('Familia e Produtos'!$AJ$8*'NT1 a NT4'!E27)+('Familia e Produtos'!$AJ$9*'NT1 a NT4'!E33)</f>
        <v>5505000</v>
      </c>
      <c r="E8" s="85">
        <f>('Familia e Produtos'!$AJ$7*'NT1 a NT4'!F21)+('Familia e Produtos'!$AJ$8*'NT1 a NT4'!F27)+('Familia e Produtos'!$AJ$9*'NT1 a NT4'!F33)</f>
        <v>2752500</v>
      </c>
      <c r="F8" s="85">
        <f>('Familia e Produtos'!$AJ$7*'NT1 a NT4'!G21)+('Familia e Produtos'!$AJ$8*'NT1 a NT4'!G27)+('Familia e Produtos'!$AJ$9*'NT1 a NT4'!G33)</f>
        <v>2752500</v>
      </c>
      <c r="G8" s="85">
        <f>('Familia e Produtos'!$AJ$7*'NT1 a NT4'!H21)+('Familia e Produtos'!$AJ$8*'NT1 a NT4'!H27)+('Familia e Produtos'!$AJ$9*'NT1 a NT4'!H33)</f>
        <v>2752500</v>
      </c>
      <c r="H8" s="85">
        <f>('Familia e Produtos'!$AJ$7*'NT1 a NT4'!I21)+('Familia e Produtos'!$AJ$8*'NT1 a NT4'!I27)+('Familia e Produtos'!$AJ$9*'NT1 a NT4'!I33)</f>
        <v>2752500</v>
      </c>
      <c r="I8" s="85">
        <f>('Familia e Produtos'!$AJ$7*'NT1 a NT4'!J21)+('Familia e Produtos'!$AJ$8*'NT1 a NT4'!J27)+('Familia e Produtos'!$AJ$9*'NT1 a NT4'!J33)</f>
        <v>2752500</v>
      </c>
      <c r="J8" s="85">
        <f>('Familia e Produtos'!$AJ$7*'NT1 a NT4'!K21)+('Familia e Produtos'!$AJ$8*'NT1 a NT4'!K27)+('Familia e Produtos'!$AJ$9*'NT1 a NT4'!K33)</f>
        <v>2752500</v>
      </c>
      <c r="K8" s="85">
        <f>('Familia e Produtos'!$AJ$7*'NT1 a NT4'!L21)+('Familia e Produtos'!$AJ$8*'NT1 a NT4'!L27)+('Familia e Produtos'!$AJ$9*'NT1 a NT4'!L33)</f>
        <v>2752500</v>
      </c>
      <c r="L8" s="85">
        <f>('Familia e Produtos'!$AJ$7*'NT1 a NT4'!M21)+('Familia e Produtos'!$AJ$8*'NT1 a NT4'!M27)+('Familia e Produtos'!$AJ$9*'NT1 a NT4'!M33)</f>
        <v>2752500</v>
      </c>
      <c r="M8" s="85">
        <f>('Familia e Produtos'!$AJ$7*'NT1 a NT4'!N21)+('Familia e Produtos'!$AJ$8*'NT1 a NT4'!N27)+('Familia e Produtos'!$AJ$9*'NT1 a NT4'!N33)</f>
        <v>2752500</v>
      </c>
      <c r="N8" s="85">
        <f>('Familia e Produtos'!$AJ$7*'NT1 a NT4'!O21)+('Familia e Produtos'!$AJ$8*'NT1 a NT4'!O27)+('Familia e Produtos'!$AJ$9*'NT1 a NT4'!O33)</f>
        <v>2752500</v>
      </c>
      <c r="O8" s="85">
        <f>('Familia e Produtos'!$AJ$7*'NT1 a NT4'!P21)+('Familia e Produtos'!$AJ$8*'NT1 a NT4'!P27)+('Familia e Produtos'!$AJ$9*'NT1 a NT4'!P33)</f>
        <v>2752500</v>
      </c>
      <c r="P8" s="92">
        <f>SUM(D8:O8)</f>
        <v>35782500</v>
      </c>
    </row>
    <row r="9" spans="1:16" ht="15" x14ac:dyDescent="0.25">
      <c r="A9" s="203" t="s">
        <v>438</v>
      </c>
      <c r="B9" s="202"/>
      <c r="C9" s="1" t="s">
        <v>167</v>
      </c>
      <c r="D9" s="92">
        <f>-D4</f>
        <v>-2752500</v>
      </c>
      <c r="E9" s="92">
        <f t="shared" ref="E9:O9" si="1">-E4</f>
        <v>-2752500</v>
      </c>
      <c r="F9" s="92">
        <f t="shared" si="1"/>
        <v>-2752500</v>
      </c>
      <c r="G9" s="92">
        <f t="shared" si="1"/>
        <v>-2752500</v>
      </c>
      <c r="H9" s="92">
        <f t="shared" si="1"/>
        <v>-2752500</v>
      </c>
      <c r="I9" s="92">
        <f t="shared" si="1"/>
        <v>-2752500</v>
      </c>
      <c r="J9" s="92">
        <f t="shared" si="1"/>
        <v>-2752500</v>
      </c>
      <c r="K9" s="92">
        <f t="shared" si="1"/>
        <v>-2752500</v>
      </c>
      <c r="L9" s="92">
        <f t="shared" si="1"/>
        <v>-2752500</v>
      </c>
      <c r="M9" s="92">
        <f t="shared" si="1"/>
        <v>-2752500</v>
      </c>
      <c r="N9" s="92">
        <f t="shared" si="1"/>
        <v>-2752500</v>
      </c>
      <c r="O9" s="92">
        <f t="shared" si="1"/>
        <v>-2752500</v>
      </c>
      <c r="P9" s="92">
        <f>SUM(D9:O9)</f>
        <v>-33030000</v>
      </c>
    </row>
    <row r="10" spans="1:16" ht="15" x14ac:dyDescent="0.25">
      <c r="A10" s="203" t="s">
        <v>437</v>
      </c>
      <c r="B10" s="1" t="s">
        <v>439</v>
      </c>
      <c r="C10" s="1" t="s">
        <v>164</v>
      </c>
      <c r="D10" s="84">
        <f>D7+D8+D9</f>
        <v>2752500</v>
      </c>
      <c r="E10" s="84">
        <f t="shared" ref="E10:O10" si="2">E7+E8+E9</f>
        <v>2752500</v>
      </c>
      <c r="F10" s="84">
        <f t="shared" si="2"/>
        <v>2752500</v>
      </c>
      <c r="G10" s="84">
        <f t="shared" si="2"/>
        <v>2752500</v>
      </c>
      <c r="H10" s="84">
        <f t="shared" si="2"/>
        <v>2752500</v>
      </c>
      <c r="I10" s="84">
        <f t="shared" si="2"/>
        <v>2752500</v>
      </c>
      <c r="J10" s="84">
        <f t="shared" si="2"/>
        <v>2752500</v>
      </c>
      <c r="K10" s="84">
        <f t="shared" si="2"/>
        <v>2752500</v>
      </c>
      <c r="L10" s="84">
        <f t="shared" si="2"/>
        <v>2752500</v>
      </c>
      <c r="M10" s="84">
        <f t="shared" si="2"/>
        <v>2752500</v>
      </c>
      <c r="N10" s="84">
        <f t="shared" si="2"/>
        <v>2752500</v>
      </c>
      <c r="O10" s="84">
        <f t="shared" si="2"/>
        <v>2752500</v>
      </c>
    </row>
    <row r="11" spans="1:16" x14ac:dyDescent="0.2">
      <c r="C11" s="1"/>
    </row>
    <row r="12" spans="1:16" ht="15" x14ac:dyDescent="0.25">
      <c r="C12" s="14" t="s">
        <v>682</v>
      </c>
    </row>
    <row r="13" spans="1:16" ht="15" x14ac:dyDescent="0.25">
      <c r="A13" s="204" t="str">
        <f>IF(D13&lt;0,CONCATENATE('Cadastro PCP'!A39,'Cadastro PCP'!B39,'Cadastro PCP'!C39),CONCATENATE('Cadastro PCP'!A59,'Cadastro PCP'!B59,'Cadastro PCP'!C59))</f>
        <v>21005Obrigações Fiscais</v>
      </c>
      <c r="B13" s="1" t="s">
        <v>439</v>
      </c>
      <c r="C13" s="1" t="s">
        <v>170</v>
      </c>
      <c r="D13" s="117"/>
      <c r="E13" s="84">
        <f>D18</f>
        <v>-247140</v>
      </c>
      <c r="F13" s="84">
        <f t="shared" ref="F13:O13" si="3">E18</f>
        <v>38520</v>
      </c>
      <c r="G13" s="84">
        <f t="shared" si="3"/>
        <v>285660</v>
      </c>
      <c r="H13" s="84">
        <f t="shared" si="3"/>
        <v>285660</v>
      </c>
      <c r="I13" s="84">
        <f t="shared" si="3"/>
        <v>285660</v>
      </c>
      <c r="J13" s="84">
        <f t="shared" si="3"/>
        <v>285660</v>
      </c>
      <c r="K13" s="84">
        <f t="shared" si="3"/>
        <v>285660</v>
      </c>
      <c r="L13" s="84">
        <f t="shared" si="3"/>
        <v>285660</v>
      </c>
      <c r="M13" s="84">
        <f t="shared" si="3"/>
        <v>285660</v>
      </c>
      <c r="N13" s="84">
        <f t="shared" si="3"/>
        <v>285660</v>
      </c>
      <c r="O13" s="84">
        <f t="shared" si="3"/>
        <v>285660</v>
      </c>
    </row>
    <row r="14" spans="1:16" ht="15" x14ac:dyDescent="0.25">
      <c r="A14" s="203" t="s">
        <v>437</v>
      </c>
      <c r="B14" s="202"/>
      <c r="C14" s="1" t="s">
        <v>168</v>
      </c>
      <c r="D14" s="85">
        <f>(('Familia e Produtos'!$AH$7*'NT1 a NT4'!E21)+('Familia e Produtos'!$AH$8*'NT1 a NT4'!E27)+('Familia e Produtos'!$AH$9*'NT1 a NT4'!E33))*-1</f>
        <v>-1065600</v>
      </c>
      <c r="E14" s="85">
        <f>(('Familia e Produtos'!$AH$7*'NT1 a NT4'!F21)+('Familia e Produtos'!$AH$8*'NT1 a NT4'!F27)+('Familia e Produtos'!$AH$9*'NT1 a NT4'!F33))*-1</f>
        <v>-532800</v>
      </c>
      <c r="F14" s="85">
        <f>(('Familia e Produtos'!$AH$7*'NT1 a NT4'!G21)+('Familia e Produtos'!$AH$8*'NT1 a NT4'!G27)+('Familia e Produtos'!$AH$9*'NT1 a NT4'!G33))*-1</f>
        <v>-532800</v>
      </c>
      <c r="G14" s="85">
        <f>(('Familia e Produtos'!$AH$7*'NT1 a NT4'!H21)+('Familia e Produtos'!$AH$8*'NT1 a NT4'!H27)+('Familia e Produtos'!$AH$9*'NT1 a NT4'!H33))*-1</f>
        <v>-532800</v>
      </c>
      <c r="H14" s="85">
        <f>(('Familia e Produtos'!$AH$7*'NT1 a NT4'!I21)+('Familia e Produtos'!$AH$8*'NT1 a NT4'!I27)+('Familia e Produtos'!$AH$9*'NT1 a NT4'!I33))*-1</f>
        <v>-532800</v>
      </c>
      <c r="I14" s="85">
        <f>(('Familia e Produtos'!$AH$7*'NT1 a NT4'!J21)+('Familia e Produtos'!$AH$8*'NT1 a NT4'!J27)+('Familia e Produtos'!$AH$9*'NT1 a NT4'!J33))*-1</f>
        <v>-532800</v>
      </c>
      <c r="J14" s="85">
        <f>(('Familia e Produtos'!$AH$7*'NT1 a NT4'!K21)+('Familia e Produtos'!$AH$8*'NT1 a NT4'!K27)+('Familia e Produtos'!$AH$9*'NT1 a NT4'!K33))*-1</f>
        <v>-532800</v>
      </c>
      <c r="K14" s="85">
        <f>(('Familia e Produtos'!$AH$7*'NT1 a NT4'!L21)+('Familia e Produtos'!$AH$8*'NT1 a NT4'!L27)+('Familia e Produtos'!$AH$9*'NT1 a NT4'!L33))*-1</f>
        <v>-532800</v>
      </c>
      <c r="L14" s="85">
        <f>(('Familia e Produtos'!$AH$7*'NT1 a NT4'!M21)+('Familia e Produtos'!$AH$8*'NT1 a NT4'!M27)+('Familia e Produtos'!$AH$9*'NT1 a NT4'!M33))*-1</f>
        <v>-532800</v>
      </c>
      <c r="M14" s="85">
        <f>(('Familia e Produtos'!$AH$7*'NT1 a NT4'!N21)+('Familia e Produtos'!$AH$8*'NT1 a NT4'!N27)+('Familia e Produtos'!$AH$9*'NT1 a NT4'!N33))*-1</f>
        <v>-532800</v>
      </c>
      <c r="N14" s="85">
        <f>(('Familia e Produtos'!$AH$7*'NT1 a NT4'!O21)+('Familia e Produtos'!$AH$8*'NT1 a NT4'!O27)+('Familia e Produtos'!$AH$9*'NT1 a NT4'!O33))*-1</f>
        <v>-532800</v>
      </c>
      <c r="O14" s="85">
        <f>(('Familia e Produtos'!$AH$7*'NT1 a NT4'!P21)+('Familia e Produtos'!$AH$8*'NT1 a NT4'!P27)+('Familia e Produtos'!$AH$9*'NT1 a NT4'!P33))*-1</f>
        <v>-532800</v>
      </c>
    </row>
    <row r="15" spans="1:16" ht="15" x14ac:dyDescent="0.25">
      <c r="A15" s="203" t="s">
        <v>437</v>
      </c>
      <c r="B15" s="202"/>
      <c r="C15" s="1" t="s">
        <v>169</v>
      </c>
      <c r="D15" s="85">
        <f>('Familia e Produtos'!$AL$7*'NT1 a NT4'!E4)+('Familia e Produtos'!$AL$8*'NT1 a NT4'!E5)+('Familia e Produtos'!$AL$9*'NT1 a NT4'!E6)</f>
        <v>818460</v>
      </c>
      <c r="E15" s="85">
        <f>('Familia e Produtos'!$AL$7*'NT1 a NT4'!F4)+('Familia e Produtos'!$AL$8*'NT1 a NT4'!F5)+('Familia e Produtos'!$AL$9*'NT1 a NT4'!F6)</f>
        <v>818460</v>
      </c>
      <c r="F15" s="85">
        <f>('Familia e Produtos'!$AL$7*'NT1 a NT4'!G4)+('Familia e Produtos'!$AL$8*'NT1 a NT4'!G5)+('Familia e Produtos'!$AL$9*'NT1 a NT4'!G6)</f>
        <v>818460</v>
      </c>
      <c r="G15" s="85">
        <f>('Familia e Produtos'!$AL$7*'NT1 a NT4'!H4)+('Familia e Produtos'!$AL$8*'NT1 a NT4'!H5)+('Familia e Produtos'!$AL$9*'NT1 a NT4'!H6)</f>
        <v>818460</v>
      </c>
      <c r="H15" s="85">
        <f>('Familia e Produtos'!$AL$7*'NT1 a NT4'!I4)+('Familia e Produtos'!$AL$8*'NT1 a NT4'!I5)+('Familia e Produtos'!$AL$9*'NT1 a NT4'!I6)</f>
        <v>818460</v>
      </c>
      <c r="I15" s="85">
        <f>('Familia e Produtos'!$AL$7*'NT1 a NT4'!J4)+('Familia e Produtos'!$AL$8*'NT1 a NT4'!J5)+('Familia e Produtos'!$AL$9*'NT1 a NT4'!J6)</f>
        <v>818460</v>
      </c>
      <c r="J15" s="85">
        <f>('Familia e Produtos'!$AL$7*'NT1 a NT4'!K4)+('Familia e Produtos'!$AL$8*'NT1 a NT4'!K5)+('Familia e Produtos'!$AL$9*'NT1 a NT4'!K6)</f>
        <v>818460</v>
      </c>
      <c r="K15" s="85">
        <f>('Familia e Produtos'!$AL$7*'NT1 a NT4'!L4)+('Familia e Produtos'!$AL$8*'NT1 a NT4'!L5)+('Familia e Produtos'!$AL$9*'NT1 a NT4'!L6)</f>
        <v>818460</v>
      </c>
      <c r="L15" s="85">
        <f>('Familia e Produtos'!$AL$7*'NT1 a NT4'!M4)+('Familia e Produtos'!$AL$8*'NT1 a NT4'!M5)+('Familia e Produtos'!$AL$9*'NT1 a NT4'!M6)</f>
        <v>818460</v>
      </c>
      <c r="M15" s="85">
        <f>('Familia e Produtos'!$AL$7*'NT1 a NT4'!N4)+('Familia e Produtos'!$AL$8*'NT1 a NT4'!N5)+('Familia e Produtos'!$AL$9*'NT1 a NT4'!N6)</f>
        <v>818460</v>
      </c>
      <c r="N15" s="85">
        <f>('Familia e Produtos'!$AL$7*'NT1 a NT4'!O4)+('Familia e Produtos'!$AL$8*'NT1 a NT4'!O5)+('Familia e Produtos'!$AL$9*'NT1 a NT4'!O6)</f>
        <v>818460</v>
      </c>
      <c r="O15" s="85">
        <f>('Familia e Produtos'!$AL$7*'NT1 a NT4'!P4)+('Familia e Produtos'!$AL$8*'NT1 a NT4'!P5)+('Familia e Produtos'!$AL$9*'NT1 a NT4'!P6)</f>
        <v>818460</v>
      </c>
    </row>
    <row r="16" spans="1:16" ht="15" x14ac:dyDescent="0.25">
      <c r="A16" s="203" t="s">
        <v>437</v>
      </c>
      <c r="B16" s="202"/>
      <c r="C16" s="1" t="s">
        <v>172</v>
      </c>
      <c r="D16" s="85">
        <f>D14+D15</f>
        <v>-247140</v>
      </c>
      <c r="E16" s="85">
        <f t="shared" ref="E16:O16" si="4">E14+E15</f>
        <v>285660</v>
      </c>
      <c r="F16" s="85">
        <f t="shared" si="4"/>
        <v>285660</v>
      </c>
      <c r="G16" s="85">
        <f t="shared" si="4"/>
        <v>285660</v>
      </c>
      <c r="H16" s="85">
        <f t="shared" si="4"/>
        <v>285660</v>
      </c>
      <c r="I16" s="85">
        <f t="shared" si="4"/>
        <v>285660</v>
      </c>
      <c r="J16" s="85">
        <f t="shared" si="4"/>
        <v>285660</v>
      </c>
      <c r="K16" s="85">
        <f t="shared" si="4"/>
        <v>285660</v>
      </c>
      <c r="L16" s="85">
        <f t="shared" si="4"/>
        <v>285660</v>
      </c>
      <c r="M16" s="85">
        <f t="shared" si="4"/>
        <v>285660</v>
      </c>
      <c r="N16" s="85">
        <f t="shared" si="4"/>
        <v>285660</v>
      </c>
      <c r="O16" s="85">
        <f t="shared" si="4"/>
        <v>285660</v>
      </c>
    </row>
    <row r="17" spans="1:15" x14ac:dyDescent="0.2">
      <c r="A17" s="205"/>
      <c r="B17" s="204"/>
      <c r="C17" s="1" t="s">
        <v>171</v>
      </c>
      <c r="D17" s="85">
        <f>IF(D13&gt;0,-D13,0)</f>
        <v>0</v>
      </c>
      <c r="E17" s="85">
        <f t="shared" ref="E17:O17" si="5">IF(E13&gt;0,-E13,0)</f>
        <v>0</v>
      </c>
      <c r="F17" s="85">
        <f t="shared" si="5"/>
        <v>-38520</v>
      </c>
      <c r="G17" s="85">
        <f t="shared" si="5"/>
        <v>-285660</v>
      </c>
      <c r="H17" s="85">
        <f t="shared" si="5"/>
        <v>-285660</v>
      </c>
      <c r="I17" s="85">
        <f t="shared" si="5"/>
        <v>-285660</v>
      </c>
      <c r="J17" s="85">
        <f t="shared" si="5"/>
        <v>-285660</v>
      </c>
      <c r="K17" s="85">
        <f t="shared" si="5"/>
        <v>-285660</v>
      </c>
      <c r="L17" s="85">
        <f t="shared" si="5"/>
        <v>-285660</v>
      </c>
      <c r="M17" s="85">
        <f t="shared" si="5"/>
        <v>-285660</v>
      </c>
      <c r="N17" s="85">
        <f t="shared" si="5"/>
        <v>-285660</v>
      </c>
      <c r="O17" s="85">
        <f t="shared" si="5"/>
        <v>-285660</v>
      </c>
    </row>
    <row r="18" spans="1:15" x14ac:dyDescent="0.2">
      <c r="A18" s="205"/>
      <c r="B18" s="204" t="str">
        <f>IF(D18&lt;0,CONCATENATE('Cadastro PCP'!A39,'Cadastro PCP'!B39,'Cadastro PCP'!C39),CONCATENATE('Cadastro PCP'!A59,'Cadastro PCP'!B59,'Cadastro PCP'!C59))</f>
        <v>11004Impostos a Recuperar</v>
      </c>
      <c r="C18" s="1" t="s">
        <v>115</v>
      </c>
      <c r="D18" s="85">
        <f>D13+D16+D17</f>
        <v>-247140</v>
      </c>
      <c r="E18" s="85">
        <f t="shared" ref="E18:O18" si="6">E13+E16+E17</f>
        <v>38520</v>
      </c>
      <c r="F18" s="85">
        <f t="shared" si="6"/>
        <v>285660</v>
      </c>
      <c r="G18" s="85">
        <f t="shared" si="6"/>
        <v>285660</v>
      </c>
      <c r="H18" s="85">
        <f t="shared" si="6"/>
        <v>285660</v>
      </c>
      <c r="I18" s="85">
        <f t="shared" si="6"/>
        <v>285660</v>
      </c>
      <c r="J18" s="85">
        <f t="shared" si="6"/>
        <v>285660</v>
      </c>
      <c r="K18" s="85">
        <f t="shared" si="6"/>
        <v>285660</v>
      </c>
      <c r="L18" s="85">
        <f t="shared" si="6"/>
        <v>285660</v>
      </c>
      <c r="M18" s="85">
        <f t="shared" si="6"/>
        <v>285660</v>
      </c>
      <c r="N18" s="85">
        <f t="shared" si="6"/>
        <v>285660</v>
      </c>
      <c r="O18" s="85">
        <f t="shared" si="6"/>
        <v>285660</v>
      </c>
    </row>
    <row r="20" spans="1:15" ht="15" x14ac:dyDescent="0.25">
      <c r="C20" s="14" t="s">
        <v>683</v>
      </c>
    </row>
    <row r="21" spans="1:15" ht="15" x14ac:dyDescent="0.25">
      <c r="A21" s="204" t="str">
        <f>IF(D21&lt;0,CONCATENATE('Cadastro PCP'!A39,'Cadastro PCP'!B39,'Cadastro PCP'!C39),CONCATENATE('Cadastro PCP'!A59,'Cadastro PCP'!B59,'Cadastro PCP'!C59))</f>
        <v>21005Obrigações Fiscais</v>
      </c>
      <c r="B21" s="1" t="s">
        <v>439</v>
      </c>
      <c r="C21" s="1" t="s">
        <v>170</v>
      </c>
      <c r="D21" s="117"/>
      <c r="E21" s="84">
        <f>D26</f>
        <v>420597.5</v>
      </c>
      <c r="F21" s="84">
        <f t="shared" ref="F21:O21" si="7">E26</f>
        <v>420597.5</v>
      </c>
      <c r="G21" s="84">
        <f t="shared" si="7"/>
        <v>420597.5</v>
      </c>
      <c r="H21" s="84">
        <f t="shared" si="7"/>
        <v>420597.5</v>
      </c>
      <c r="I21" s="84">
        <f t="shared" si="7"/>
        <v>420597.5</v>
      </c>
      <c r="J21" s="84">
        <f t="shared" si="7"/>
        <v>420597.5</v>
      </c>
      <c r="K21" s="84">
        <f t="shared" si="7"/>
        <v>420597.5</v>
      </c>
      <c r="L21" s="84">
        <f t="shared" si="7"/>
        <v>420597.5</v>
      </c>
      <c r="M21" s="84">
        <f t="shared" si="7"/>
        <v>420597.5</v>
      </c>
      <c r="N21" s="84">
        <f t="shared" si="7"/>
        <v>420597.5</v>
      </c>
      <c r="O21" s="84">
        <f t="shared" si="7"/>
        <v>420597.5</v>
      </c>
    </row>
    <row r="22" spans="1:15" ht="15" x14ac:dyDescent="0.25">
      <c r="A22" s="203" t="s">
        <v>437</v>
      </c>
      <c r="B22" s="202"/>
      <c r="C22" s="1" t="s">
        <v>168</v>
      </c>
      <c r="D22" s="85">
        <f>(('Familia e Produtos'!$AI$7*'NT1 a NT4'!E21)+('Familia e Produtos'!$AI$8*'NT1 a NT4'!E27)+('Familia e Produtos'!$AI$9*'NT1 a NT4'!E33))*-1</f>
        <v>0</v>
      </c>
      <c r="E22" s="85">
        <f>(('Familia e Produtos'!$AI$7*'NT1 a NT4'!F21)+('Familia e Produtos'!$AI$8*'NT1 a NT4'!F27)+('Familia e Produtos'!$AI$9*'NT1 a NT4'!F33))*-1</f>
        <v>0</v>
      </c>
      <c r="F22" s="85">
        <f>(('Familia e Produtos'!$AI$7*'NT1 a NT4'!G21)+('Familia e Produtos'!$AI$8*'NT1 a NT4'!G27)+('Familia e Produtos'!$AI$9*'NT1 a NT4'!G33))*-1</f>
        <v>0</v>
      </c>
      <c r="G22" s="85">
        <f>(('Familia e Produtos'!$AI$7*'NT1 a NT4'!H21)+('Familia e Produtos'!$AI$8*'NT1 a NT4'!H27)+('Familia e Produtos'!$AI$9*'NT1 a NT4'!H33))*-1</f>
        <v>0</v>
      </c>
      <c r="H22" s="85">
        <f>(('Familia e Produtos'!$AI$7*'NT1 a NT4'!I21)+('Familia e Produtos'!$AI$8*'NT1 a NT4'!I27)+('Familia e Produtos'!$AI$9*'NT1 a NT4'!I33))*-1</f>
        <v>0</v>
      </c>
      <c r="I22" s="85">
        <f>(('Familia e Produtos'!$AI$7*'NT1 a NT4'!J21)+('Familia e Produtos'!$AI$8*'NT1 a NT4'!J27)+('Familia e Produtos'!$AI$9*'NT1 a NT4'!J33))*-1</f>
        <v>0</v>
      </c>
      <c r="J22" s="85">
        <f>(('Familia e Produtos'!$AI$7*'NT1 a NT4'!K21)+('Familia e Produtos'!$AI$8*'NT1 a NT4'!K27)+('Familia e Produtos'!$AI$9*'NT1 a NT4'!K33))*-1</f>
        <v>0</v>
      </c>
      <c r="K22" s="85">
        <f>(('Familia e Produtos'!$AI$7*'NT1 a NT4'!L21)+('Familia e Produtos'!$AI$8*'NT1 a NT4'!L27)+('Familia e Produtos'!$AI$9*'NT1 a NT4'!L33))*-1</f>
        <v>0</v>
      </c>
      <c r="L22" s="85">
        <f>(('Familia e Produtos'!$AI$7*'NT1 a NT4'!M21)+('Familia e Produtos'!$AI$8*'NT1 a NT4'!M27)+('Familia e Produtos'!$AI$9*'NT1 a NT4'!M33))*-1</f>
        <v>0</v>
      </c>
      <c r="M22" s="85">
        <f>(('Familia e Produtos'!$AI$7*'NT1 a NT4'!N21)+('Familia e Produtos'!$AI$8*'NT1 a NT4'!N27)+('Familia e Produtos'!$AI$9*'NT1 a NT4'!N33))*-1</f>
        <v>0</v>
      </c>
      <c r="N22" s="85">
        <f>(('Familia e Produtos'!$AI$7*'NT1 a NT4'!O21)+('Familia e Produtos'!$AI$8*'NT1 a NT4'!O27)+('Familia e Produtos'!$AI$9*'NT1 a NT4'!O33))*-1</f>
        <v>0</v>
      </c>
      <c r="O22" s="85">
        <f>(('Familia e Produtos'!$AI$7*'NT1 a NT4'!P21)+('Familia e Produtos'!$AI$8*'NT1 a NT4'!P27)+('Familia e Produtos'!$AI$9*'NT1 a NT4'!P33))*-1</f>
        <v>0</v>
      </c>
    </row>
    <row r="23" spans="1:15" ht="15" x14ac:dyDescent="0.25">
      <c r="A23" s="203" t="s">
        <v>437</v>
      </c>
      <c r="B23" s="202"/>
      <c r="C23" s="1" t="s">
        <v>169</v>
      </c>
      <c r="D23" s="85">
        <f>('Familia e Produtos'!$AM$7*'NT1 a NT4'!E4)+('Familia e Produtos'!$AM$8*'NT1 a NT4'!E5)+('Familia e Produtos'!$AM$9*'NT1 a NT4'!E6)</f>
        <v>420597.5</v>
      </c>
      <c r="E23" s="85">
        <f>('Familia e Produtos'!$AM$7*'NT1 a NT4'!F4)+('Familia e Produtos'!$AM$8*'NT1 a NT4'!F5)+('Familia e Produtos'!$AM$9*'NT1 a NT4'!F6)</f>
        <v>420597.5</v>
      </c>
      <c r="F23" s="85">
        <f>('Familia e Produtos'!$AM$7*'NT1 a NT4'!G4)+('Familia e Produtos'!$AM$8*'NT1 a NT4'!G5)+('Familia e Produtos'!$AM$9*'NT1 a NT4'!G6)</f>
        <v>420597.5</v>
      </c>
      <c r="G23" s="85">
        <f>('Familia e Produtos'!$AM$7*'NT1 a NT4'!H4)+('Familia e Produtos'!$AM$8*'NT1 a NT4'!H5)+('Familia e Produtos'!$AM$9*'NT1 a NT4'!H6)</f>
        <v>420597.5</v>
      </c>
      <c r="H23" s="85">
        <f>('Familia e Produtos'!$AM$7*'NT1 a NT4'!I4)+('Familia e Produtos'!$AM$8*'NT1 a NT4'!I5)+('Familia e Produtos'!$AM$9*'NT1 a NT4'!I6)</f>
        <v>420597.5</v>
      </c>
      <c r="I23" s="85">
        <f>('Familia e Produtos'!$AM$7*'NT1 a NT4'!J4)+('Familia e Produtos'!$AM$8*'NT1 a NT4'!J5)+('Familia e Produtos'!$AM$9*'NT1 a NT4'!J6)</f>
        <v>420597.5</v>
      </c>
      <c r="J23" s="85">
        <f>('Familia e Produtos'!$AM$7*'NT1 a NT4'!K4)+('Familia e Produtos'!$AM$8*'NT1 a NT4'!K5)+('Familia e Produtos'!$AM$9*'NT1 a NT4'!K6)</f>
        <v>420597.5</v>
      </c>
      <c r="K23" s="85">
        <f>('Familia e Produtos'!$AM$7*'NT1 a NT4'!L4)+('Familia e Produtos'!$AM$8*'NT1 a NT4'!L5)+('Familia e Produtos'!$AM$9*'NT1 a NT4'!L6)</f>
        <v>420597.5</v>
      </c>
      <c r="L23" s="85">
        <f>('Familia e Produtos'!$AM$7*'NT1 a NT4'!M4)+('Familia e Produtos'!$AM$8*'NT1 a NT4'!M5)+('Familia e Produtos'!$AM$9*'NT1 a NT4'!M6)</f>
        <v>420597.5</v>
      </c>
      <c r="M23" s="85">
        <f>('Familia e Produtos'!$AM$7*'NT1 a NT4'!N4)+('Familia e Produtos'!$AM$8*'NT1 a NT4'!N5)+('Familia e Produtos'!$AM$9*'NT1 a NT4'!N6)</f>
        <v>420597.5</v>
      </c>
      <c r="N23" s="85">
        <f>('Familia e Produtos'!$AM$7*'NT1 a NT4'!O4)+('Familia e Produtos'!$AM$8*'NT1 a NT4'!O5)+('Familia e Produtos'!$AM$9*'NT1 a NT4'!O6)</f>
        <v>420597.5</v>
      </c>
      <c r="O23" s="85">
        <f>('Familia e Produtos'!$AM$7*'NT1 a NT4'!P4)+('Familia e Produtos'!$AM$8*'NT1 a NT4'!P5)+('Familia e Produtos'!$AM$9*'NT1 a NT4'!P6)</f>
        <v>420597.5</v>
      </c>
    </row>
    <row r="24" spans="1:15" ht="15" x14ac:dyDescent="0.25">
      <c r="A24" s="203" t="s">
        <v>437</v>
      </c>
      <c r="B24" s="202"/>
      <c r="C24" s="1" t="s">
        <v>172</v>
      </c>
      <c r="D24" s="85">
        <f t="shared" ref="D24:O24" si="8">D22+D23</f>
        <v>420597.5</v>
      </c>
      <c r="E24" s="85">
        <f t="shared" si="8"/>
        <v>420597.5</v>
      </c>
      <c r="F24" s="85">
        <f t="shared" si="8"/>
        <v>420597.5</v>
      </c>
      <c r="G24" s="85">
        <f t="shared" si="8"/>
        <v>420597.5</v>
      </c>
      <c r="H24" s="85">
        <f t="shared" si="8"/>
        <v>420597.5</v>
      </c>
      <c r="I24" s="85">
        <f t="shared" si="8"/>
        <v>420597.5</v>
      </c>
      <c r="J24" s="85">
        <f t="shared" si="8"/>
        <v>420597.5</v>
      </c>
      <c r="K24" s="85">
        <f t="shared" si="8"/>
        <v>420597.5</v>
      </c>
      <c r="L24" s="85">
        <f t="shared" si="8"/>
        <v>420597.5</v>
      </c>
      <c r="M24" s="85">
        <f t="shared" si="8"/>
        <v>420597.5</v>
      </c>
      <c r="N24" s="85">
        <f t="shared" si="8"/>
        <v>420597.5</v>
      </c>
      <c r="O24" s="85">
        <f t="shared" si="8"/>
        <v>420597.5</v>
      </c>
    </row>
    <row r="25" spans="1:15" x14ac:dyDescent="0.2">
      <c r="A25" s="205"/>
      <c r="B25" s="204"/>
      <c r="C25" s="1" t="s">
        <v>171</v>
      </c>
      <c r="D25" s="85">
        <f>IF(D21&gt;0,-D21,0)</f>
        <v>0</v>
      </c>
      <c r="E25" s="85">
        <f t="shared" ref="E25:O25" si="9">IF(E21&gt;0,-E21,0)</f>
        <v>-420597.5</v>
      </c>
      <c r="F25" s="85">
        <f t="shared" si="9"/>
        <v>-420597.5</v>
      </c>
      <c r="G25" s="85">
        <f t="shared" si="9"/>
        <v>-420597.5</v>
      </c>
      <c r="H25" s="85">
        <f t="shared" si="9"/>
        <v>-420597.5</v>
      </c>
      <c r="I25" s="85">
        <f t="shared" si="9"/>
        <v>-420597.5</v>
      </c>
      <c r="J25" s="85">
        <f t="shared" si="9"/>
        <v>-420597.5</v>
      </c>
      <c r="K25" s="85">
        <f t="shared" si="9"/>
        <v>-420597.5</v>
      </c>
      <c r="L25" s="85">
        <f t="shared" si="9"/>
        <v>-420597.5</v>
      </c>
      <c r="M25" s="85">
        <f t="shared" si="9"/>
        <v>-420597.5</v>
      </c>
      <c r="N25" s="85">
        <f t="shared" si="9"/>
        <v>-420597.5</v>
      </c>
      <c r="O25" s="85">
        <f t="shared" si="9"/>
        <v>-420597.5</v>
      </c>
    </row>
    <row r="26" spans="1:15" x14ac:dyDescent="0.2">
      <c r="A26" s="205"/>
      <c r="B26" s="204" t="str">
        <f>IF(D26&lt;0,CONCATENATE('Cadastro PCP'!A39,'Cadastro PCP'!B39,'Cadastro PCP'!C39),CONCATENATE('Cadastro PCP'!A59,'Cadastro PCP'!B59,'Cadastro PCP'!C59))</f>
        <v>21005Obrigações Fiscais</v>
      </c>
      <c r="C26" s="1" t="s">
        <v>115</v>
      </c>
      <c r="D26" s="85">
        <f t="shared" ref="D26:O26" si="10">D21+D24+D25</f>
        <v>420597.5</v>
      </c>
      <c r="E26" s="85">
        <f t="shared" si="10"/>
        <v>420597.5</v>
      </c>
      <c r="F26" s="85">
        <f t="shared" si="10"/>
        <v>420597.5</v>
      </c>
      <c r="G26" s="85">
        <f t="shared" si="10"/>
        <v>420597.5</v>
      </c>
      <c r="H26" s="85">
        <f t="shared" si="10"/>
        <v>420597.5</v>
      </c>
      <c r="I26" s="85">
        <f t="shared" si="10"/>
        <v>420597.5</v>
      </c>
      <c r="J26" s="85">
        <f t="shared" si="10"/>
        <v>420597.5</v>
      </c>
      <c r="K26" s="85">
        <f t="shared" si="10"/>
        <v>420597.5</v>
      </c>
      <c r="L26" s="85">
        <f t="shared" si="10"/>
        <v>420597.5</v>
      </c>
      <c r="M26" s="85">
        <f t="shared" si="10"/>
        <v>420597.5</v>
      </c>
      <c r="N26" s="85">
        <f t="shared" si="10"/>
        <v>420597.5</v>
      </c>
      <c r="O26" s="85">
        <f t="shared" si="10"/>
        <v>420597.5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workbookViewId="0">
      <selection activeCell="E48" sqref="E48"/>
    </sheetView>
  </sheetViews>
  <sheetFormatPr defaultColWidth="9.140625" defaultRowHeight="15" x14ac:dyDescent="0.25"/>
  <cols>
    <col min="1" max="1" width="25.5703125" style="15" customWidth="1"/>
    <col min="2" max="2" width="18.5703125" style="15" customWidth="1"/>
    <col min="3" max="3" width="2.7109375" style="15" customWidth="1"/>
    <col min="4" max="4" width="22.7109375" style="15" customWidth="1"/>
    <col min="5" max="5" width="15.7109375" style="15" customWidth="1"/>
    <col min="6" max="6" width="2.7109375" style="15" customWidth="1"/>
    <col min="7" max="7" width="15.7109375" style="15" customWidth="1"/>
    <col min="8" max="8" width="2.7109375" style="15" customWidth="1"/>
    <col min="9" max="9" width="15.7109375" style="15" customWidth="1"/>
    <col min="10" max="11" width="9.140625" style="15"/>
    <col min="12" max="12" width="3.42578125" style="15" customWidth="1"/>
    <col min="13" max="13" width="31.42578125" style="15" customWidth="1"/>
    <col min="14" max="14" width="1.85546875" style="15" customWidth="1"/>
    <col min="15" max="15" width="12.85546875" style="15" customWidth="1"/>
    <col min="16" max="16" width="12" style="15" bestFit="1" customWidth="1"/>
    <col min="17" max="16384" width="9.140625" style="15"/>
  </cols>
  <sheetData>
    <row r="1" spans="1:9" x14ac:dyDescent="0.25">
      <c r="A1"/>
      <c r="B1" s="118"/>
      <c r="C1"/>
      <c r="D1" s="293" t="s">
        <v>162</v>
      </c>
      <c r="E1" s="293"/>
      <c r="F1" s="293"/>
      <c r="G1" s="293"/>
      <c r="H1" s="293"/>
      <c r="I1" s="293"/>
    </row>
    <row r="2" spans="1:9" x14ac:dyDescent="0.25">
      <c r="A2"/>
      <c r="B2" s="115"/>
      <c r="C2"/>
      <c r="D2" s="293"/>
      <c r="E2" s="293"/>
      <c r="F2" s="293"/>
      <c r="G2" s="293"/>
      <c r="H2" s="293"/>
      <c r="I2" s="293"/>
    </row>
    <row r="3" spans="1:9" x14ac:dyDescent="0.25">
      <c r="B3" s="119"/>
      <c r="C3"/>
      <c r="D3"/>
      <c r="E3"/>
      <c r="F3"/>
      <c r="G3"/>
      <c r="H3"/>
      <c r="I3"/>
    </row>
    <row r="4" spans="1:9" x14ac:dyDescent="0.25">
      <c r="A4" s="1" t="s">
        <v>57</v>
      </c>
      <c r="B4"/>
      <c r="C4"/>
      <c r="D4" s="1"/>
      <c r="E4"/>
      <c r="F4"/>
      <c r="G4"/>
      <c r="H4"/>
      <c r="I4"/>
    </row>
    <row r="5" spans="1:9" x14ac:dyDescent="0.25">
      <c r="A5" t="str">
        <f>'Familia e Produtos'!D7</f>
        <v>Câmara Digital 3D 18.2 MP</v>
      </c>
      <c r="B5" s="3"/>
      <c r="C5"/>
      <c r="D5" s="1"/>
      <c r="E5"/>
      <c r="F5"/>
      <c r="G5"/>
      <c r="H5"/>
      <c r="I5"/>
    </row>
    <row r="6" spans="1:9" x14ac:dyDescent="0.25">
      <c r="B6"/>
      <c r="C6"/>
      <c r="D6"/>
      <c r="E6"/>
      <c r="F6"/>
      <c r="G6"/>
      <c r="H6"/>
      <c r="I6"/>
    </row>
    <row r="7" spans="1:9" x14ac:dyDescent="0.25">
      <c r="A7" s="51" t="s">
        <v>58</v>
      </c>
      <c r="B7" s="51" t="s">
        <v>55</v>
      </c>
      <c r="C7"/>
      <c r="D7" s="289" t="s">
        <v>94</v>
      </c>
      <c r="E7" s="289"/>
      <c r="F7" s="289"/>
      <c r="G7" s="289"/>
      <c r="H7" s="289"/>
      <c r="I7" s="289"/>
    </row>
    <row r="8" spans="1:9" x14ac:dyDescent="0.25">
      <c r="A8" s="55" t="s">
        <v>59</v>
      </c>
      <c r="B8" s="23">
        <f>'Familia e Produtos'!Z7</f>
        <v>1050</v>
      </c>
      <c r="C8"/>
      <c r="D8" s="1" t="s">
        <v>73</v>
      </c>
      <c r="E8" s="47">
        <f>(B16+B28)/(1-B19-B21-(B29/30*B22)-B26-B27-B30)</f>
        <v>1992.8934010152284</v>
      </c>
      <c r="F8" s="47"/>
      <c r="G8" s="48">
        <f>B17</f>
        <v>1899</v>
      </c>
      <c r="H8"/>
      <c r="I8" s="47">
        <f>(B16+B28)*B31</f>
        <v>1963</v>
      </c>
    </row>
    <row r="9" spans="1:9" x14ac:dyDescent="0.25">
      <c r="A9" s="55" t="s">
        <v>60</v>
      </c>
      <c r="B9" s="47">
        <f>'Familia e Produtos'!AA7</f>
        <v>15.5</v>
      </c>
      <c r="C9"/>
      <c r="D9" s="1" t="s">
        <v>79</v>
      </c>
      <c r="E9" s="23">
        <f>E8*B30</f>
        <v>398.57868020304568</v>
      </c>
      <c r="F9" s="23"/>
      <c r="G9" s="23">
        <f>$B17-($B17*($B19+$B21+($B29/30*$B22)+$B26+$B27))-$B16-$B28</f>
        <v>333.55749999999989</v>
      </c>
      <c r="H9"/>
      <c r="I9" s="23">
        <f>I8-(I8*($B19+$B21+($B29/30*$B22)+$B26+$B27))-$B16-$B28</f>
        <v>377.87750000000005</v>
      </c>
    </row>
    <row r="10" spans="1:9" x14ac:dyDescent="0.25">
      <c r="A10" s="55" t="s">
        <v>4</v>
      </c>
      <c r="B10" s="23">
        <f>'Familia e Produtos'!AB7</f>
        <v>105</v>
      </c>
      <c r="C10"/>
      <c r="D10" s="1" t="s">
        <v>76</v>
      </c>
      <c r="E10" s="23">
        <f>E8*B25</f>
        <v>1992893.4010152284</v>
      </c>
      <c r="F10" s="23"/>
      <c r="G10" s="23">
        <f>G8*B25</f>
        <v>1899000</v>
      </c>
      <c r="H10"/>
      <c r="I10" s="23">
        <f>I8*B25</f>
        <v>1963000</v>
      </c>
    </row>
    <row r="11" spans="1:9" x14ac:dyDescent="0.25">
      <c r="A11" s="55" t="s">
        <v>30</v>
      </c>
      <c r="B11" s="23">
        <f>'Familia e Produtos'!AD7</f>
        <v>0</v>
      </c>
      <c r="C11"/>
      <c r="D11" s="1" t="s">
        <v>77</v>
      </c>
      <c r="E11" s="23">
        <f>E10*B30</f>
        <v>398578.68020304572</v>
      </c>
      <c r="F11" s="23"/>
      <c r="G11" s="23">
        <f>G9*B25</f>
        <v>333557.49999999988</v>
      </c>
      <c r="H11"/>
      <c r="I11" s="23">
        <f>I9*B25</f>
        <v>377877.50000000006</v>
      </c>
    </row>
    <row r="12" spans="1:9" x14ac:dyDescent="0.25">
      <c r="A12" s="55" t="s">
        <v>61</v>
      </c>
      <c r="B12" s="46">
        <f>SUM(B8:B11)</f>
        <v>1170.5</v>
      </c>
      <c r="C12"/>
      <c r="D12" s="63" t="s">
        <v>90</v>
      </c>
      <c r="E12" s="64">
        <f>E9/E8</f>
        <v>0.2</v>
      </c>
      <c r="F12" s="65"/>
      <c r="G12" s="64">
        <f>G9/G8</f>
        <v>0.17564902580305419</v>
      </c>
      <c r="H12" s="32"/>
      <c r="I12" s="64">
        <f>I9/I8</f>
        <v>0.19250000000000003</v>
      </c>
    </row>
    <row r="13" spans="1:9" ht="15" customHeight="1" x14ac:dyDescent="0.25">
      <c r="A13"/>
      <c r="B13"/>
      <c r="C13"/>
      <c r="D13" s="289" t="s">
        <v>80</v>
      </c>
      <c r="E13" s="289"/>
      <c r="F13" s="289"/>
      <c r="G13" s="289"/>
      <c r="H13" s="289"/>
      <c r="I13" s="289"/>
    </row>
    <row r="14" spans="1:9" x14ac:dyDescent="0.25">
      <c r="A14" s="56" t="s">
        <v>45</v>
      </c>
      <c r="B14" s="47">
        <f>'Familia e Produtos'!AH7</f>
        <v>189</v>
      </c>
      <c r="C14"/>
      <c r="D14" s="1" t="s">
        <v>73</v>
      </c>
      <c r="E14" s="48">
        <f>E8</f>
        <v>1992.8934010152284</v>
      </c>
      <c r="F14" s="48"/>
      <c r="G14" s="48">
        <f>G8</f>
        <v>1899</v>
      </c>
      <c r="H14"/>
      <c r="I14" s="48">
        <f>I8</f>
        <v>1963</v>
      </c>
    </row>
    <row r="15" spans="1:9" x14ac:dyDescent="0.25">
      <c r="A15" s="56" t="s">
        <v>62</v>
      </c>
      <c r="B15" s="52">
        <f>'Familia e Produtos'!AI7</f>
        <v>0</v>
      </c>
      <c r="C15"/>
      <c r="D15" s="1" t="s">
        <v>82</v>
      </c>
      <c r="E15" s="23">
        <f>-E8*$B19</f>
        <v>-358.7208121827411</v>
      </c>
      <c r="F15" s="23"/>
      <c r="G15" s="23">
        <f>-G8*$B19</f>
        <v>-341.82</v>
      </c>
      <c r="H15"/>
      <c r="I15" s="23">
        <f>-I8*$B19</f>
        <v>-353.34</v>
      </c>
    </row>
    <row r="16" spans="1:9" x14ac:dyDescent="0.25">
      <c r="A16" s="56" t="s">
        <v>63</v>
      </c>
      <c r="B16" s="47">
        <f>'Familia e Produtos'!AJ7</f>
        <v>981.5</v>
      </c>
      <c r="C16"/>
      <c r="D16" s="1" t="s">
        <v>81</v>
      </c>
      <c r="E16" s="47">
        <f>-E8*$B21</f>
        <v>-184.34263959390861</v>
      </c>
      <c r="F16" s="47"/>
      <c r="G16" s="47">
        <f>-G8*$B21</f>
        <v>-175.6575</v>
      </c>
      <c r="H16"/>
      <c r="I16" s="47">
        <f>-I8*$B21</f>
        <v>-181.57749999999999</v>
      </c>
    </row>
    <row r="17" spans="1:9" x14ac:dyDescent="0.25">
      <c r="A17" s="56" t="s">
        <v>65</v>
      </c>
      <c r="B17" s="47">
        <f>'Familia e Produtos'!AK7</f>
        <v>1899</v>
      </c>
      <c r="C17"/>
      <c r="D17" s="1" t="s">
        <v>83</v>
      </c>
      <c r="E17" s="47">
        <f>-E8*$B26</f>
        <v>-39.857868020304572</v>
      </c>
      <c r="F17" s="47"/>
      <c r="G17" s="47">
        <f>-G8*$B26</f>
        <v>-37.980000000000004</v>
      </c>
      <c r="H17"/>
      <c r="I17" s="47">
        <f>-I8*$B26</f>
        <v>-39.26</v>
      </c>
    </row>
    <row r="18" spans="1:9" x14ac:dyDescent="0.25">
      <c r="A18" s="56" t="s">
        <v>64</v>
      </c>
      <c r="B18" s="47">
        <f>'Familia e Produtos'!AL7</f>
        <v>341.82</v>
      </c>
      <c r="C18"/>
      <c r="D18" s="1" t="s">
        <v>85</v>
      </c>
      <c r="E18" s="47">
        <f>-E8*$B27</f>
        <v>0</v>
      </c>
      <c r="F18" s="47"/>
      <c r="G18" s="47">
        <f>-G8*$B27</f>
        <v>0</v>
      </c>
      <c r="H18"/>
      <c r="I18" s="47">
        <f>-I8*$B27</f>
        <v>0</v>
      </c>
    </row>
    <row r="19" spans="1:9" x14ac:dyDescent="0.25">
      <c r="A19" s="56" t="s">
        <v>74</v>
      </c>
      <c r="B19" s="58">
        <f>B18/B17</f>
        <v>0.18</v>
      </c>
      <c r="C19"/>
      <c r="D19" s="1" t="s">
        <v>86</v>
      </c>
      <c r="E19" s="47">
        <f>-E8*$B29/30*$B22</f>
        <v>-29.893401015228424</v>
      </c>
      <c r="F19" s="47"/>
      <c r="G19" s="47">
        <f>-G8*$B29/30*$B22</f>
        <v>-28.484999999999999</v>
      </c>
      <c r="H19"/>
      <c r="I19" s="47">
        <f>-I8*$B29/30*$B22</f>
        <v>-29.445</v>
      </c>
    </row>
    <row r="20" spans="1:9" x14ac:dyDescent="0.25">
      <c r="A20" s="56" t="s">
        <v>66</v>
      </c>
      <c r="B20" s="53">
        <f>'Familia e Produtos'!AM7</f>
        <v>175.6575</v>
      </c>
      <c r="C20"/>
      <c r="D20" s="1" t="s">
        <v>87</v>
      </c>
      <c r="E20" s="47">
        <f>($B16+$B28)*-1</f>
        <v>-981.5</v>
      </c>
      <c r="F20" s="47"/>
      <c r="G20" s="47">
        <f>($B16+$B28)*-1</f>
        <v>-981.5</v>
      </c>
      <c r="H20"/>
      <c r="I20" s="47">
        <f>($B16+$B28)*-1</f>
        <v>-981.5</v>
      </c>
    </row>
    <row r="21" spans="1:9" x14ac:dyDescent="0.25">
      <c r="A21" s="56" t="s">
        <v>75</v>
      </c>
      <c r="B21" s="60">
        <f>B20/B17</f>
        <v>9.2499999999999999E-2</v>
      </c>
      <c r="C21"/>
      <c r="D21" s="1" t="s">
        <v>88</v>
      </c>
      <c r="E21" s="48">
        <f>SUM(E14:E20)</f>
        <v>398.57868020304568</v>
      </c>
      <c r="F21" s="48"/>
      <c r="G21" s="48">
        <f>SUM(G14:G20)</f>
        <v>333.55750000000012</v>
      </c>
      <c r="H21"/>
      <c r="I21" s="48">
        <f>SUM(I14:I20)</f>
        <v>377.87750000000005</v>
      </c>
    </row>
    <row r="22" spans="1:9" x14ac:dyDescent="0.25">
      <c r="A22" s="56" t="s">
        <v>67</v>
      </c>
      <c r="B22" s="54">
        <f>'Familia e Produtos'!AN7</f>
        <v>30</v>
      </c>
      <c r="C22"/>
      <c r="D22" s="290" t="s">
        <v>89</v>
      </c>
      <c r="E22" s="291"/>
      <c r="F22" s="291"/>
      <c r="G22" s="291"/>
      <c r="H22" s="291"/>
      <c r="I22" s="292"/>
    </row>
    <row r="23" spans="1:9" ht="15" customHeight="1" x14ac:dyDescent="0.25">
      <c r="A23"/>
      <c r="B23" s="16"/>
      <c r="C23"/>
      <c r="D23" s="1" t="s">
        <v>73</v>
      </c>
      <c r="E23" s="61">
        <f t="shared" ref="E23:E30" si="0">E14*$B$25</f>
        <v>1992893.4010152284</v>
      </c>
      <c r="F23" s="61"/>
      <c r="G23" s="23">
        <f t="shared" ref="G23:G30" si="1">G14*$B$25</f>
        <v>1899000</v>
      </c>
      <c r="H23"/>
      <c r="I23" s="23">
        <f t="shared" ref="I23:I30" si="2">I14*$B$25</f>
        <v>1963000</v>
      </c>
    </row>
    <row r="24" spans="1:9" x14ac:dyDescent="0.25">
      <c r="A24" s="57" t="s">
        <v>71</v>
      </c>
      <c r="B24"/>
      <c r="C24"/>
      <c r="D24" s="1" t="s">
        <v>82</v>
      </c>
      <c r="E24" s="61">
        <f t="shared" si="0"/>
        <v>-358720.81218274112</v>
      </c>
      <c r="F24" s="61"/>
      <c r="G24" s="23">
        <f t="shared" si="1"/>
        <v>-341820</v>
      </c>
      <c r="H24"/>
      <c r="I24" s="23">
        <f t="shared" si="2"/>
        <v>-353340</v>
      </c>
    </row>
    <row r="25" spans="1:9" x14ac:dyDescent="0.25">
      <c r="A25" s="56" t="s">
        <v>91</v>
      </c>
      <c r="B25" s="85">
        <v>1000</v>
      </c>
      <c r="C25"/>
      <c r="D25" s="1" t="s">
        <v>81</v>
      </c>
      <c r="E25" s="62">
        <f t="shared" si="0"/>
        <v>-184342.63959390862</v>
      </c>
      <c r="F25" s="62"/>
      <c r="G25" s="47">
        <f t="shared" si="1"/>
        <v>-175657.5</v>
      </c>
      <c r="H25" s="47"/>
      <c r="I25" s="47">
        <f t="shared" si="2"/>
        <v>-181577.5</v>
      </c>
    </row>
    <row r="26" spans="1:9" x14ac:dyDescent="0.25">
      <c r="A26" s="56" t="s">
        <v>84</v>
      </c>
      <c r="B26" s="32">
        <v>0.02</v>
      </c>
      <c r="C26"/>
      <c r="D26" s="1" t="s">
        <v>83</v>
      </c>
      <c r="E26" s="62">
        <f t="shared" si="0"/>
        <v>-39857.868020304573</v>
      </c>
      <c r="F26" s="62"/>
      <c r="G26" s="47">
        <f t="shared" si="1"/>
        <v>-37980.000000000007</v>
      </c>
      <c r="H26" s="47"/>
      <c r="I26" s="47">
        <f t="shared" si="2"/>
        <v>-39260</v>
      </c>
    </row>
    <row r="27" spans="1:9" x14ac:dyDescent="0.25">
      <c r="A27" s="56" t="s">
        <v>68</v>
      </c>
      <c r="B27" s="32"/>
      <c r="C27"/>
      <c r="D27" s="1" t="s">
        <v>85</v>
      </c>
      <c r="E27" s="62">
        <f t="shared" si="0"/>
        <v>0</v>
      </c>
      <c r="F27" s="62"/>
      <c r="G27" s="47">
        <f t="shared" si="1"/>
        <v>0</v>
      </c>
      <c r="H27" s="47"/>
      <c r="I27" s="47">
        <f t="shared" si="2"/>
        <v>0</v>
      </c>
    </row>
    <row r="28" spans="1:9" x14ac:dyDescent="0.25">
      <c r="A28" s="56" t="s">
        <v>69</v>
      </c>
      <c r="B28" s="47"/>
      <c r="C28"/>
      <c r="D28" s="1" t="s">
        <v>86</v>
      </c>
      <c r="E28" s="62">
        <f t="shared" si="0"/>
        <v>-29893.401015228425</v>
      </c>
      <c r="F28" s="62"/>
      <c r="G28" s="47">
        <f t="shared" si="1"/>
        <v>-28485</v>
      </c>
      <c r="H28" s="47"/>
      <c r="I28" s="47">
        <f t="shared" si="2"/>
        <v>-29445</v>
      </c>
    </row>
    <row r="29" spans="1:9" x14ac:dyDescent="0.25">
      <c r="A29" s="56" t="s">
        <v>70</v>
      </c>
      <c r="B29" s="32">
        <v>1.4999999999999999E-2</v>
      </c>
      <c r="C29"/>
      <c r="D29" s="1" t="s">
        <v>87</v>
      </c>
      <c r="E29" s="62">
        <f t="shared" si="0"/>
        <v>-981500</v>
      </c>
      <c r="F29" s="62"/>
      <c r="G29" s="47">
        <f t="shared" si="1"/>
        <v>-981500</v>
      </c>
      <c r="H29" s="47"/>
      <c r="I29" s="47">
        <f t="shared" si="2"/>
        <v>-981500</v>
      </c>
    </row>
    <row r="30" spans="1:9" x14ac:dyDescent="0.25">
      <c r="A30" s="56" t="s">
        <v>78</v>
      </c>
      <c r="B30" s="32">
        <v>0.2</v>
      </c>
      <c r="C30"/>
      <c r="D30" s="1" t="s">
        <v>88</v>
      </c>
      <c r="E30" s="61">
        <f t="shared" si="0"/>
        <v>398578.68020304566</v>
      </c>
      <c r="F30" s="61"/>
      <c r="G30" s="47">
        <f t="shared" si="1"/>
        <v>333557.50000000012</v>
      </c>
      <c r="H30" s="47"/>
      <c r="I30" s="47">
        <f t="shared" si="2"/>
        <v>377877.50000000006</v>
      </c>
    </row>
    <row r="31" spans="1:9" x14ac:dyDescent="0.25">
      <c r="A31" s="56" t="s">
        <v>72</v>
      </c>
      <c r="B31" s="52">
        <v>2</v>
      </c>
      <c r="C31"/>
      <c r="D31" s="15" t="s">
        <v>92</v>
      </c>
      <c r="E31" s="62">
        <f>E23*(1-E12)/30*$B22</f>
        <v>1594314.7208121829</v>
      </c>
      <c r="F31"/>
      <c r="G31" s="62">
        <f>G23*(1-G12)/30*$B22</f>
        <v>1565442.5</v>
      </c>
      <c r="H31"/>
      <c r="I31" s="62">
        <f>I23*(1-I12)/30*$B22</f>
        <v>1585122.5</v>
      </c>
    </row>
    <row r="32" spans="1:9" ht="15" customHeight="1" x14ac:dyDescent="0.25">
      <c r="A32"/>
      <c r="B32"/>
      <c r="C32"/>
      <c r="D32" s="15" t="s">
        <v>93</v>
      </c>
      <c r="E32" s="66">
        <f>E31/E23</f>
        <v>0.8</v>
      </c>
      <c r="G32" s="66">
        <f>G31/G23</f>
        <v>0.82435097419694581</v>
      </c>
      <c r="I32" s="66">
        <f>I31/I23</f>
        <v>0.8075</v>
      </c>
    </row>
    <row r="33" spans="1:9" ht="15" customHeight="1" x14ac:dyDescent="0.25">
      <c r="A33" s="57" t="s">
        <v>156</v>
      </c>
      <c r="B33" s="294"/>
      <c r="C33"/>
      <c r="D33" s="296">
        <f>G8</f>
        <v>1899</v>
      </c>
      <c r="E33" s="66"/>
      <c r="G33" s="66"/>
      <c r="I33" s="66"/>
    </row>
    <row r="34" spans="1:9" ht="15" customHeight="1" x14ac:dyDescent="0.25">
      <c r="A34" s="57" t="s">
        <v>155</v>
      </c>
      <c r="B34" s="295"/>
      <c r="C34"/>
      <c r="D34" s="297"/>
      <c r="E34" s="66"/>
      <c r="G34" s="66"/>
      <c r="I34" s="66"/>
    </row>
    <row r="35" spans="1:9" ht="15" customHeight="1" x14ac:dyDescent="0.25">
      <c r="A35" s="77" t="s">
        <v>95</v>
      </c>
      <c r="B35" s="68"/>
      <c r="C35" s="67"/>
      <c r="D35" s="68"/>
      <c r="E35" s="67"/>
      <c r="F35" s="67"/>
      <c r="G35" s="67"/>
      <c r="H35" s="67"/>
      <c r="I35" s="69"/>
    </row>
    <row r="36" spans="1:9" ht="15" customHeight="1" x14ac:dyDescent="0.25">
      <c r="A36" s="70"/>
      <c r="B36" s="49"/>
      <c r="C36" s="49"/>
      <c r="D36" s="71"/>
      <c r="E36" s="49"/>
      <c r="F36" s="49"/>
      <c r="G36" s="49"/>
      <c r="H36" s="49"/>
      <c r="I36" s="72"/>
    </row>
    <row r="37" spans="1:9" ht="15" customHeight="1" x14ac:dyDescent="0.25">
      <c r="A37" s="73"/>
      <c r="B37" s="74"/>
      <c r="C37" s="74"/>
      <c r="D37" s="75"/>
      <c r="E37" s="74"/>
      <c r="F37" s="74"/>
      <c r="G37" s="74"/>
      <c r="H37" s="74"/>
      <c r="I37" s="76"/>
    </row>
    <row r="38" spans="1:9" ht="15" customHeight="1" x14ac:dyDescent="0.25">
      <c r="A38" s="49"/>
      <c r="B38" s="49"/>
      <c r="C38" s="49"/>
      <c r="D38" s="78"/>
      <c r="E38" s="49"/>
      <c r="F38" s="49"/>
      <c r="G38" s="49"/>
      <c r="H38" s="49"/>
      <c r="I38" s="49"/>
    </row>
    <row r="39" spans="1:9" ht="15" customHeight="1" x14ac:dyDescent="0.25">
      <c r="A39" s="49"/>
      <c r="B39" s="49"/>
      <c r="C39" s="49"/>
      <c r="D39" s="78"/>
      <c r="E39" s="49"/>
      <c r="F39" s="49"/>
      <c r="G39" s="49"/>
      <c r="H39" s="49"/>
      <c r="I39" s="49"/>
    </row>
    <row r="40" spans="1:9" ht="15" customHeight="1" x14ac:dyDescent="0.25">
      <c r="A40" s="49"/>
      <c r="B40" s="49"/>
      <c r="C40" s="49"/>
      <c r="D40" s="78"/>
      <c r="E40" s="49"/>
      <c r="F40" s="49"/>
      <c r="G40" s="49"/>
      <c r="H40" s="49"/>
      <c r="I40" s="49"/>
    </row>
  </sheetData>
  <mergeCells count="6">
    <mergeCell ref="D7:I7"/>
    <mergeCell ref="D13:I13"/>
    <mergeCell ref="D22:I22"/>
    <mergeCell ref="D1:I2"/>
    <mergeCell ref="B33:B34"/>
    <mergeCell ref="D33:D34"/>
  </mergeCells>
  <dataValidations count="1">
    <dataValidation type="list" allowBlank="1" showInputMessage="1" showErrorMessage="1" sqref="B33">
      <formula1>#REF!</formula1>
    </dataValidation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90" orientation="landscape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12" workbookViewId="0">
      <selection activeCell="C36" sqref="C36"/>
    </sheetView>
  </sheetViews>
  <sheetFormatPr defaultColWidth="9.140625" defaultRowHeight="12.75" x14ac:dyDescent="0.2"/>
  <cols>
    <col min="1" max="2" width="10.7109375" style="5" customWidth="1"/>
    <col min="3" max="3" width="51" style="5" customWidth="1"/>
    <col min="4" max="4" width="10.7109375" style="5" customWidth="1"/>
    <col min="5" max="5" width="11.7109375" style="5" customWidth="1"/>
    <col min="6" max="6" width="9.140625" style="5"/>
    <col min="7" max="7" width="9.85546875" style="5" customWidth="1"/>
    <col min="8" max="16384" width="9.140625" style="5"/>
  </cols>
  <sheetData>
    <row r="1" spans="1:4" x14ac:dyDescent="0.2">
      <c r="C1" s="160" t="s">
        <v>179</v>
      </c>
    </row>
    <row r="2" spans="1:4" x14ac:dyDescent="0.2">
      <c r="A2" s="6" t="s">
        <v>252</v>
      </c>
      <c r="B2" s="6" t="s">
        <v>253</v>
      </c>
      <c r="C2" s="160"/>
    </row>
    <row r="3" spans="1:4" x14ac:dyDescent="0.2">
      <c r="A3" s="161" t="s">
        <v>254</v>
      </c>
      <c r="B3" s="161" t="s">
        <v>255</v>
      </c>
      <c r="C3" s="127" t="s">
        <v>256</v>
      </c>
    </row>
    <row r="4" spans="1:4" x14ac:dyDescent="0.2">
      <c r="A4" s="160"/>
      <c r="B4" s="160"/>
      <c r="C4" s="160"/>
      <c r="D4" s="160" t="s">
        <v>257</v>
      </c>
    </row>
    <row r="5" spans="1:4" ht="15.75" x14ac:dyDescent="0.25">
      <c r="A5" s="8">
        <v>1000</v>
      </c>
      <c r="B5" s="162"/>
      <c r="C5" s="163" t="s">
        <v>258</v>
      </c>
      <c r="D5" s="164"/>
    </row>
    <row r="6" spans="1:4" ht="15.75" x14ac:dyDescent="0.25">
      <c r="A6" s="8">
        <v>1100</v>
      </c>
      <c r="B6" s="165"/>
      <c r="C6" s="166" t="s">
        <v>13</v>
      </c>
      <c r="D6" s="164"/>
    </row>
    <row r="7" spans="1:4" ht="15.75" x14ac:dyDescent="0.25">
      <c r="A7" s="8">
        <v>1200</v>
      </c>
      <c r="B7" s="167"/>
      <c r="C7" s="166" t="s">
        <v>259</v>
      </c>
      <c r="D7" s="5" t="s">
        <v>260</v>
      </c>
    </row>
    <row r="8" spans="1:4" ht="15.75" x14ac:dyDescent="0.25">
      <c r="A8" s="8">
        <v>1201</v>
      </c>
      <c r="B8" s="167"/>
      <c r="C8" s="166" t="s">
        <v>189</v>
      </c>
      <c r="D8" s="5" t="s">
        <v>260</v>
      </c>
    </row>
    <row r="9" spans="1:4" ht="15.75" x14ac:dyDescent="0.25">
      <c r="A9" s="8">
        <v>1202</v>
      </c>
      <c r="B9" s="167"/>
      <c r="C9" s="163" t="s">
        <v>190</v>
      </c>
      <c r="D9" s="5" t="s">
        <v>260</v>
      </c>
    </row>
    <row r="10" spans="1:4" ht="15.75" x14ac:dyDescent="0.25">
      <c r="A10" s="8">
        <v>1203</v>
      </c>
      <c r="B10" s="167"/>
      <c r="C10" s="163" t="s">
        <v>191</v>
      </c>
      <c r="D10" s="5" t="s">
        <v>260</v>
      </c>
    </row>
    <row r="11" spans="1:4" ht="15.75" x14ac:dyDescent="0.25">
      <c r="A11" s="8">
        <v>1204</v>
      </c>
      <c r="B11" s="167"/>
      <c r="C11" s="163" t="s">
        <v>261</v>
      </c>
      <c r="D11" s="5" t="s">
        <v>260</v>
      </c>
    </row>
    <row r="12" spans="1:4" ht="15.75" x14ac:dyDescent="0.25">
      <c r="A12" s="8">
        <v>2000</v>
      </c>
      <c r="B12" s="162"/>
      <c r="C12" s="163" t="s">
        <v>262</v>
      </c>
      <c r="D12" s="164"/>
    </row>
    <row r="13" spans="1:4" ht="15.75" x14ac:dyDescent="0.25">
      <c r="A13" s="8">
        <v>2100</v>
      </c>
      <c r="B13" s="167"/>
      <c r="C13" s="166" t="s">
        <v>14</v>
      </c>
      <c r="D13" s="164"/>
    </row>
    <row r="14" spans="1:4" ht="15.75" x14ac:dyDescent="0.25">
      <c r="A14" s="8">
        <v>2200</v>
      </c>
      <c r="B14" s="162"/>
      <c r="C14" s="163" t="s">
        <v>263</v>
      </c>
      <c r="D14" s="5" t="s">
        <v>260</v>
      </c>
    </row>
    <row r="15" spans="1:4" ht="15.75" x14ac:dyDescent="0.25">
      <c r="A15" s="8">
        <v>2300</v>
      </c>
      <c r="B15" s="167"/>
      <c r="C15" s="166" t="s">
        <v>264</v>
      </c>
      <c r="D15" s="164"/>
    </row>
    <row r="16" spans="1:4" ht="14.25" x14ac:dyDescent="0.2">
      <c r="A16" s="168"/>
      <c r="B16" s="168"/>
      <c r="C16" s="2"/>
    </row>
    <row r="17" spans="1:8" ht="14.25" x14ac:dyDescent="0.2">
      <c r="A17" s="168"/>
      <c r="B17" s="168"/>
      <c r="C17" s="2"/>
    </row>
    <row r="18" spans="1:8" ht="14.25" x14ac:dyDescent="0.2">
      <c r="A18" s="6" t="s">
        <v>252</v>
      </c>
      <c r="B18" s="6" t="s">
        <v>253</v>
      </c>
      <c r="C18" s="2"/>
    </row>
    <row r="19" spans="1:8" x14ac:dyDescent="0.2">
      <c r="A19" s="161" t="s">
        <v>254</v>
      </c>
      <c r="B19" s="161" t="s">
        <v>255</v>
      </c>
      <c r="C19" s="127" t="s">
        <v>265</v>
      </c>
    </row>
    <row r="20" spans="1:8" ht="15.75" x14ac:dyDescent="0.25">
      <c r="A20" s="169">
        <f>$A$6</f>
        <v>1100</v>
      </c>
      <c r="B20" s="169"/>
      <c r="C20" s="170" t="str">
        <f>C6</f>
        <v>Ativo Circulante</v>
      </c>
      <c r="D20" s="160" t="s">
        <v>266</v>
      </c>
      <c r="E20" s="127" t="s">
        <v>267</v>
      </c>
      <c r="F20" s="127" t="s">
        <v>268</v>
      </c>
    </row>
    <row r="21" spans="1:8" ht="15" x14ac:dyDescent="0.25">
      <c r="A21" s="169">
        <f t="shared" ref="A21:A26" si="0">$A$6</f>
        <v>1100</v>
      </c>
      <c r="B21" s="127">
        <v>1</v>
      </c>
      <c r="C21" s="2" t="s">
        <v>269</v>
      </c>
    </row>
    <row r="22" spans="1:8" ht="15" x14ac:dyDescent="0.25">
      <c r="A22" s="169">
        <f t="shared" si="0"/>
        <v>1100</v>
      </c>
      <c r="B22" s="127">
        <v>2</v>
      </c>
      <c r="C22" s="2" t="s">
        <v>270</v>
      </c>
    </row>
    <row r="23" spans="1:8" ht="15" x14ac:dyDescent="0.25">
      <c r="A23" s="169">
        <f t="shared" si="0"/>
        <v>1100</v>
      </c>
      <c r="B23" s="127">
        <v>3</v>
      </c>
      <c r="C23" s="2" t="s">
        <v>271</v>
      </c>
    </row>
    <row r="24" spans="1:8" ht="15" x14ac:dyDescent="0.25">
      <c r="A24" s="169">
        <f t="shared" si="0"/>
        <v>1100</v>
      </c>
      <c r="B24" s="127">
        <v>4</v>
      </c>
      <c r="C24" s="2" t="s">
        <v>2</v>
      </c>
    </row>
    <row r="25" spans="1:8" ht="15" x14ac:dyDescent="0.25">
      <c r="A25" s="169">
        <f t="shared" si="0"/>
        <v>1100</v>
      </c>
      <c r="B25" s="127">
        <v>5</v>
      </c>
      <c r="C25" s="2" t="s">
        <v>272</v>
      </c>
    </row>
    <row r="26" spans="1:8" ht="15" x14ac:dyDescent="0.25">
      <c r="A26" s="169">
        <f t="shared" si="0"/>
        <v>1100</v>
      </c>
      <c r="B26" s="127">
        <v>6</v>
      </c>
      <c r="C26" s="2" t="s">
        <v>273</v>
      </c>
    </row>
    <row r="27" spans="1:8" x14ac:dyDescent="0.2">
      <c r="A27" s="6"/>
      <c r="B27" s="6"/>
    </row>
    <row r="28" spans="1:8" x14ac:dyDescent="0.2">
      <c r="A28" s="171" t="s">
        <v>274</v>
      </c>
      <c r="B28" s="172"/>
    </row>
    <row r="29" spans="1:8" x14ac:dyDescent="0.2">
      <c r="A29" s="171" t="s">
        <v>275</v>
      </c>
      <c r="B29" s="171"/>
      <c r="C29" s="160"/>
      <c r="D29" s="160"/>
      <c r="E29" s="160"/>
      <c r="F29" s="160"/>
      <c r="G29" s="160"/>
      <c r="H29" s="160"/>
    </row>
    <row r="30" spans="1:8" x14ac:dyDescent="0.2">
      <c r="A30" s="172"/>
      <c r="B30" s="172"/>
    </row>
    <row r="31" spans="1:8" x14ac:dyDescent="0.2">
      <c r="A31" s="6" t="s">
        <v>252</v>
      </c>
      <c r="B31" s="6" t="s">
        <v>253</v>
      </c>
      <c r="C31" s="160"/>
    </row>
    <row r="32" spans="1:8" x14ac:dyDescent="0.2">
      <c r="A32" s="161" t="s">
        <v>254</v>
      </c>
      <c r="B32" s="161" t="s">
        <v>255</v>
      </c>
      <c r="C32" s="127" t="s">
        <v>276</v>
      </c>
      <c r="D32" s="5" t="s">
        <v>257</v>
      </c>
    </row>
    <row r="33" spans="1:4" x14ac:dyDescent="0.2">
      <c r="A33" s="160"/>
      <c r="B33" s="160"/>
      <c r="C33" s="160"/>
    </row>
    <row r="34" spans="1:4" ht="15.75" x14ac:dyDescent="0.25">
      <c r="A34" s="8">
        <f>$A$5</f>
        <v>1000</v>
      </c>
      <c r="B34" s="8"/>
      <c r="C34" s="163" t="s">
        <v>258</v>
      </c>
    </row>
    <row r="35" spans="1:4" ht="15.75" x14ac:dyDescent="0.25">
      <c r="A35" s="127">
        <f>$A$6</f>
        <v>1100</v>
      </c>
      <c r="B35" s="127"/>
      <c r="C35" s="166" t="s">
        <v>13</v>
      </c>
    </row>
    <row r="36" spans="1:4" ht="14.25" x14ac:dyDescent="0.2">
      <c r="A36" s="127">
        <f t="shared" ref="A36:A41" si="1">$A$6</f>
        <v>1100</v>
      </c>
      <c r="B36" s="6">
        <f t="shared" ref="B36:B41" si="2">B21</f>
        <v>1</v>
      </c>
      <c r="C36" s="2" t="s">
        <v>269</v>
      </c>
      <c r="D36" s="5" t="s">
        <v>260</v>
      </c>
    </row>
    <row r="37" spans="1:4" ht="14.25" x14ac:dyDescent="0.2">
      <c r="A37" s="127">
        <f t="shared" si="1"/>
        <v>1100</v>
      </c>
      <c r="B37" s="6">
        <f t="shared" si="2"/>
        <v>2</v>
      </c>
      <c r="C37" s="2" t="s">
        <v>270</v>
      </c>
      <c r="D37" s="5" t="s">
        <v>260</v>
      </c>
    </row>
    <row r="38" spans="1:4" ht="14.25" x14ac:dyDescent="0.2">
      <c r="A38" s="127">
        <f t="shared" si="1"/>
        <v>1100</v>
      </c>
      <c r="B38" s="6">
        <f t="shared" si="2"/>
        <v>3</v>
      </c>
      <c r="C38" s="2" t="s">
        <v>271</v>
      </c>
      <c r="D38" s="5" t="s">
        <v>260</v>
      </c>
    </row>
    <row r="39" spans="1:4" ht="14.25" x14ac:dyDescent="0.2">
      <c r="A39" s="127">
        <f t="shared" si="1"/>
        <v>1100</v>
      </c>
      <c r="B39" s="6">
        <f t="shared" si="2"/>
        <v>4</v>
      </c>
      <c r="C39" s="2" t="s">
        <v>2</v>
      </c>
      <c r="D39" s="5" t="s">
        <v>260</v>
      </c>
    </row>
    <row r="40" spans="1:4" ht="14.25" x14ac:dyDescent="0.2">
      <c r="A40" s="127">
        <f t="shared" si="1"/>
        <v>1100</v>
      </c>
      <c r="B40" s="6">
        <f t="shared" si="2"/>
        <v>5</v>
      </c>
      <c r="C40" s="2" t="s">
        <v>272</v>
      </c>
      <c r="D40" s="5" t="s">
        <v>260</v>
      </c>
    </row>
    <row r="41" spans="1:4" ht="14.25" x14ac:dyDescent="0.2">
      <c r="A41" s="127">
        <f t="shared" si="1"/>
        <v>1100</v>
      </c>
      <c r="B41" s="6">
        <f t="shared" si="2"/>
        <v>6</v>
      </c>
      <c r="C41" s="2" t="s">
        <v>273</v>
      </c>
      <c r="D41" s="5" t="s">
        <v>260</v>
      </c>
    </row>
    <row r="42" spans="1:4" ht="15.75" x14ac:dyDescent="0.25">
      <c r="A42" s="173">
        <f>A7</f>
        <v>1200</v>
      </c>
      <c r="B42" s="173"/>
      <c r="C42" s="166" t="s">
        <v>259</v>
      </c>
    </row>
    <row r="43" spans="1:4" ht="15.75" x14ac:dyDescent="0.25">
      <c r="A43" s="173">
        <f>A8</f>
        <v>1201</v>
      </c>
      <c r="B43" s="173"/>
      <c r="C43" s="166" t="s">
        <v>189</v>
      </c>
    </row>
    <row r="44" spans="1:4" ht="14.25" x14ac:dyDescent="0.2">
      <c r="A44" s="173">
        <f>$A$8</f>
        <v>1201</v>
      </c>
      <c r="B44" s="173">
        <v>1</v>
      </c>
      <c r="C44" s="2" t="s">
        <v>277</v>
      </c>
      <c r="D44" s="5" t="s">
        <v>260</v>
      </c>
    </row>
    <row r="45" spans="1:4" ht="14.25" x14ac:dyDescent="0.2">
      <c r="A45" s="173">
        <f>$A$8</f>
        <v>1201</v>
      </c>
      <c r="B45" s="173">
        <v>2</v>
      </c>
      <c r="C45" s="2" t="s">
        <v>272</v>
      </c>
      <c r="D45" s="5" t="s">
        <v>260</v>
      </c>
    </row>
    <row r="46" spans="1:4" ht="15.75" x14ac:dyDescent="0.25">
      <c r="A46" s="8">
        <f>$A$9</f>
        <v>1202</v>
      </c>
      <c r="B46" s="8"/>
      <c r="C46" s="163" t="s">
        <v>190</v>
      </c>
    </row>
    <row r="47" spans="1:4" ht="14.25" x14ac:dyDescent="0.2">
      <c r="A47" s="8">
        <f>$A$9</f>
        <v>1202</v>
      </c>
      <c r="B47" s="8">
        <v>1</v>
      </c>
      <c r="C47" s="2" t="s">
        <v>278</v>
      </c>
      <c r="D47" s="5" t="s">
        <v>260</v>
      </c>
    </row>
    <row r="48" spans="1:4" ht="15.75" x14ac:dyDescent="0.25">
      <c r="A48" s="174">
        <f>$A$10</f>
        <v>1203</v>
      </c>
      <c r="B48" s="174"/>
      <c r="C48" s="163" t="s">
        <v>191</v>
      </c>
    </row>
    <row r="49" spans="1:4" ht="14.25" x14ac:dyDescent="0.2">
      <c r="A49" s="174">
        <f>$A$10</f>
        <v>1203</v>
      </c>
      <c r="B49" s="8">
        <v>1</v>
      </c>
      <c r="C49" s="2" t="s">
        <v>279</v>
      </c>
      <c r="D49" s="5" t="s">
        <v>260</v>
      </c>
    </row>
    <row r="50" spans="1:4" ht="14.25" x14ac:dyDescent="0.2">
      <c r="A50" s="174">
        <f>$A$10</f>
        <v>1203</v>
      </c>
      <c r="B50" s="8">
        <v>2</v>
      </c>
      <c r="C50" s="2" t="s">
        <v>280</v>
      </c>
      <c r="D50" s="5" t="s">
        <v>260</v>
      </c>
    </row>
    <row r="51" spans="1:4" ht="15.75" x14ac:dyDescent="0.25">
      <c r="A51" s="8">
        <f>$A$11</f>
        <v>1204</v>
      </c>
      <c r="B51" s="8"/>
      <c r="C51" s="163" t="s">
        <v>261</v>
      </c>
    </row>
    <row r="52" spans="1:4" ht="14.25" x14ac:dyDescent="0.2">
      <c r="A52" s="8">
        <f>$A$11</f>
        <v>1204</v>
      </c>
      <c r="B52" s="8">
        <v>1</v>
      </c>
      <c r="C52" s="2" t="s">
        <v>281</v>
      </c>
      <c r="D52" s="5" t="s">
        <v>260</v>
      </c>
    </row>
    <row r="53" spans="1:4" ht="15.75" x14ac:dyDescent="0.25">
      <c r="A53" s="8">
        <f>$A$12</f>
        <v>2000</v>
      </c>
      <c r="B53" s="8"/>
      <c r="C53" s="163" t="s">
        <v>262</v>
      </c>
    </row>
    <row r="54" spans="1:4" ht="15.75" x14ac:dyDescent="0.25">
      <c r="A54" s="173">
        <f>$A$13</f>
        <v>2100</v>
      </c>
      <c r="B54" s="173"/>
      <c r="C54" s="166" t="s">
        <v>14</v>
      </c>
    </row>
    <row r="55" spans="1:4" ht="14.25" x14ac:dyDescent="0.2">
      <c r="A55" s="173">
        <f t="shared" ref="A55:A61" si="3">$A$13</f>
        <v>2100</v>
      </c>
      <c r="B55" s="8">
        <v>1</v>
      </c>
      <c r="C55" s="175" t="s">
        <v>3</v>
      </c>
      <c r="D55" s="5" t="s">
        <v>260</v>
      </c>
    </row>
    <row r="56" spans="1:4" ht="14.25" x14ac:dyDescent="0.2">
      <c r="A56" s="173">
        <f t="shared" si="3"/>
        <v>2100</v>
      </c>
      <c r="B56" s="8">
        <v>2</v>
      </c>
      <c r="C56" s="175" t="s">
        <v>282</v>
      </c>
      <c r="D56" s="5" t="s">
        <v>260</v>
      </c>
    </row>
    <row r="57" spans="1:4" ht="14.25" x14ac:dyDescent="0.2">
      <c r="A57" s="173">
        <f t="shared" si="3"/>
        <v>2100</v>
      </c>
      <c r="B57" s="8">
        <v>3</v>
      </c>
      <c r="C57" s="2" t="s">
        <v>283</v>
      </c>
      <c r="D57" s="5" t="s">
        <v>260</v>
      </c>
    </row>
    <row r="58" spans="1:4" ht="14.25" x14ac:dyDescent="0.2">
      <c r="A58" s="173">
        <f t="shared" si="3"/>
        <v>2100</v>
      </c>
      <c r="B58" s="8">
        <v>4</v>
      </c>
      <c r="C58" s="2" t="s">
        <v>284</v>
      </c>
      <c r="D58" s="5" t="s">
        <v>260</v>
      </c>
    </row>
    <row r="59" spans="1:4" ht="14.25" x14ac:dyDescent="0.2">
      <c r="A59" s="173">
        <f t="shared" si="3"/>
        <v>2100</v>
      </c>
      <c r="B59" s="8">
        <v>5</v>
      </c>
      <c r="C59" s="175" t="s">
        <v>285</v>
      </c>
      <c r="D59" s="5" t="s">
        <v>260</v>
      </c>
    </row>
    <row r="60" spans="1:4" ht="14.25" x14ac:dyDescent="0.2">
      <c r="A60" s="173">
        <f t="shared" si="3"/>
        <v>2100</v>
      </c>
      <c r="B60" s="8">
        <v>6</v>
      </c>
      <c r="C60" s="2" t="s">
        <v>110</v>
      </c>
      <c r="D60" s="5" t="s">
        <v>260</v>
      </c>
    </row>
    <row r="61" spans="1:4" ht="14.25" x14ac:dyDescent="0.2">
      <c r="A61" s="173">
        <f t="shared" si="3"/>
        <v>2100</v>
      </c>
      <c r="B61" s="8">
        <v>7</v>
      </c>
      <c r="C61" s="2" t="s">
        <v>286</v>
      </c>
      <c r="D61" s="5" t="s">
        <v>260</v>
      </c>
    </row>
    <row r="62" spans="1:4" ht="15.75" x14ac:dyDescent="0.25">
      <c r="A62" s="8">
        <f>$A$14</f>
        <v>2200</v>
      </c>
      <c r="B62" s="8"/>
      <c r="C62" s="163" t="s">
        <v>263</v>
      </c>
    </row>
    <row r="63" spans="1:4" ht="14.25" x14ac:dyDescent="0.2">
      <c r="A63" s="8">
        <f>$A$14</f>
        <v>2200</v>
      </c>
      <c r="B63" s="8">
        <v>1</v>
      </c>
      <c r="C63" s="175" t="s">
        <v>282</v>
      </c>
      <c r="D63" s="5" t="s">
        <v>260</v>
      </c>
    </row>
    <row r="64" spans="1:4" ht="14.25" x14ac:dyDescent="0.2">
      <c r="A64" s="8">
        <f>$A$14</f>
        <v>2200</v>
      </c>
      <c r="B64" s="8">
        <v>2</v>
      </c>
      <c r="C64" s="175" t="s">
        <v>285</v>
      </c>
      <c r="D64" s="5" t="s">
        <v>260</v>
      </c>
    </row>
    <row r="65" spans="1:4" ht="15.75" x14ac:dyDescent="0.25">
      <c r="A65" s="173">
        <f t="shared" ref="A65:A70" si="4">$A$15</f>
        <v>2300</v>
      </c>
      <c r="B65" s="173"/>
      <c r="C65" s="166" t="s">
        <v>264</v>
      </c>
    </row>
    <row r="66" spans="1:4" ht="14.25" x14ac:dyDescent="0.2">
      <c r="A66" s="173">
        <f t="shared" si="4"/>
        <v>2300</v>
      </c>
      <c r="B66" s="8">
        <v>1</v>
      </c>
      <c r="C66" s="175" t="s">
        <v>287</v>
      </c>
      <c r="D66" s="5" t="s">
        <v>260</v>
      </c>
    </row>
    <row r="67" spans="1:4" ht="14.25" x14ac:dyDescent="0.2">
      <c r="A67" s="173">
        <f t="shared" si="4"/>
        <v>2300</v>
      </c>
      <c r="B67" s="8">
        <v>2</v>
      </c>
      <c r="C67" s="175" t="s">
        <v>288</v>
      </c>
      <c r="D67" s="5" t="s">
        <v>260</v>
      </c>
    </row>
    <row r="68" spans="1:4" ht="14.25" x14ac:dyDescent="0.2">
      <c r="A68" s="173">
        <f t="shared" si="4"/>
        <v>2300</v>
      </c>
      <c r="B68" s="8">
        <v>3</v>
      </c>
      <c r="C68" s="175" t="s">
        <v>289</v>
      </c>
      <c r="D68" s="5" t="s">
        <v>260</v>
      </c>
    </row>
    <row r="69" spans="1:4" ht="14.25" x14ac:dyDescent="0.2">
      <c r="A69" s="173">
        <f t="shared" si="4"/>
        <v>2300</v>
      </c>
      <c r="B69" s="8">
        <v>4</v>
      </c>
      <c r="C69" s="175" t="s">
        <v>290</v>
      </c>
      <c r="D69" s="5" t="s">
        <v>260</v>
      </c>
    </row>
    <row r="70" spans="1:4" ht="14.25" x14ac:dyDescent="0.2">
      <c r="A70" s="173">
        <f t="shared" si="4"/>
        <v>2300</v>
      </c>
      <c r="B70" s="127">
        <v>5</v>
      </c>
      <c r="C70" s="206" t="s">
        <v>440</v>
      </c>
      <c r="D70" s="5" t="s">
        <v>260</v>
      </c>
    </row>
  </sheetData>
  <dataValidations count="1">
    <dataValidation type="list" allowBlank="1" showInputMessage="1" showErrorMessage="1" sqref="D7:D11 D14">
      <formula1>$D$52:$D$53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22</vt:i4>
      </vt:variant>
      <vt:variant>
        <vt:lpstr>Intervalos nomeados</vt:lpstr>
      </vt:variant>
      <vt:variant>
        <vt:i4>3</vt:i4>
      </vt:variant>
    </vt:vector>
  </HeadingPairs>
  <TitlesOfParts>
    <vt:vector size="25" baseType="lpstr">
      <vt:lpstr>Menu</vt:lpstr>
      <vt:lpstr>Cadastro</vt:lpstr>
      <vt:lpstr>NT1 a NT4</vt:lpstr>
      <vt:lpstr>NT5</vt:lpstr>
      <vt:lpstr>NT 6</vt:lpstr>
      <vt:lpstr>NT 7</vt:lpstr>
      <vt:lpstr>NT7 a NT11</vt:lpstr>
      <vt:lpstr>NT 12</vt:lpstr>
      <vt:lpstr>Cadastro PCP</vt:lpstr>
      <vt:lpstr>Cadastro PCR</vt:lpstr>
      <vt:lpstr>Cadastro PCCG</vt:lpstr>
      <vt:lpstr>Parametriza 1</vt:lpstr>
      <vt:lpstr>Parametriza 2</vt:lpstr>
      <vt:lpstr>Parametriza 3 </vt:lpstr>
      <vt:lpstr>Parametriza 4</vt:lpstr>
      <vt:lpstr>Parametriza 5</vt:lpstr>
      <vt:lpstr>Parametriza 6</vt:lpstr>
      <vt:lpstr>Despesas e Receitas Operac.</vt:lpstr>
      <vt:lpstr>Familia e Produtos</vt:lpstr>
      <vt:lpstr>Fluxo de Caixa Projetado</vt:lpstr>
      <vt:lpstr>NCG</vt:lpstr>
      <vt:lpstr>Ponto de Equilibrio</vt:lpstr>
      <vt:lpstr>'Cadastro PCCG'!Area_de_impressao</vt:lpstr>
      <vt:lpstr>'Cadastro PCP'!Area_de_impressao</vt:lpstr>
      <vt:lpstr>'NT 12'!Area_de_impressao</vt:lpstr>
    </vt:vector>
  </TitlesOfParts>
  <Company>Pixel 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ANDRADE</dc:creator>
  <cp:lastModifiedBy>fernando</cp:lastModifiedBy>
  <cp:lastPrinted>2012-10-03T15:23:26Z</cp:lastPrinted>
  <dcterms:created xsi:type="dcterms:W3CDTF">2007-05-25T20:38:07Z</dcterms:created>
  <dcterms:modified xsi:type="dcterms:W3CDTF">2012-10-08T23:47:10Z</dcterms:modified>
</cp:coreProperties>
</file>