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6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8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9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0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1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3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5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16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7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18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19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ropbox\Survey_itemsets\elsarticle\immagini\"/>
    </mc:Choice>
  </mc:AlternateContent>
  <bookViews>
    <workbookView xWindow="9060" yWindow="0" windowWidth="3270" windowHeight="7758" tabRatio="828" firstSheet="3" activeTab="7"/>
  </bookViews>
  <sheets>
    <sheet name="minsup_nuovo_6000" sheetId="20" r:id="rId1"/>
    <sheet name="minsup_nuovo" sheetId="14" r:id="rId2"/>
    <sheet name="communication_cost" sheetId="17" r:id="rId3"/>
    <sheet name="communication_approfondimento" sheetId="18" r:id="rId4"/>
    <sheet name="attributes_10M trans._NEW_6000" sheetId="21" r:id="rId5"/>
    <sheet name="attributes_10M trans._NEW" sheetId="8" r:id="rId6"/>
    <sheet name="df_vs_bf" sheetId="23" r:id="rId7"/>
    <sheet name="scalabilità_nuovo_6000" sheetId="22" r:id="rId8"/>
    <sheet name="scalabilità_nuovo" sheetId="15" r:id="rId9"/>
    <sheet name="pattern_length_NEW" sheetId="9" r:id="rId10"/>
    <sheet name="Delicious_NEW_6000" sheetId="19" r:id="rId11"/>
    <sheet name="Delicious_NEW" sheetId="10" r:id="rId12"/>
    <sheet name="Net" sheetId="16" r:id="rId13"/>
    <sheet name="load_balancing_diversi graf." sheetId="7" r:id="rId14"/>
    <sheet name="minsup" sheetId="3" r:id="rId15"/>
    <sheet name="datasets_info" sheetId="11" r:id="rId16"/>
    <sheet name="dataset_size" sheetId="1" r:id="rId17"/>
    <sheet name="delicious stat" sheetId="12" r:id="rId18"/>
    <sheet name="controllo_aumento_itemsets" sheetId="13" r:id="rId19"/>
    <sheet name="attributes_100M trans." sheetId="2" r:id="rId20"/>
    <sheet name="delicious_old" sheetId="6" r:id="rId21"/>
    <sheet name="minsup_small_old" sheetId="5" r:id="rId22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3" l="1"/>
  <c r="C6" i="23"/>
  <c r="C7" i="23"/>
  <c r="C8" i="23"/>
  <c r="C9" i="23"/>
  <c r="C4" i="23"/>
  <c r="B5" i="23"/>
  <c r="B6" i="23"/>
  <c r="B7" i="23"/>
  <c r="B8" i="23"/>
  <c r="B9" i="23"/>
  <c r="B4" i="23"/>
  <c r="C19" i="23"/>
  <c r="C18" i="23"/>
  <c r="C17" i="23"/>
  <c r="C16" i="23"/>
  <c r="C15" i="23"/>
  <c r="B15" i="23"/>
  <c r="C14" i="23"/>
  <c r="C44" i="8" l="1"/>
  <c r="C43" i="8"/>
  <c r="C42" i="8"/>
  <c r="C41" i="8"/>
  <c r="C40" i="8"/>
  <c r="C39" i="8"/>
  <c r="D41" i="8"/>
  <c r="D40" i="8"/>
  <c r="D39" i="8"/>
  <c r="E40" i="8"/>
  <c r="E39" i="8"/>
  <c r="D11" i="22" l="1"/>
  <c r="B28" i="22"/>
  <c r="H12" i="22"/>
  <c r="C12" i="22"/>
  <c r="B12" i="22"/>
  <c r="A12" i="22"/>
  <c r="G12" i="22" s="1"/>
  <c r="C11" i="22"/>
  <c r="B11" i="22"/>
  <c r="A11" i="22"/>
  <c r="G11" i="22" s="1"/>
  <c r="H11" i="22" s="1"/>
  <c r="A10" i="22"/>
  <c r="G10" i="22" s="1"/>
  <c r="H9" i="22"/>
  <c r="A9" i="22"/>
  <c r="G9" i="22" s="1"/>
  <c r="A8" i="22"/>
  <c r="G8" i="22" s="1"/>
  <c r="J4" i="22"/>
  <c r="D22" i="21"/>
  <c r="E39" i="20"/>
  <c r="F38" i="20"/>
  <c r="D24" i="21"/>
  <c r="D25" i="21"/>
  <c r="D26" i="21"/>
  <c r="E78" i="20"/>
  <c r="E83" i="20"/>
  <c r="D83" i="20" l="1"/>
  <c r="B83" i="20"/>
  <c r="E82" i="20"/>
  <c r="D82" i="20"/>
  <c r="B82" i="20"/>
  <c r="D81" i="20"/>
  <c r="B81" i="20"/>
  <c r="E80" i="20"/>
  <c r="D80" i="20"/>
  <c r="B80" i="20"/>
  <c r="B47" i="21"/>
  <c r="E79" i="20"/>
  <c r="B38" i="21"/>
  <c r="E36" i="20"/>
  <c r="E77" i="20" l="1"/>
  <c r="E75" i="20"/>
  <c r="E1" i="21"/>
  <c r="B50" i="21"/>
  <c r="M49" i="21"/>
  <c r="G49" i="21"/>
  <c r="C49" i="21"/>
  <c r="B49" i="21"/>
  <c r="H48" i="21"/>
  <c r="G48" i="21"/>
  <c r="E48" i="21"/>
  <c r="C48" i="21"/>
  <c r="H47" i="21"/>
  <c r="G47" i="21"/>
  <c r="E47" i="21"/>
  <c r="C47" i="21"/>
  <c r="M40" i="21"/>
  <c r="L40" i="21"/>
  <c r="G40" i="21"/>
  <c r="C40" i="21"/>
  <c r="B40" i="21"/>
  <c r="M39" i="21"/>
  <c r="L39" i="21"/>
  <c r="G39" i="21"/>
  <c r="C39" i="21"/>
  <c r="M38" i="21"/>
  <c r="L38" i="21"/>
  <c r="H38" i="21"/>
  <c r="G38" i="21"/>
  <c r="C38" i="21"/>
  <c r="H34" i="21"/>
  <c r="E22" i="21"/>
  <c r="K20" i="21"/>
  <c r="E37" i="20" l="1"/>
  <c r="E35" i="20" l="1"/>
  <c r="B87" i="20"/>
  <c r="B86" i="20"/>
  <c r="D79" i="20"/>
  <c r="B79" i="20"/>
  <c r="B78" i="20"/>
  <c r="B77" i="20"/>
  <c r="B76" i="20"/>
  <c r="B75" i="20"/>
  <c r="F40" i="20"/>
  <c r="B40" i="20"/>
  <c r="F39" i="20"/>
  <c r="D39" i="20"/>
  <c r="B39" i="20"/>
  <c r="D38" i="20"/>
  <c r="B38" i="20"/>
  <c r="F37" i="20"/>
  <c r="B37" i="20"/>
  <c r="B35" i="20"/>
  <c r="B34" i="20"/>
  <c r="B33" i="20"/>
  <c r="B32" i="20"/>
  <c r="B31" i="20"/>
  <c r="B30" i="20"/>
  <c r="B29" i="20"/>
  <c r="B28" i="20"/>
  <c r="B27" i="20"/>
  <c r="C16" i="20"/>
  <c r="C15" i="20"/>
  <c r="D14" i="20"/>
  <c r="C14" i="20"/>
  <c r="D13" i="20"/>
  <c r="D12" i="20"/>
  <c r="D11" i="20"/>
  <c r="D10" i="20"/>
  <c r="D38" i="19"/>
  <c r="D37" i="19"/>
  <c r="D20" i="19"/>
  <c r="D19" i="19"/>
  <c r="W12" i="19"/>
  <c r="W11" i="19"/>
  <c r="H60" i="8" l="1"/>
  <c r="D38" i="10" l="1"/>
  <c r="D37" i="10"/>
  <c r="D20" i="10" l="1"/>
  <c r="D19" i="10"/>
  <c r="E74" i="8" l="1"/>
  <c r="E73" i="8"/>
  <c r="M75" i="8" l="1"/>
  <c r="L66" i="8" l="1"/>
  <c r="M66" i="8" l="1"/>
  <c r="B28" i="15" l="1"/>
  <c r="B12" i="15"/>
  <c r="H12" i="15"/>
  <c r="H9" i="15"/>
  <c r="H11" i="15"/>
  <c r="E22" i="8"/>
  <c r="M65" i="8"/>
  <c r="L65" i="8"/>
  <c r="L64" i="8"/>
  <c r="G73" i="8"/>
  <c r="M64" i="8"/>
  <c r="G75" i="8"/>
  <c r="G74" i="8"/>
  <c r="H74" i="8" l="1"/>
  <c r="H73" i="8"/>
  <c r="B75" i="8" l="1"/>
  <c r="B76" i="8"/>
  <c r="H64" i="8" l="1"/>
  <c r="G64" i="8"/>
  <c r="G66" i="8"/>
  <c r="G65" i="8"/>
  <c r="B74" i="8" l="1"/>
  <c r="C74" i="8" l="1"/>
  <c r="C75" i="8" l="1"/>
  <c r="C73" i="8" l="1"/>
  <c r="B73" i="8"/>
  <c r="B64" i="8" l="1"/>
  <c r="B65" i="8"/>
  <c r="B66" i="8"/>
  <c r="C66" i="8" l="1"/>
  <c r="C64" i="8"/>
  <c r="C65" i="8"/>
  <c r="U137" i="18" l="1"/>
  <c r="W137" i="18" s="1"/>
  <c r="S137" i="18"/>
  <c r="U136" i="18"/>
  <c r="S136" i="18"/>
  <c r="T137" i="18" s="1"/>
  <c r="N136" i="18"/>
  <c r="U135" i="18"/>
  <c r="V136" i="18" s="1"/>
  <c r="S135" i="18"/>
  <c r="L135" i="18"/>
  <c r="J135" i="18"/>
  <c r="N135" i="18" s="1"/>
  <c r="U134" i="18"/>
  <c r="W134" i="18" s="1"/>
  <c r="S134" i="18"/>
  <c r="L134" i="18"/>
  <c r="M135" i="18" s="1"/>
  <c r="J134" i="18"/>
  <c r="K135" i="18" s="1"/>
  <c r="U133" i="18"/>
  <c r="S133" i="18"/>
  <c r="T134" i="18" s="1"/>
  <c r="L133" i="18"/>
  <c r="M134" i="18" s="1"/>
  <c r="J133" i="18"/>
  <c r="K134" i="18" s="1"/>
  <c r="U132" i="18"/>
  <c r="S132" i="18"/>
  <c r="L132" i="18"/>
  <c r="M133" i="18" s="1"/>
  <c r="J132" i="18"/>
  <c r="N132" i="18" s="1"/>
  <c r="U131" i="18"/>
  <c r="S131" i="18"/>
  <c r="L131" i="18"/>
  <c r="M132" i="18" s="1"/>
  <c r="J131" i="18"/>
  <c r="U130" i="18"/>
  <c r="S130" i="18"/>
  <c r="L130" i="18"/>
  <c r="M131" i="18" s="1"/>
  <c r="J130" i="18"/>
  <c r="U129" i="18"/>
  <c r="V129" i="18" s="1"/>
  <c r="S129" i="18"/>
  <c r="T130" i="18" s="1"/>
  <c r="L129" i="18"/>
  <c r="M130" i="18" s="1"/>
  <c r="J129" i="18"/>
  <c r="K130" i="18" s="1"/>
  <c r="U128" i="18"/>
  <c r="S128" i="18"/>
  <c r="W128" i="18" s="1"/>
  <c r="L128" i="18"/>
  <c r="J128" i="18"/>
  <c r="N128" i="18" s="1"/>
  <c r="U127" i="18"/>
  <c r="S127" i="18"/>
  <c r="L127" i="18"/>
  <c r="M128" i="18" s="1"/>
  <c r="J127" i="18"/>
  <c r="N127" i="18" s="1"/>
  <c r="F122" i="18"/>
  <c r="D121" i="18"/>
  <c r="B121" i="18"/>
  <c r="D120" i="18"/>
  <c r="F120" i="18" s="1"/>
  <c r="B120" i="18"/>
  <c r="D119" i="18"/>
  <c r="B119" i="18"/>
  <c r="C120" i="18" s="1"/>
  <c r="D118" i="18"/>
  <c r="F118" i="18" s="1"/>
  <c r="B118" i="18"/>
  <c r="C119" i="18" s="1"/>
  <c r="D117" i="18"/>
  <c r="B117" i="18"/>
  <c r="C118" i="18" s="1"/>
  <c r="V133" i="18" l="1"/>
  <c r="V131" i="18"/>
  <c r="V128" i="18"/>
  <c r="W127" i="18"/>
  <c r="T136" i="18"/>
  <c r="T133" i="18"/>
  <c r="W133" i="18"/>
  <c r="W129" i="18"/>
  <c r="T128" i="18"/>
  <c r="T131" i="18"/>
  <c r="V132" i="18"/>
  <c r="V135" i="18"/>
  <c r="V137" i="18"/>
  <c r="T129" i="18"/>
  <c r="W130" i="18"/>
  <c r="W132" i="18"/>
  <c r="T132" i="18"/>
  <c r="N129" i="18"/>
  <c r="M129" i="18"/>
  <c r="M136" i="18" s="1"/>
  <c r="M137" i="18" s="1"/>
  <c r="N133" i="18"/>
  <c r="N131" i="18"/>
  <c r="K133" i="18"/>
  <c r="K131" i="18"/>
  <c r="E118" i="18"/>
  <c r="F121" i="18"/>
  <c r="E120" i="18"/>
  <c r="F117" i="18"/>
  <c r="E119" i="18"/>
  <c r="C121" i="18"/>
  <c r="C122" i="18" s="1"/>
  <c r="C123" i="18" s="1"/>
  <c r="W131" i="18"/>
  <c r="W135" i="18"/>
  <c r="W136" i="18"/>
  <c r="F119" i="18"/>
  <c r="N130" i="18"/>
  <c r="N134" i="18"/>
  <c r="E121" i="18"/>
  <c r="K128" i="18"/>
  <c r="K132" i="18"/>
  <c r="K129" i="18"/>
  <c r="V130" i="18"/>
  <c r="V134" i="18"/>
  <c r="T135" i="18"/>
  <c r="AC17" i="17"/>
  <c r="AC18" i="17"/>
  <c r="AC19" i="17"/>
  <c r="AC20" i="17"/>
  <c r="AC21" i="17"/>
  <c r="AC22" i="17"/>
  <c r="AC23" i="17"/>
  <c r="AC24" i="17"/>
  <c r="AC25" i="17"/>
  <c r="AC26" i="17"/>
  <c r="AC27" i="17"/>
  <c r="AC16" i="17"/>
  <c r="AD20" i="17"/>
  <c r="AD24" i="17"/>
  <c r="AD18" i="17"/>
  <c r="AD26" i="17"/>
  <c r="AD28" i="17" s="1"/>
  <c r="AA43" i="17"/>
  <c r="AA103" i="17"/>
  <c r="AA109" i="17"/>
  <c r="AC164" i="17"/>
  <c r="AA166" i="17"/>
  <c r="AA177" i="17"/>
  <c r="AA89" i="17"/>
  <c r="AC158" i="17"/>
  <c r="AA144" i="17"/>
  <c r="AA142" i="17"/>
  <c r="AC128" i="17"/>
  <c r="AC124" i="17"/>
  <c r="AA118" i="17"/>
  <c r="AC104" i="17"/>
  <c r="AC102" i="17"/>
  <c r="AA102" i="17"/>
  <c r="AC101" i="17"/>
  <c r="AA100" i="17"/>
  <c r="AC88" i="17"/>
  <c r="AC84" i="17"/>
  <c r="AC82" i="17"/>
  <c r="AA82" i="17"/>
  <c r="AC81" i="17"/>
  <c r="AC80" i="17"/>
  <c r="AA52" i="17"/>
  <c r="AC48" i="17"/>
  <c r="AC46" i="17"/>
  <c r="AA44" i="17"/>
  <c r="AC42" i="17"/>
  <c r="AC41" i="17"/>
  <c r="AA41" i="17"/>
  <c r="AD27" i="17"/>
  <c r="AD22" i="17"/>
  <c r="AA22" i="17"/>
  <c r="AA20" i="17"/>
  <c r="AD19" i="17"/>
  <c r="AC108" i="17"/>
  <c r="AC100" i="17"/>
  <c r="AA77" i="17"/>
  <c r="AC76" i="17"/>
  <c r="AC50" i="17"/>
  <c r="AC176" i="17"/>
  <c r="AC177" i="17"/>
  <c r="AC178" i="17"/>
  <c r="AC180" i="17"/>
  <c r="AA176" i="17"/>
  <c r="AA178" i="17"/>
  <c r="AA179" i="17"/>
  <c r="AA180" i="17"/>
  <c r="AA182" i="17"/>
  <c r="AC174" i="17"/>
  <c r="AA174" i="17"/>
  <c r="AC159" i="17"/>
  <c r="AC161" i="17"/>
  <c r="AC165" i="17"/>
  <c r="AC166" i="17"/>
  <c r="AA159" i="17"/>
  <c r="AA160" i="17"/>
  <c r="AA161" i="17"/>
  <c r="AA163" i="17"/>
  <c r="AA158" i="17"/>
  <c r="AC137" i="17"/>
  <c r="AC138" i="17"/>
  <c r="AC139" i="17"/>
  <c r="AC140" i="17"/>
  <c r="AC141" i="17"/>
  <c r="AC142" i="17"/>
  <c r="AD142" i="17" s="1"/>
  <c r="AC143" i="17"/>
  <c r="AC144" i="17"/>
  <c r="AC145" i="17"/>
  <c r="AC136" i="17"/>
  <c r="AA137" i="17"/>
  <c r="AA139" i="17"/>
  <c r="AA141" i="17"/>
  <c r="AA143" i="17"/>
  <c r="AA145" i="17"/>
  <c r="AC119" i="17"/>
  <c r="AC121" i="17"/>
  <c r="AC123" i="17"/>
  <c r="AC125" i="17"/>
  <c r="AC127" i="17"/>
  <c r="AA119" i="17"/>
  <c r="AA120" i="17"/>
  <c r="AA121" i="17"/>
  <c r="AA122" i="17"/>
  <c r="AA123" i="17"/>
  <c r="AA124" i="17"/>
  <c r="AA125" i="17"/>
  <c r="AA126" i="17"/>
  <c r="AA127" i="17"/>
  <c r="AA128" i="17"/>
  <c r="AC103" i="17"/>
  <c r="AC105" i="17"/>
  <c r="AC107" i="17"/>
  <c r="AC109" i="17"/>
  <c r="AC99" i="17"/>
  <c r="AA110" i="17"/>
  <c r="AA99" i="17"/>
  <c r="AC87" i="17"/>
  <c r="AC89" i="17"/>
  <c r="AA88" i="17"/>
  <c r="AC85" i="17"/>
  <c r="AC83" i="17"/>
  <c r="AC79" i="17"/>
  <c r="AC77" i="17"/>
  <c r="AC74" i="17"/>
  <c r="AA84" i="17"/>
  <c r="AC51" i="17"/>
  <c r="AC47" i="17"/>
  <c r="AC45" i="17"/>
  <c r="AC43" i="17"/>
  <c r="AA46" i="17"/>
  <c r="AD25" i="17"/>
  <c r="AD23" i="17"/>
  <c r="AD21" i="17"/>
  <c r="AD17" i="17"/>
  <c r="AD16" i="17"/>
  <c r="AA18" i="17"/>
  <c r="AA19" i="17"/>
  <c r="AA21" i="17"/>
  <c r="AA23" i="17"/>
  <c r="AA26" i="17"/>
  <c r="AA27" i="17"/>
  <c r="AA16" i="17"/>
  <c r="Z182" i="17"/>
  <c r="Z181" i="17"/>
  <c r="Z180" i="17"/>
  <c r="Z179" i="17"/>
  <c r="Z177" i="17"/>
  <c r="Z174" i="17"/>
  <c r="Z166" i="17"/>
  <c r="Z178" i="17" s="1"/>
  <c r="Z165" i="17"/>
  <c r="Z164" i="17"/>
  <c r="Z176" i="17" s="1"/>
  <c r="Z163" i="17"/>
  <c r="Z175" i="17" s="1"/>
  <c r="Z162" i="17"/>
  <c r="Z161" i="17"/>
  <c r="Z160" i="17"/>
  <c r="Z159" i="17"/>
  <c r="Z158" i="17"/>
  <c r="W89" i="18"/>
  <c r="N89" i="18"/>
  <c r="F79" i="18"/>
  <c r="W99" i="18"/>
  <c r="W98" i="18"/>
  <c r="W97" i="18"/>
  <c r="W96" i="18"/>
  <c r="W95" i="18"/>
  <c r="W94" i="18"/>
  <c r="W93" i="18"/>
  <c r="W92" i="18"/>
  <c r="W91" i="18"/>
  <c r="W90" i="18"/>
  <c r="N94" i="18"/>
  <c r="N95" i="18"/>
  <c r="N96" i="18"/>
  <c r="N97" i="18"/>
  <c r="N98" i="18"/>
  <c r="N93" i="18"/>
  <c r="N92" i="18"/>
  <c r="N91" i="18"/>
  <c r="N90" i="18"/>
  <c r="F84" i="18"/>
  <c r="F83" i="18"/>
  <c r="F82" i="18"/>
  <c r="F81" i="18"/>
  <c r="F80" i="18"/>
  <c r="C31" i="18"/>
  <c r="E31" i="18"/>
  <c r="G30" i="18"/>
  <c r="G29" i="18"/>
  <c r="G28" i="18"/>
  <c r="G27" i="18"/>
  <c r="Y21" i="18"/>
  <c r="Y20" i="18"/>
  <c r="Y19" i="18"/>
  <c r="Y18" i="18"/>
  <c r="Y17" i="18"/>
  <c r="Y16" i="18"/>
  <c r="Y15" i="18"/>
  <c r="Y14" i="18"/>
  <c r="Q17" i="18"/>
  <c r="Q18" i="18"/>
  <c r="Q19" i="18"/>
  <c r="Q20" i="18"/>
  <c r="Q21" i="18"/>
  <c r="Q22" i="18"/>
  <c r="Q23" i="18"/>
  <c r="Q16" i="18"/>
  <c r="Q15" i="18"/>
  <c r="Q14" i="18"/>
  <c r="G8" i="18"/>
  <c r="G9" i="18"/>
  <c r="G7" i="18"/>
  <c r="V138" i="18" l="1"/>
  <c r="V139" i="18" s="1"/>
  <c r="T138" i="18"/>
  <c r="T139" i="18" s="1"/>
  <c r="K136" i="18"/>
  <c r="K137" i="18" s="1"/>
  <c r="K138" i="18" s="1"/>
  <c r="K139" i="18" s="1"/>
  <c r="E122" i="18"/>
  <c r="E123" i="18" s="1"/>
  <c r="C124" i="18" s="1"/>
  <c r="C125" i="18" s="1"/>
  <c r="AD140" i="17"/>
  <c r="AB180" i="17"/>
  <c r="AB121" i="17"/>
  <c r="AD29" i="17"/>
  <c r="AC181" i="17"/>
  <c r="AA87" i="17"/>
  <c r="AB88" i="17" s="1"/>
  <c r="AA181" i="17"/>
  <c r="AB181" i="17" s="1"/>
  <c r="AA47" i="17"/>
  <c r="AB47" i="17" s="1"/>
  <c r="AA24" i="17"/>
  <c r="AB24" i="17" s="1"/>
  <c r="AB161" i="17"/>
  <c r="AA45" i="17"/>
  <c r="AB46" i="17" s="1"/>
  <c r="AD138" i="17"/>
  <c r="AA79" i="17"/>
  <c r="AC175" i="17"/>
  <c r="AD175" i="17" s="1"/>
  <c r="AA85" i="17"/>
  <c r="AA51" i="17"/>
  <c r="AB52" i="17" s="1"/>
  <c r="AA101" i="17"/>
  <c r="AB102" i="17" s="1"/>
  <c r="AB177" i="17"/>
  <c r="AC179" i="17"/>
  <c r="AD180" i="17" s="1"/>
  <c r="AD82" i="17"/>
  <c r="AB123" i="17"/>
  <c r="AD176" i="17"/>
  <c r="AD159" i="17"/>
  <c r="AD51" i="17"/>
  <c r="AD139" i="17"/>
  <c r="AD178" i="17"/>
  <c r="AD105" i="17"/>
  <c r="AB179" i="17"/>
  <c r="AD43" i="17"/>
  <c r="AD83" i="17"/>
  <c r="AD125" i="17"/>
  <c r="AB178" i="17"/>
  <c r="AD89" i="17"/>
  <c r="AB89" i="17"/>
  <c r="AB143" i="17"/>
  <c r="AB128" i="17"/>
  <c r="AB120" i="17"/>
  <c r="AB145" i="17"/>
  <c r="AD81" i="17"/>
  <c r="AB20" i="17"/>
  <c r="AB21" i="17"/>
  <c r="AB22" i="17"/>
  <c r="AB23" i="17"/>
  <c r="AC182" i="17"/>
  <c r="AA25" i="17"/>
  <c r="AB26" i="17" s="1"/>
  <c r="AA17" i="17"/>
  <c r="AB17" i="17" s="1"/>
  <c r="AA48" i="17"/>
  <c r="AC49" i="17"/>
  <c r="AD49" i="17" s="1"/>
  <c r="AC75" i="17"/>
  <c r="AD75" i="17" s="1"/>
  <c r="AB127" i="17"/>
  <c r="AC118" i="17"/>
  <c r="AD119" i="17" s="1"/>
  <c r="AB142" i="17"/>
  <c r="AD124" i="17"/>
  <c r="AB159" i="17"/>
  <c r="AA86" i="17"/>
  <c r="AA140" i="17"/>
  <c r="AB141" i="17" s="1"/>
  <c r="AA165" i="17"/>
  <c r="AB166" i="17" s="1"/>
  <c r="AA50" i="17"/>
  <c r="AA76" i="17"/>
  <c r="AB77" i="17" s="1"/>
  <c r="AA106" i="17"/>
  <c r="AB125" i="17"/>
  <c r="AD128" i="17"/>
  <c r="AD141" i="17"/>
  <c r="AC163" i="17"/>
  <c r="AD164" i="17" s="1"/>
  <c r="AB27" i="17"/>
  <c r="AC122" i="17"/>
  <c r="AD122" i="17" s="1"/>
  <c r="AA108" i="17"/>
  <c r="AB109" i="17" s="1"/>
  <c r="AC120" i="17"/>
  <c r="AD120" i="17" s="1"/>
  <c r="AA42" i="17"/>
  <c r="AB43" i="17" s="1"/>
  <c r="AA78" i="17"/>
  <c r="AA104" i="17"/>
  <c r="AB104" i="17" s="1"/>
  <c r="AD104" i="17"/>
  <c r="AC126" i="17"/>
  <c r="AD127" i="17" s="1"/>
  <c r="AA136" i="17"/>
  <c r="AB136" i="17" s="1"/>
  <c r="AA138" i="17"/>
  <c r="AB138" i="17" s="1"/>
  <c r="AA162" i="17"/>
  <c r="AB162" i="17" s="1"/>
  <c r="AB44" i="17"/>
  <c r="AA80" i="17"/>
  <c r="AB122" i="17"/>
  <c r="AC160" i="17"/>
  <c r="AD161" i="17" s="1"/>
  <c r="AD48" i="17"/>
  <c r="AD77" i="17"/>
  <c r="AD85" i="17"/>
  <c r="AD84" i="17"/>
  <c r="AB85" i="17"/>
  <c r="AD88" i="17"/>
  <c r="AD103" i="17"/>
  <c r="AD102" i="17"/>
  <c r="AD165" i="17"/>
  <c r="AD42" i="17"/>
  <c r="AD47" i="17"/>
  <c r="AD46" i="17"/>
  <c r="AD101" i="17"/>
  <c r="AD100" i="17"/>
  <c r="AD109" i="17"/>
  <c r="AD108" i="17"/>
  <c r="AB19" i="17"/>
  <c r="AA107" i="17"/>
  <c r="AC44" i="17"/>
  <c r="AD45" i="17" s="1"/>
  <c r="AC52" i="17"/>
  <c r="AD52" i="17" s="1"/>
  <c r="AA81" i="17"/>
  <c r="AB82" i="17" s="1"/>
  <c r="AC86" i="17"/>
  <c r="AB144" i="17"/>
  <c r="AD137" i="17"/>
  <c r="AC162" i="17"/>
  <c r="AA175" i="17"/>
  <c r="AB176" i="17" s="1"/>
  <c r="AA49" i="17"/>
  <c r="AA74" i="17"/>
  <c r="AA105" i="17"/>
  <c r="AC106" i="17"/>
  <c r="AD106" i="17" s="1"/>
  <c r="AA164" i="17"/>
  <c r="AB164" i="17" s="1"/>
  <c r="AC78" i="17"/>
  <c r="AD79" i="17" s="1"/>
  <c r="AA75" i="17"/>
  <c r="AA83" i="17"/>
  <c r="AB84" i="17" s="1"/>
  <c r="AD145" i="17"/>
  <c r="AB160" i="17"/>
  <c r="AD177" i="17"/>
  <c r="AB103" i="17"/>
  <c r="AD143" i="17"/>
  <c r="AD166" i="17"/>
  <c r="AB182" i="17"/>
  <c r="AD144" i="17"/>
  <c r="AD136" i="17"/>
  <c r="AB137" i="17"/>
  <c r="AB124" i="17"/>
  <c r="AB126" i="17"/>
  <c r="AB119" i="17"/>
  <c r="AB100" i="17"/>
  <c r="AD80" i="17"/>
  <c r="G31" i="18"/>
  <c r="O34" i="18"/>
  <c r="T100" i="18"/>
  <c r="V100" i="18"/>
  <c r="V98" i="18"/>
  <c r="V99" i="18"/>
  <c r="T98" i="18"/>
  <c r="T99" i="18"/>
  <c r="U98" i="18"/>
  <c r="U99" i="18"/>
  <c r="S98" i="18"/>
  <c r="S99" i="18"/>
  <c r="U97" i="18"/>
  <c r="S97" i="18"/>
  <c r="U96" i="18"/>
  <c r="S96" i="18"/>
  <c r="U95" i="18"/>
  <c r="S95" i="18"/>
  <c r="U94" i="18"/>
  <c r="S94" i="18"/>
  <c r="U93" i="18"/>
  <c r="S93" i="18"/>
  <c r="U92" i="18"/>
  <c r="S92" i="18"/>
  <c r="U91" i="18"/>
  <c r="S91" i="18"/>
  <c r="U90" i="18"/>
  <c r="S90" i="18"/>
  <c r="U89" i="18"/>
  <c r="V90" i="18" s="1"/>
  <c r="S89" i="18"/>
  <c r="O33" i="18"/>
  <c r="M99" i="18"/>
  <c r="K99" i="18"/>
  <c r="K100" i="18" s="1"/>
  <c r="K101" i="18" s="1"/>
  <c r="M98" i="18"/>
  <c r="K98" i="18"/>
  <c r="M93" i="18"/>
  <c r="M94" i="18"/>
  <c r="M95" i="18"/>
  <c r="M96" i="18"/>
  <c r="M97" i="18"/>
  <c r="K93" i="18"/>
  <c r="K94" i="18"/>
  <c r="K95" i="18"/>
  <c r="K96" i="18"/>
  <c r="K97" i="18"/>
  <c r="L93" i="18"/>
  <c r="L94" i="18"/>
  <c r="L95" i="18"/>
  <c r="L96" i="18"/>
  <c r="L97" i="18"/>
  <c r="J97" i="18"/>
  <c r="J96" i="18"/>
  <c r="J93" i="18"/>
  <c r="J94" i="18"/>
  <c r="J95" i="18"/>
  <c r="L92" i="18"/>
  <c r="J92" i="18"/>
  <c r="L91" i="18"/>
  <c r="J91" i="18"/>
  <c r="L90" i="18"/>
  <c r="J90" i="18"/>
  <c r="L89" i="18"/>
  <c r="J89" i="18"/>
  <c r="B83" i="18"/>
  <c r="D83" i="18"/>
  <c r="D82" i="18"/>
  <c r="E83" i="18" s="1"/>
  <c r="B82" i="18"/>
  <c r="C83" i="18" s="1"/>
  <c r="C84" i="18" s="1"/>
  <c r="C85" i="18" s="1"/>
  <c r="D81" i="18"/>
  <c r="B81" i="18"/>
  <c r="C82" i="18" s="1"/>
  <c r="D80" i="18"/>
  <c r="B80" i="18"/>
  <c r="C81" i="18" s="1"/>
  <c r="D79" i="18"/>
  <c r="B79" i="18"/>
  <c r="T140" i="18" l="1"/>
  <c r="T141" i="18" s="1"/>
  <c r="AD182" i="17"/>
  <c r="AB48" i="17"/>
  <c r="AD123" i="17"/>
  <c r="AB108" i="17"/>
  <c r="AD181" i="17"/>
  <c r="AD121" i="17"/>
  <c r="AB163" i="17"/>
  <c r="AB139" i="17"/>
  <c r="AB80" i="17"/>
  <c r="AB79" i="17"/>
  <c r="AB101" i="17"/>
  <c r="AB25" i="17"/>
  <c r="AB51" i="17"/>
  <c r="AB140" i="17"/>
  <c r="AB87" i="17"/>
  <c r="AB45" i="17"/>
  <c r="AD179" i="17"/>
  <c r="AB83" i="17"/>
  <c r="AB86" i="17"/>
  <c r="AB75" i="17"/>
  <c r="AD126" i="17"/>
  <c r="AD50" i="17"/>
  <c r="AD160" i="17"/>
  <c r="AD44" i="17"/>
  <c r="AD76" i="17"/>
  <c r="AB81" i="17"/>
  <c r="AD146" i="17"/>
  <c r="AD147" i="17" s="1"/>
  <c r="AB105" i="17"/>
  <c r="AD107" i="17"/>
  <c r="AD110" i="17" s="1"/>
  <c r="AD111" i="17" s="1"/>
  <c r="AB107" i="17"/>
  <c r="AB50" i="17"/>
  <c r="AB106" i="17"/>
  <c r="AB175" i="17"/>
  <c r="AB183" i="17" s="1"/>
  <c r="AB184" i="17" s="1"/>
  <c r="AB18" i="17"/>
  <c r="AB28" i="17" s="1"/>
  <c r="AB29" i="17" s="1"/>
  <c r="AB30" i="17" s="1"/>
  <c r="AB31" i="17" s="1"/>
  <c r="AB42" i="17"/>
  <c r="AB76" i="17"/>
  <c r="AB78" i="17"/>
  <c r="AB49" i="17"/>
  <c r="AD87" i="17"/>
  <c r="AD86" i="17"/>
  <c r="AB165" i="17"/>
  <c r="AD163" i="17"/>
  <c r="AD162" i="17"/>
  <c r="AD78" i="17"/>
  <c r="AB129" i="17"/>
  <c r="V97" i="18"/>
  <c r="V96" i="18"/>
  <c r="V95" i="18"/>
  <c r="V91" i="18"/>
  <c r="V92" i="18"/>
  <c r="T94" i="18"/>
  <c r="T92" i="18"/>
  <c r="T90" i="18"/>
  <c r="T96" i="18"/>
  <c r="T97" i="18"/>
  <c r="V94" i="18"/>
  <c r="T93" i="18"/>
  <c r="V93" i="18"/>
  <c r="T91" i="18"/>
  <c r="T95" i="18"/>
  <c r="K92" i="18"/>
  <c r="M91" i="18"/>
  <c r="M92" i="18"/>
  <c r="M90" i="18"/>
  <c r="K91" i="18"/>
  <c r="K90" i="18"/>
  <c r="E82" i="18"/>
  <c r="E81" i="18"/>
  <c r="E84" i="18" s="1"/>
  <c r="E85" i="18" s="1"/>
  <c r="C86" i="18" s="1"/>
  <c r="C87" i="18" s="1"/>
  <c r="C80" i="18"/>
  <c r="E80" i="18"/>
  <c r="M35" i="18"/>
  <c r="X60" i="18"/>
  <c r="W59" i="18"/>
  <c r="W60" i="18"/>
  <c r="U59" i="18"/>
  <c r="V60" i="18" s="1"/>
  <c r="U60" i="18"/>
  <c r="W58" i="18"/>
  <c r="X59" i="18" s="1"/>
  <c r="U58" i="18"/>
  <c r="V59" i="18" s="1"/>
  <c r="W57" i="18"/>
  <c r="U57" i="18"/>
  <c r="W56" i="18"/>
  <c r="U56" i="18"/>
  <c r="W55" i="18"/>
  <c r="U55" i="18"/>
  <c r="W54" i="18"/>
  <c r="U54" i="18"/>
  <c r="W53" i="18"/>
  <c r="U53" i="18"/>
  <c r="W52" i="18"/>
  <c r="U52" i="18"/>
  <c r="V53" i="18" s="1"/>
  <c r="W51" i="18"/>
  <c r="U51" i="18"/>
  <c r="O58" i="18"/>
  <c r="P58" i="18" s="1"/>
  <c r="M58" i="18"/>
  <c r="O57" i="18"/>
  <c r="M57" i="18"/>
  <c r="O56" i="18"/>
  <c r="M56" i="18"/>
  <c r="O55" i="18"/>
  <c r="M55" i="18"/>
  <c r="O54" i="18"/>
  <c r="M54" i="18"/>
  <c r="O53" i="18"/>
  <c r="M53" i="18"/>
  <c r="O52" i="18"/>
  <c r="M52" i="18"/>
  <c r="O51" i="18"/>
  <c r="M51" i="18"/>
  <c r="O50" i="18"/>
  <c r="P51" i="18" s="1"/>
  <c r="M50" i="18"/>
  <c r="D49" i="18"/>
  <c r="B49" i="18"/>
  <c r="D48" i="18"/>
  <c r="E48" i="18" s="1"/>
  <c r="B48" i="18"/>
  <c r="C49" i="18" s="1"/>
  <c r="D47" i="18"/>
  <c r="B47" i="18"/>
  <c r="D46" i="18"/>
  <c r="E47" i="18" s="1"/>
  <c r="B46" i="18"/>
  <c r="W21" i="18"/>
  <c r="U21" i="18"/>
  <c r="W20" i="18"/>
  <c r="U20" i="18"/>
  <c r="W19" i="18"/>
  <c r="U19" i="18"/>
  <c r="W18" i="18"/>
  <c r="U18" i="18"/>
  <c r="W17" i="18"/>
  <c r="U17" i="18"/>
  <c r="W16" i="18"/>
  <c r="U16" i="18"/>
  <c r="W15" i="18"/>
  <c r="U15" i="18"/>
  <c r="W14" i="18"/>
  <c r="U14" i="18"/>
  <c r="N18" i="18"/>
  <c r="O22" i="18"/>
  <c r="O15" i="18"/>
  <c r="O16" i="18"/>
  <c r="O17" i="18"/>
  <c r="P18" i="18" s="1"/>
  <c r="O18" i="18"/>
  <c r="O19" i="18"/>
  <c r="P19" i="18" s="1"/>
  <c r="O20" i="18"/>
  <c r="P20" i="18" s="1"/>
  <c r="O21" i="18"/>
  <c r="O14" i="18"/>
  <c r="M22" i="18"/>
  <c r="N22" i="18" s="1"/>
  <c r="M19" i="18"/>
  <c r="M20" i="18"/>
  <c r="N21" i="18" s="1"/>
  <c r="M21" i="18"/>
  <c r="M18" i="18"/>
  <c r="N19" i="18" s="1"/>
  <c r="M17" i="18"/>
  <c r="M16" i="18"/>
  <c r="M15" i="18"/>
  <c r="N16" i="18" s="1"/>
  <c r="M14" i="18"/>
  <c r="E29" i="18"/>
  <c r="F30" i="18" s="1"/>
  <c r="E30" i="18"/>
  <c r="F31" i="18" s="1"/>
  <c r="C29" i="18"/>
  <c r="D30" i="18" s="1"/>
  <c r="C30" i="18"/>
  <c r="D31" i="18" s="1"/>
  <c r="E28" i="18"/>
  <c r="F28" i="18" s="1"/>
  <c r="C28" i="18"/>
  <c r="E27" i="18"/>
  <c r="C27" i="18"/>
  <c r="E26" i="18"/>
  <c r="F27" i="18" s="1"/>
  <c r="C26" i="18"/>
  <c r="D9" i="18"/>
  <c r="D8" i="18"/>
  <c r="D10" i="18" s="1"/>
  <c r="D11" i="18" s="1"/>
  <c r="E9" i="18"/>
  <c r="E8" i="18"/>
  <c r="E7" i="18"/>
  <c r="F8" i="18" s="1"/>
  <c r="C8" i="18"/>
  <c r="C9" i="18"/>
  <c r="C7" i="18"/>
  <c r="AB167" i="17" l="1"/>
  <c r="AB168" i="17" s="1"/>
  <c r="AD183" i="17"/>
  <c r="AD184" i="17" s="1"/>
  <c r="AB185" i="17" s="1"/>
  <c r="AB186" i="17" s="1"/>
  <c r="AD53" i="17"/>
  <c r="AD54" i="17" s="1"/>
  <c r="AD167" i="17"/>
  <c r="AD168" i="17" s="1"/>
  <c r="AD129" i="17"/>
  <c r="AD130" i="17" s="1"/>
  <c r="AB146" i="17"/>
  <c r="AB147" i="17" s="1"/>
  <c r="AB148" i="17" s="1"/>
  <c r="AB149" i="17" s="1"/>
  <c r="AD92" i="17"/>
  <c r="AD93" i="17" s="1"/>
  <c r="AB110" i="17"/>
  <c r="AB111" i="17" s="1"/>
  <c r="AB112" i="17" s="1"/>
  <c r="AB113" i="17" s="1"/>
  <c r="AB92" i="17"/>
  <c r="AB93" i="17" s="1"/>
  <c r="AB53" i="17"/>
  <c r="AB54" i="17" s="1"/>
  <c r="AB55" i="17" s="1"/>
  <c r="AB56" i="17" s="1"/>
  <c r="AB130" i="17"/>
  <c r="V101" i="18"/>
  <c r="T101" i="18"/>
  <c r="P22" i="18"/>
  <c r="E49" i="18"/>
  <c r="E50" i="18" s="1"/>
  <c r="E51" i="18" s="1"/>
  <c r="V18" i="18"/>
  <c r="V19" i="18"/>
  <c r="X53" i="18"/>
  <c r="X57" i="18"/>
  <c r="N17" i="18"/>
  <c r="F9" i="18"/>
  <c r="F10" i="18" s="1"/>
  <c r="F11" i="18" s="1"/>
  <c r="D12" i="18" s="1"/>
  <c r="D13" i="18" s="1"/>
  <c r="D29" i="18"/>
  <c r="N20" i="18"/>
  <c r="P16" i="18"/>
  <c r="X58" i="18"/>
  <c r="X56" i="18"/>
  <c r="X54" i="18"/>
  <c r="V55" i="18"/>
  <c r="V58" i="18"/>
  <c r="X55" i="18"/>
  <c r="V57" i="18"/>
  <c r="V54" i="18"/>
  <c r="X52" i="18"/>
  <c r="V52" i="18"/>
  <c r="V56" i="18"/>
  <c r="P56" i="18"/>
  <c r="P54" i="18"/>
  <c r="P53" i="18"/>
  <c r="N58" i="18"/>
  <c r="N56" i="18"/>
  <c r="N53" i="18"/>
  <c r="N57" i="18"/>
  <c r="N54" i="18"/>
  <c r="P57" i="18"/>
  <c r="P52" i="18"/>
  <c r="N55" i="18"/>
  <c r="N52" i="18"/>
  <c r="P55" i="18"/>
  <c r="N51" i="18"/>
  <c r="P17" i="18"/>
  <c r="D27" i="18"/>
  <c r="D32" i="18" s="1"/>
  <c r="D33" i="18" s="1"/>
  <c r="P21" i="18"/>
  <c r="V15" i="18"/>
  <c r="F29" i="18"/>
  <c r="F32" i="18" s="1"/>
  <c r="F33" i="18" s="1"/>
  <c r="C48" i="18"/>
  <c r="C47" i="18"/>
  <c r="X15" i="18"/>
  <c r="X18" i="18"/>
  <c r="X20" i="18"/>
  <c r="X21" i="18"/>
  <c r="V21" i="18"/>
  <c r="V16" i="18"/>
  <c r="X17" i="18"/>
  <c r="V20" i="18"/>
  <c r="V17" i="18"/>
  <c r="X19" i="18"/>
  <c r="X16" i="18"/>
  <c r="P15" i="18"/>
  <c r="N15" i="18"/>
  <c r="D28" i="18"/>
  <c r="G119" i="17"/>
  <c r="G120" i="17"/>
  <c r="G121" i="17"/>
  <c r="G122" i="17"/>
  <c r="G123" i="17"/>
  <c r="G124" i="17"/>
  <c r="G125" i="17"/>
  <c r="G126" i="17"/>
  <c r="G127" i="17"/>
  <c r="G128" i="17"/>
  <c r="G118" i="17"/>
  <c r="G17" i="17"/>
  <c r="G18" i="17"/>
  <c r="G19" i="17"/>
  <c r="G20" i="17"/>
  <c r="G21" i="17"/>
  <c r="G22" i="17"/>
  <c r="G23" i="17"/>
  <c r="G24" i="17"/>
  <c r="G25" i="17"/>
  <c r="G26" i="17"/>
  <c r="G27" i="17"/>
  <c r="AB131" i="17" l="1"/>
  <c r="AB132" i="17" s="1"/>
  <c r="AB169" i="17"/>
  <c r="AB170" i="17" s="1"/>
  <c r="AB94" i="17"/>
  <c r="AB95" i="17" s="1"/>
  <c r="T102" i="18"/>
  <c r="T103" i="18" s="1"/>
  <c r="C50" i="18"/>
  <c r="C51" i="18" s="1"/>
  <c r="C52" i="18" s="1"/>
  <c r="C53" i="18" s="1"/>
  <c r="X61" i="18"/>
  <c r="X62" i="18" s="1"/>
  <c r="V61" i="18"/>
  <c r="V62" i="18" s="1"/>
  <c r="N23" i="18"/>
  <c r="N24" i="18" s="1"/>
  <c r="P59" i="18"/>
  <c r="P60" i="18" s="1"/>
  <c r="N59" i="18"/>
  <c r="N60" i="18" s="1"/>
  <c r="P23" i="18"/>
  <c r="P24" i="18" s="1"/>
  <c r="N25" i="18" s="1"/>
  <c r="N26" i="18" s="1"/>
  <c r="D34" i="18"/>
  <c r="D35" i="18" s="1"/>
  <c r="L32" i="18" s="1"/>
  <c r="V23" i="18"/>
  <c r="X23" i="18"/>
  <c r="X24" i="18" s="1"/>
  <c r="V24" i="18"/>
  <c r="L33" i="18" l="1"/>
  <c r="V63" i="18"/>
  <c r="V64" i="18" s="1"/>
  <c r="N61" i="18"/>
  <c r="N62" i="18" s="1"/>
  <c r="N33" i="18" s="1"/>
  <c r="V25" i="18"/>
  <c r="V26" i="18" s="1"/>
  <c r="L34" i="18" s="1"/>
  <c r="B75" i="14"/>
  <c r="E81" i="14"/>
  <c r="D196" i="7"/>
  <c r="C196" i="7"/>
  <c r="D195" i="7"/>
  <c r="C195" i="7"/>
  <c r="B86" i="14"/>
  <c r="B82" i="14"/>
  <c r="B81" i="14"/>
  <c r="B80" i="14"/>
  <c r="B79" i="14"/>
  <c r="B78" i="14"/>
  <c r="B77" i="14"/>
  <c r="B76" i="14"/>
  <c r="B74" i="14"/>
  <c r="E76" i="14"/>
  <c r="E77" i="14"/>
  <c r="E78" i="14"/>
  <c r="E79" i="14"/>
  <c r="D80" i="14"/>
  <c r="E80" i="14"/>
  <c r="D81" i="14"/>
  <c r="D82" i="14"/>
  <c r="D13" i="14"/>
  <c r="D11" i="14"/>
  <c r="B182" i="7"/>
  <c r="C182" i="7"/>
  <c r="B183" i="7"/>
  <c r="C183" i="7"/>
  <c r="B184" i="7"/>
  <c r="C184" i="7"/>
  <c r="B185" i="7"/>
  <c r="C185" i="7"/>
  <c r="B186" i="7"/>
  <c r="C186" i="7"/>
  <c r="B181" i="7"/>
  <c r="C181" i="7"/>
  <c r="K20" i="8"/>
  <c r="E9" i="16"/>
  <c r="A9" i="15"/>
  <c r="A10" i="15"/>
  <c r="A11" i="15"/>
  <c r="A12" i="15"/>
  <c r="A8" i="15"/>
  <c r="A7" i="16"/>
  <c r="D38" i="14"/>
  <c r="C12" i="15"/>
  <c r="C11" i="15"/>
  <c r="B11" i="15"/>
  <c r="J4" i="15"/>
  <c r="G12" i="15"/>
  <c r="G11" i="15"/>
  <c r="G10" i="15"/>
  <c r="G9" i="15"/>
  <c r="G8" i="15"/>
  <c r="E38" i="14"/>
  <c r="B39" i="14"/>
  <c r="F39" i="14"/>
  <c r="F38" i="14"/>
  <c r="B38" i="14"/>
  <c r="F37" i="14"/>
  <c r="F36" i="14"/>
  <c r="B28" i="14"/>
  <c r="B29" i="14"/>
  <c r="B30" i="14"/>
  <c r="B31" i="14"/>
  <c r="B32" i="14"/>
  <c r="B33" i="14"/>
  <c r="B34" i="14"/>
  <c r="B35" i="14"/>
  <c r="B36" i="14"/>
  <c r="B37" i="14"/>
  <c r="B27" i="14"/>
  <c r="E37" i="14"/>
  <c r="D37" i="14"/>
  <c r="D36" i="14"/>
  <c r="E36" i="14"/>
  <c r="D14" i="14"/>
  <c r="D12" i="14"/>
  <c r="D10" i="14"/>
  <c r="C16" i="14"/>
  <c r="C14" i="14"/>
  <c r="C15" i="14"/>
  <c r="W12" i="10"/>
  <c r="W11" i="10"/>
  <c r="V10" i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5" i="3"/>
  <c r="A24" i="3"/>
  <c r="A25" i="3"/>
  <c r="A26" i="3"/>
  <c r="A27" i="3"/>
  <c r="A28" i="3"/>
  <c r="A29" i="3"/>
  <c r="A30" i="3"/>
  <c r="A31" i="3"/>
  <c r="A23" i="3"/>
  <c r="H4" i="12"/>
  <c r="H5" i="12"/>
  <c r="H3" i="12"/>
  <c r="H2" i="12"/>
  <c r="M37" i="11"/>
  <c r="G163" i="7"/>
  <c r="G164" i="7"/>
  <c r="G165" i="7"/>
  <c r="G166" i="7"/>
  <c r="G167" i="7"/>
  <c r="G168" i="7"/>
  <c r="G169" i="7"/>
  <c r="G170" i="7"/>
  <c r="G171" i="7"/>
  <c r="G172" i="7"/>
  <c r="G162" i="7"/>
  <c r="F163" i="7"/>
  <c r="F164" i="7"/>
  <c r="F165" i="7"/>
  <c r="F166" i="7"/>
  <c r="F168" i="7"/>
  <c r="F169" i="7"/>
  <c r="F170" i="7"/>
  <c r="F171" i="7"/>
  <c r="F172" i="7"/>
  <c r="F162" i="7"/>
  <c r="E163" i="7"/>
  <c r="E164" i="7"/>
  <c r="E165" i="7"/>
  <c r="E166" i="7"/>
  <c r="E168" i="7"/>
  <c r="E169" i="7"/>
  <c r="E170" i="7"/>
  <c r="E171" i="7"/>
  <c r="E172" i="7"/>
  <c r="E162" i="7"/>
  <c r="D163" i="7"/>
  <c r="D164" i="7"/>
  <c r="D165" i="7"/>
  <c r="D166" i="7"/>
  <c r="D168" i="7"/>
  <c r="D169" i="7"/>
  <c r="D170" i="7"/>
  <c r="D171" i="7"/>
  <c r="D172" i="7"/>
  <c r="D162" i="7"/>
  <c r="C163" i="7"/>
  <c r="C164" i="7"/>
  <c r="C165" i="7"/>
  <c r="C166" i="7"/>
  <c r="C168" i="7"/>
  <c r="C169" i="7"/>
  <c r="C170" i="7"/>
  <c r="C171" i="7"/>
  <c r="C172" i="7"/>
  <c r="C162" i="7"/>
  <c r="B163" i="7"/>
  <c r="B164" i="7"/>
  <c r="B165" i="7"/>
  <c r="B166" i="7"/>
  <c r="B168" i="7"/>
  <c r="B169" i="7"/>
  <c r="B170" i="7"/>
  <c r="B171" i="7"/>
  <c r="B172" i="7"/>
  <c r="B162" i="7"/>
  <c r="C38" i="5"/>
  <c r="C66" i="7"/>
  <c r="B66" i="7"/>
  <c r="C65" i="7"/>
  <c r="B65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46" i="5"/>
  <c r="B46" i="5"/>
  <c r="D7" i="5"/>
  <c r="J25" i="5"/>
  <c r="J44" i="5"/>
  <c r="L35" i="18" l="1"/>
  <c r="N34" i="18"/>
  <c r="N35" i="18" s="1"/>
  <c r="G16" i="17"/>
</calcChain>
</file>

<file path=xl/sharedStrings.xml><?xml version="1.0" encoding="utf-8"?>
<sst xmlns="http://schemas.openxmlformats.org/spreadsheetml/2006/main" count="1222" uniqueCount="384">
  <si>
    <t>mahout</t>
  </si>
  <si>
    <t>spark pfp</t>
  </si>
  <si>
    <t>bigfim p=3</t>
  </si>
  <si>
    <t>100k</t>
  </si>
  <si>
    <t>250k</t>
  </si>
  <si>
    <t>500k</t>
  </si>
  <si>
    <t>1000k</t>
  </si>
  <si>
    <t>2000k</t>
  </si>
  <si>
    <t>to do</t>
  </si>
  <si>
    <t>p</t>
  </si>
  <si>
    <t>a volte con prefissi p=3 non ne trova abbastanza</t>
  </si>
  <si>
    <t>bigfim p=1/2*</t>
  </si>
  <si>
    <t>*</t>
  </si>
  <si>
    <t>fixed</t>
  </si>
  <si>
    <t>T=10, P=8, I=100k, C=0.75</t>
  </si>
  <si>
    <t>variable</t>
  </si>
  <si>
    <t>number of transactions</t>
  </si>
  <si>
    <t>supporto relativo = 0.001</t>
  </si>
  <si>
    <t>bigfim</t>
  </si>
  <si>
    <t>*10^8</t>
  </si>
  <si>
    <t xml:space="preserve">pattern length
</t>
  </si>
  <si>
    <t>fixed:</t>
  </si>
  <si>
    <t>I100k,C0.75,D100000k</t>
  </si>
  <si>
    <t>change</t>
  </si>
  <si>
    <t>transaction and pattern length</t>
  </si>
  <si>
    <t>t10p8</t>
  </si>
  <si>
    <t>t15 p12</t>
  </si>
  <si>
    <t>t20 p15</t>
  </si>
  <si>
    <t>t25 p20</t>
  </si>
  <si>
    <t>T10P8I100kC0.75D100000k</t>
  </si>
  <si>
    <t>dataset fixed</t>
  </si>
  <si>
    <t>minsup variabile</t>
  </si>
  <si>
    <t>minsup (%)</t>
  </si>
  <si>
    <t>Mahout PFP</t>
  </si>
  <si>
    <t>MLlib PFP</t>
  </si>
  <si>
    <t>BigFIM</t>
  </si>
  <si>
    <t>30 tasks</t>
  </si>
  <si>
    <t>BigFIM (p=1)</t>
  </si>
  <si>
    <t>BigFIM (p=3)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</si>
  <si>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</si>
  <si>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</si>
  <si>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</si>
  <si>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</si>
  <si>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</si>
  <si>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</si>
  <si>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</si>
  <si>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</si>
  <si>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</si>
  <si>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</si>
  <si>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</si>
  <si>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</si>
  <si>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</si>
  <si>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</si>
  <si>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</si>
  <si>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</si>
  <si>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</si>
  <si>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</si>
  <si>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</si>
  <si>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</si>
  <si>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</si>
  <si>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</si>
  <si>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</si>
  <si>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</si>
  <si>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</si>
  <si>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</si>
  <si>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</si>
  <si>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</si>
  <si>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</si>
  <si>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</si>
  <si>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T40P5I100kC0.00D10000k</t>
  </si>
  <si>
    <t>minsup</t>
  </si>
  <si>
    <t>pfp</t>
  </si>
  <si>
    <t>T60P5I100kC0.00D10000k</t>
  </si>
  <si>
    <t>T80P5I100kC0.00D10000k</t>
  </si>
  <si>
    <t>T100P5I100kC0.00D10000k</t>
  </si>
  <si>
    <t>spark</t>
  </si>
  <si>
    <t>scrape of delicious</t>
  </si>
  <si>
    <t>disteclat</t>
  </si>
  <si>
    <t>ucciso dopo 3 giorni</t>
  </si>
  <si>
    <t>DistEclat (p=1)</t>
  </si>
  <si>
    <t>DistEclat (p=3)</t>
  </si>
  <si>
    <t>retails support 37</t>
  </si>
  <si>
    <t>bigfim p=2</t>
  </si>
  <si>
    <t>minsup 100000</t>
  </si>
  <si>
    <t>P5I100kC0.25D10000k</t>
  </si>
  <si>
    <t>t40</t>
  </si>
  <si>
    <t>t50</t>
  </si>
  <si>
    <t>t60</t>
  </si>
  <si>
    <t>t70</t>
  </si>
  <si>
    <t>t80</t>
  </si>
  <si>
    <t>t90</t>
  </si>
  <si>
    <t>t100</t>
  </si>
  <si>
    <t>t=20</t>
  </si>
  <si>
    <t>minsup 25000</t>
  </si>
  <si>
    <t>I=100K</t>
  </si>
  <si>
    <t>c=0.25</t>
  </si>
  <si>
    <t>d=10000k</t>
  </si>
  <si>
    <t>PFP Mahout</t>
  </si>
  <si>
    <t>PFP Spark</t>
  </si>
  <si>
    <t>P=2--&gt;20</t>
  </si>
  <si>
    <t>t=40</t>
  </si>
  <si>
    <t>minsup 40000</t>
  </si>
  <si>
    <t>0.001/10</t>
  </si>
  <si>
    <t>2004_1</t>
  </si>
  <si>
    <t>2004_2</t>
  </si>
  <si>
    <t>2004_3</t>
  </si>
  <si>
    <t>2004_4</t>
  </si>
  <si>
    <t>2005_1</t>
  </si>
  <si>
    <t>2005_2</t>
  </si>
  <si>
    <t>2005_3</t>
  </si>
  <si>
    <t>2005_4</t>
  </si>
  <si>
    <t>2006_1</t>
  </si>
  <si>
    <t>2006_2</t>
  </si>
  <si>
    <t>2006_3</t>
  </si>
  <si>
    <t>2006_4</t>
  </si>
  <si>
    <t>0.001/20</t>
  </si>
  <si>
    <t>frequent itemsets</t>
  </si>
  <si>
    <t>…</t>
  </si>
  <si>
    <t>DistEclat</t>
  </si>
  <si>
    <t>0.001/15</t>
  </si>
  <si>
    <t>Mllib PFP</t>
  </si>
  <si>
    <t>T10P8I100kC0.75D250000k</t>
  </si>
  <si>
    <t>T10P8I100kC0.75D500000k</t>
  </si>
  <si>
    <t>T10P8I100kC0.75D1000000k</t>
  </si>
  <si>
    <t>T10P8I100kC0.75D2000000k</t>
  </si>
  <si>
    <t>T30P5I100kC0.25D10000k</t>
  </si>
  <si>
    <t>T60P5I100kC0.25D10000k</t>
  </si>
  <si>
    <t>T70P5I100kC0.25D10000k</t>
  </si>
  <si>
    <t>T80P5I100kC0.25D10000k</t>
  </si>
  <si>
    <t>T90P5I100kC0.25D10000k</t>
  </si>
  <si>
    <t>T100P5I100kC0.25D10000k</t>
  </si>
  <si>
    <t>T50P5I100kC0.25D10000k</t>
  </si>
  <si>
    <t>T40P5I100kC0.25D10000k</t>
  </si>
  <si>
    <t>T20P2I100kC0.25D10000k</t>
  </si>
  <si>
    <t>T20P4I100kC0.25D10000k</t>
  </si>
  <si>
    <t>T20P6I100kC0.25D10000k</t>
  </si>
  <si>
    <t>T20P8I100kC0.25D10000k</t>
  </si>
  <si>
    <t>T20P10I100kC0.25D10000k</t>
  </si>
  <si>
    <t>T20P12I100kC0.25D10000k</t>
  </si>
  <si>
    <t>T20P14I100kC0.25D10000k</t>
  </si>
  <si>
    <t>T20P16I100kC0.25D10000k</t>
  </si>
  <si>
    <t>T40P2I100kC0.25D10000k</t>
  </si>
  <si>
    <t>T40P4I100kC0.25D10000k</t>
  </si>
  <si>
    <t>T40P6I100kC0.25D10000k</t>
  </si>
  <si>
    <t>T40P8I100kC0.25D10000k</t>
  </si>
  <si>
    <t>T40P10I100kC0.25D10000k</t>
  </si>
  <si>
    <t>T40P12I100kC0.25D10000k</t>
  </si>
  <si>
    <t>T40P14I100kC0.25D10000k</t>
  </si>
  <si>
    <t>T40P16I100kC0.25D10000k</t>
  </si>
  <si>
    <t>ID</t>
  </si>
  <si>
    <t>Synthetic datasets</t>
  </si>
  <si>
    <t>Real datasets</t>
  </si>
  <si>
    <t>retails</t>
  </si>
  <si>
    <t>IBM Generator parameters</t>
  </si>
  <si>
    <t>delicious</t>
  </si>
  <si>
    <t>Number of different items</t>
  </si>
  <si>
    <t>Number of transactions</t>
  </si>
  <si>
    <t>Average number of items per transactions</t>
  </si>
  <si>
    <t>size</t>
  </si>
  <si>
    <t>6,9 GB</t>
  </si>
  <si>
    <t>17.2 GB</t>
  </si>
  <si>
    <t xml:space="preserve">34,5 GB
</t>
  </si>
  <si>
    <t>68.9 gb</t>
  </si>
  <si>
    <t>137.9 gb</t>
  </si>
  <si>
    <t>4 MB</t>
  </si>
  <si>
    <t>1,8 gb</t>
  </si>
  <si>
    <t>2,4 gb</t>
  </si>
  <si>
    <t>3,0 gb</t>
  </si>
  <si>
    <t>3,5 gb</t>
  </si>
  <si>
    <t>4,1 gb</t>
  </si>
  <si>
    <t>4,7 gb</t>
  </si>
  <si>
    <t>5,3 gb</t>
  </si>
  <si>
    <t>5,9 gb</t>
  </si>
  <si>
    <t>1,2 gb</t>
  </si>
  <si>
    <t>44,5 gb (text) / 12,7 /numeric)</t>
  </si>
  <si>
    <t>2003-09</t>
  </si>
  <si>
    <t>2003-10</t>
  </si>
  <si>
    <t>2003-11</t>
  </si>
  <si>
    <t>2013_tri1</t>
  </si>
  <si>
    <t>0.001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</si>
  <si>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</si>
  <si>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</si>
  <si>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</si>
  <si>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</si>
  <si>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</si>
  <si>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</si>
  <si>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</si>
  <si>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</si>
  <si>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</si>
  <si>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</si>
  <si>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</si>
  <si>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</si>
  <si>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</si>
  <si>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</si>
  <si>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</si>
  <si>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</si>
  <si>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</si>
  <si>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</si>
  <si>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</si>
  <si>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</si>
  <si>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</si>
  <si>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</si>
  <si>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</si>
  <si>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</si>
  <si>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</si>
  <si>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</si>
  <si>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</si>
  <si>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</si>
  <si>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</si>
  <si>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</si>
  <si>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</si>
  <si>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</si>
  <si>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</si>
  <si>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</si>
  <si>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</si>
  <si>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</si>
  <si>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</si>
  <si>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172749.23</t>
  </si>
  <si>
    <t>2007-01</t>
  </si>
  <si>
    <t>2007-02</t>
  </si>
  <si>
    <t>2007-03</t>
  </si>
  <si>
    <t>2007-04</t>
  </si>
  <si>
    <t>2007-05</t>
  </si>
  <si>
    <t>2007-06</t>
  </si>
  <si>
    <t>292279.83</t>
  </si>
  <si>
    <t>2007-07</t>
  </si>
  <si>
    <t>2007-08</t>
  </si>
  <si>
    <t>2007-09</t>
  </si>
  <si>
    <t>2007-10</t>
  </si>
  <si>
    <t>2007-11</t>
  </si>
  <si>
    <t>2007-12</t>
  </si>
  <si>
    <t>420026.46</t>
  </si>
  <si>
    <t>Year</t>
  </si>
  <si>
    <t>Tags</t>
  </si>
  <si>
    <t>vedere differenza fra p6 p8 p10 fra closed e frequent</t>
  </si>
  <si>
    <t>p6</t>
  </si>
  <si>
    <t>p8</t>
  </si>
  <si>
    <t>p10</t>
  </si>
  <si>
    <t>frequent</t>
  </si>
  <si>
    <t>closed</t>
  </si>
  <si>
    <t>p10 closed</t>
  </si>
  <si>
    <t>p10frequent</t>
  </si>
  <si>
    <t>p4</t>
  </si>
  <si>
    <t>p2</t>
  </si>
  <si>
    <t>p12</t>
  </si>
  <si>
    <t>p14</t>
  </si>
  <si>
    <t>p16</t>
  </si>
  <si>
    <t>itemsets</t>
  </si>
  <si>
    <t>itemset extracted</t>
  </si>
  <si>
    <t>itemset</t>
  </si>
  <si>
    <t>t</t>
  </si>
  <si>
    <t>minsup da 100000 in giu (precedente exp)</t>
  </si>
  <si>
    <t>t10P5I100kC0.25D10000k</t>
  </si>
  <si>
    <t>cat</t>
  </si>
  <si>
    <t>muore quando crea i candidati con apriori</t>
  </si>
  <si>
    <t>t10P5I100kC0.25D*k</t>
  </si>
  <si>
    <t>minsup assoluto</t>
  </si>
  <si>
    <t>minsup 0,004</t>
  </si>
  <si>
    <t>fabio@mp1:~/net_discret$ cat sample1.txt | cut -d " " -f98 | head -n 1</t>
  </si>
  <si>
    <t>fabio@mp1:~/net_discret$ cat sample_tail.txt | cut -d " " -f98 | tail -n 1</t>
  </si>
  <si>
    <t>* 10^7</t>
  </si>
  <si>
    <t>T10P5I100kC0.25D100000k</t>
  </si>
  <si>
    <t>T10P5I100kC0.25D10000k</t>
  </si>
  <si>
    <t>T10P5I100kC0.25D50000k</t>
  </si>
  <si>
    <t>T10P5I100kC0.25D500000k</t>
  </si>
  <si>
    <t>T10P5I100kC0.25D1000000k</t>
  </si>
  <si>
    <t>T20P5I100kC0.25D10000k</t>
  </si>
  <si>
    <t>righe</t>
  </si>
  <si>
    <t>itemset estratti</t>
  </si>
  <si>
    <t>6115.82</t>
  </si>
  <si>
    <t>7195.37</t>
  </si>
  <si>
    <t>6070.43</t>
  </si>
  <si>
    <t>4777.6</t>
  </si>
  <si>
    <t>4702.91</t>
  </si>
  <si>
    <t>5341.03</t>
  </si>
  <si>
    <t>5312.76</t>
  </si>
  <si>
    <t>4374.17</t>
  </si>
  <si>
    <t>3182.89</t>
  </si>
  <si>
    <t>2059.3</t>
  </si>
  <si>
    <t>1625.93</t>
  </si>
  <si>
    <t>1221.02</t>
  </si>
  <si>
    <t>1236.83</t>
  </si>
  <si>
    <t>1213.46</t>
  </si>
  <si>
    <t>1270.56</t>
  </si>
  <si>
    <t>2116.41</t>
  </si>
  <si>
    <t>3578.38</t>
  </si>
  <si>
    <t>6444.08</t>
  </si>
  <si>
    <t>6569.65</t>
  </si>
  <si>
    <t>6482.06</t>
  </si>
  <si>
    <t>6304.34</t>
  </si>
  <si>
    <t>5445.72</t>
  </si>
  <si>
    <t>7295.18</t>
  </si>
  <si>
    <t>7358.5</t>
  </si>
  <si>
    <t>#Flows</t>
  </si>
  <si>
    <t>media lunghezza</t>
  </si>
  <si>
    <t>best</t>
  </si>
  <si>
    <t>worst</t>
  </si>
  <si>
    <t>BigFIM P=1</t>
  </si>
  <si>
    <t>BigFIM P=2</t>
  </si>
  <si>
    <t>DistEclat P=1</t>
  </si>
  <si>
    <t>DistEclat P=2</t>
  </si>
  <si>
    <t>Best task</t>
  </si>
  <si>
    <t>Worst task</t>
  </si>
  <si>
    <t>DistEclat - Mining Task P=1</t>
  </si>
  <si>
    <t>DistEclat - Mining Task P=2</t>
  </si>
  <si>
    <t>rx</t>
  </si>
  <si>
    <t>timestamp</t>
  </si>
  <si>
    <t>rapporto</t>
  </si>
  <si>
    <t>bytes</t>
  </si>
  <si>
    <t>mbytes</t>
  </si>
  <si>
    <t>somma</t>
  </si>
  <si>
    <t>media</t>
  </si>
  <si>
    <t>mllib</t>
  </si>
  <si>
    <t>#1</t>
  </si>
  <si>
    <t>Received</t>
  </si>
  <si>
    <t>Transmitted</t>
  </si>
  <si>
    <t>Pare che i picchi iniziano con la fase create prefix group</t>
  </si>
  <si>
    <t>bigfim p=1</t>
  </si>
  <si>
    <t>disteclat p=3</t>
  </si>
  <si>
    <t>tx</t>
  </si>
  <si>
    <t>disteclat p=1</t>
  </si>
  <si>
    <t>quando scrivo 2005 intendo tutto il 2005</t>
  </si>
  <si>
    <t>quando scrivo 2004.75 implica tutti i mesi del 2004 più 3 trimestri del 2005 ma non intero</t>
  </si>
  <si>
    <t>disteclat muore nel reducer della prima fase</t>
  </si>
  <si>
    <t>)bigfim muore nella fase due (wc prefissi lunghi 2) nel mapper</t>
  </si>
  <si>
    <t>media P=2</t>
  </si>
  <si>
    <t>media P=1</t>
  </si>
  <si>
    <t>job 1</t>
  </si>
  <si>
    <t>job 1+2</t>
  </si>
  <si>
    <t>job 1+2+3</t>
  </si>
  <si>
    <t>job 1+2+3+4</t>
  </si>
  <si>
    <t>p=2</t>
  </si>
  <si>
    <t>wc1</t>
  </si>
  <si>
    <t>wc2</t>
  </si>
  <si>
    <t>prefix</t>
  </si>
  <si>
    <t>mining</t>
  </si>
  <si>
    <t>totale</t>
  </si>
  <si>
    <t>P=1</t>
  </si>
  <si>
    <t>P=2</t>
  </si>
  <si>
    <t>tot</t>
  </si>
  <si>
    <t>lunghi</t>
  </si>
  <si>
    <t>fase 1</t>
  </si>
  <si>
    <t>minsup 5000</t>
  </si>
  <si>
    <t>* questo con 6000 alberi</t>
  </si>
  <si>
    <t>minsup 1000</t>
  </si>
  <si>
    <t>minsup 3000</t>
  </si>
  <si>
    <t>con 6000</t>
  </si>
  <si>
    <t>minsup 2000</t>
  </si>
  <si>
    <t>maggiore di 10800</t>
  </si>
  <si>
    <t>minsup 2500</t>
  </si>
  <si>
    <t>errore strano nella prima fase reducer e p=1</t>
  </si>
  <si>
    <t>muore nel reducer della prima fase</t>
  </si>
  <si>
    <t>t30P5I100kC0.25D*k</t>
  </si>
  <si>
    <t>minsup 2700</t>
  </si>
  <si>
    <t>NIENTE</t>
  </si>
  <si>
    <t>solo 1</t>
  </si>
  <si>
    <t>crash</t>
  </si>
  <si>
    <t>2004 - Mar</t>
  </si>
  <si>
    <t>2004 - Jun</t>
  </si>
  <si>
    <t>2004 - Sep</t>
  </si>
  <si>
    <t>2004 - Dec</t>
  </si>
  <si>
    <t>2005 - Mar</t>
  </si>
  <si>
    <t>2005 - Jun</t>
  </si>
  <si>
    <t>2005 - Sep</t>
  </si>
  <si>
    <t>2005 - Dec</t>
  </si>
  <si>
    <t>2003 - Dec</t>
  </si>
  <si>
    <t>MLlib PFP minsup 0.002 %</t>
  </si>
  <si>
    <t>Mahout PFP 0.002 %</t>
  </si>
  <si>
    <t>MLlib PFP 0.003 %</t>
  </si>
  <si>
    <t>MLlib PFP minsup 0.05%</t>
  </si>
  <si>
    <t>Mahout PFP minsup 0.05%</t>
  </si>
  <si>
    <t>MLlib PFP minsup 0.01%</t>
  </si>
  <si>
    <t>Mahout PFP minsup 0.01%</t>
  </si>
  <si>
    <t>no!</t>
  </si>
  <si>
    <t>job</t>
  </si>
  <si>
    <t>anche con 6000</t>
  </si>
  <si>
    <t>minsup 10000</t>
  </si>
  <si>
    <t>prefix length</t>
  </si>
  <si>
    <t>T10</t>
  </si>
  <si>
    <t>T100</t>
  </si>
  <si>
    <t>2 apriori - (x-2) depth first</t>
  </si>
  <si>
    <t>3 apriori - (x-3) depth first</t>
  </si>
  <si>
    <t>4 apriori - (x-4) depth first</t>
  </si>
  <si>
    <t>figura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</si>
</sst>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.1"/>
      <color rgb="FF222222"/>
      <name val="Arial"/>
      <family val="2"/>
    </font>
    <font>
      <sz val="12.1"/>
      <color rgb="FF333333"/>
      <name val="Arial"/>
      <family val="2"/>
    </font>
    <font>
      <sz val="12.1"/>
      <color theme="1"/>
      <name val="Arial"/>
      <family val="2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Unicode MS"/>
      <family val="2"/>
    </font>
    <font>
      <u/>
      <sz val="10"/>
      <color theme="1"/>
      <name val="Arial"/>
      <family val="2"/>
    </font>
    <font>
      <sz val="10"/>
      <color rgb="FFFF0000"/>
      <name val="Arial"/>
      <family val="2"/>
    </font>
    <font>
      <sz val="12.1"/>
      <color rgb="FFFF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89999084444715716"/>
        <bgColor indexed="64"/>
      </patternFill>
    </fill>
  </fills>
  <borders count="4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CCCCCC"/>
      </bottom>
      <diagonal/>
    </border>
    <border>
      <left/>
      <right/>
      <top style="medium">
        <color indexed="64"/>
      </top>
      <bottom style="medium">
        <color rgb="FFCCCCCC"/>
      </bottom>
      <diagonal/>
    </border>
    <border>
      <left/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Fill="1" applyBorder="1" applyAlignment="1"/>
    <xf numFmtId="0" fontId="1" fillId="0" borderId="2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0" borderId="5" xfId="0" applyFont="1" applyBorder="1" applyAlignment="1">
      <alignment horizontal="right" vertical="top" wrapText="1"/>
    </xf>
    <xf numFmtId="0" fontId="3" fillId="0" borderId="3" xfId="0" applyFont="1" applyBorder="1" applyAlignment="1">
      <alignment horizontal="right" vertical="top" wrapText="1"/>
    </xf>
    <xf numFmtId="0" fontId="3" fillId="0" borderId="4" xfId="0" applyFont="1" applyBorder="1" applyAlignment="1">
      <alignment horizontal="right" vertical="top" wrapText="1"/>
    </xf>
    <xf numFmtId="0" fontId="3" fillId="0" borderId="1" xfId="0" applyFont="1" applyBorder="1" applyAlignment="1">
      <alignment horizontal="right" vertical="top" wrapText="1"/>
    </xf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4" borderId="1" xfId="0" applyFont="1" applyFill="1" applyBorder="1" applyAlignment="1">
      <alignment wrapText="1"/>
    </xf>
    <xf numFmtId="0" fontId="0" fillId="4" borderId="0" xfId="0" applyFill="1"/>
    <xf numFmtId="0" fontId="1" fillId="4" borderId="1" xfId="0" applyFont="1" applyFill="1" applyBorder="1" applyAlignment="1">
      <alignment vertical="center" wrapText="1"/>
    </xf>
    <xf numFmtId="0" fontId="4" fillId="0" borderId="6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1" fillId="5" borderId="1" xfId="0" applyFont="1" applyFill="1" applyBorder="1" applyAlignment="1">
      <alignment horizontal="right" wrapText="1"/>
    </xf>
    <xf numFmtId="4" fontId="1" fillId="0" borderId="1" xfId="0" applyNumberFormat="1" applyFont="1" applyBorder="1" applyAlignment="1">
      <alignment horizontal="right" wrapText="1"/>
    </xf>
    <xf numFmtId="0" fontId="6" fillId="0" borderId="0" xfId="0" applyFont="1"/>
    <xf numFmtId="0" fontId="1" fillId="0" borderId="10" xfId="0" applyFont="1" applyFill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Fill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7" fillId="4" borderId="0" xfId="0" applyFont="1" applyFill="1" applyBorder="1"/>
    <xf numFmtId="0" fontId="1" fillId="0" borderId="16" xfId="0" applyFont="1" applyBorder="1" applyAlignment="1">
      <alignment horizontal="right" wrapText="1"/>
    </xf>
    <xf numFmtId="0" fontId="0" fillId="0" borderId="0" xfId="0" applyBorder="1"/>
    <xf numFmtId="0" fontId="1" fillId="0" borderId="17" xfId="0" applyFont="1" applyBorder="1" applyAlignment="1">
      <alignment wrapText="1"/>
    </xf>
    <xf numFmtId="0" fontId="1" fillId="0" borderId="18" xfId="0" applyFont="1" applyBorder="1" applyAlignment="1">
      <alignment horizontal="right" wrapText="1"/>
    </xf>
    <xf numFmtId="0" fontId="0" fillId="0" borderId="19" xfId="0" applyBorder="1"/>
    <xf numFmtId="0" fontId="1" fillId="0" borderId="20" xfId="0" applyFont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0" borderId="21" xfId="0" applyFont="1" applyBorder="1" applyAlignment="1">
      <alignment vertical="center" wrapText="1"/>
    </xf>
    <xf numFmtId="0" fontId="1" fillId="0" borderId="22" xfId="0" applyFont="1" applyFill="1" applyBorder="1" applyAlignment="1">
      <alignment wrapText="1"/>
    </xf>
    <xf numFmtId="0" fontId="1" fillId="0" borderId="15" xfId="0" applyFont="1" applyBorder="1" applyAlignment="1">
      <alignment horizontal="right" wrapText="1"/>
    </xf>
    <xf numFmtId="0" fontId="7" fillId="4" borderId="23" xfId="0" applyFont="1" applyFill="1" applyBorder="1"/>
    <xf numFmtId="0" fontId="0" fillId="0" borderId="23" xfId="0" applyBorder="1"/>
    <xf numFmtId="0" fontId="1" fillId="0" borderId="17" xfId="0" applyFont="1" applyBorder="1" applyAlignment="1">
      <alignment horizontal="right" wrapText="1"/>
    </xf>
    <xf numFmtId="0" fontId="1" fillId="4" borderId="18" xfId="0" applyFont="1" applyFill="1" applyBorder="1" applyAlignment="1">
      <alignment vertical="center" wrapText="1"/>
    </xf>
    <xf numFmtId="0" fontId="0" fillId="0" borderId="24" xfId="0" applyBorder="1"/>
    <xf numFmtId="0" fontId="5" fillId="0" borderId="15" xfId="0" applyFont="1" applyBorder="1"/>
    <xf numFmtId="0" fontId="1" fillId="0" borderId="16" xfId="0" applyFont="1" applyBorder="1" applyAlignment="1">
      <alignment wrapText="1"/>
    </xf>
    <xf numFmtId="0" fontId="5" fillId="0" borderId="16" xfId="0" applyFont="1" applyBorder="1"/>
    <xf numFmtId="0" fontId="5" fillId="0" borderId="16" xfId="0" applyFont="1" applyBorder="1" applyAlignment="1">
      <alignment horizontal="right"/>
    </xf>
    <xf numFmtId="0" fontId="1" fillId="4" borderId="16" xfId="0" applyFont="1" applyFill="1" applyBorder="1" applyAlignment="1">
      <alignment wrapText="1"/>
    </xf>
    <xf numFmtId="0" fontId="5" fillId="0" borderId="17" xfId="0" applyFont="1" applyBorder="1"/>
    <xf numFmtId="0" fontId="5" fillId="0" borderId="18" xfId="0" applyFont="1" applyBorder="1" applyAlignment="1">
      <alignment horizontal="right"/>
    </xf>
    <xf numFmtId="0" fontId="1" fillId="4" borderId="20" xfId="0" applyFont="1" applyFill="1" applyBorder="1" applyAlignment="1">
      <alignment wrapText="1"/>
    </xf>
    <xf numFmtId="0" fontId="2" fillId="0" borderId="28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1" fillId="0" borderId="29" xfId="0" applyFont="1" applyBorder="1" applyAlignment="1">
      <alignment wrapText="1"/>
    </xf>
    <xf numFmtId="0" fontId="1" fillId="0" borderId="30" xfId="0" applyFont="1" applyBorder="1" applyAlignment="1">
      <alignment wrapText="1"/>
    </xf>
    <xf numFmtId="0" fontId="3" fillId="0" borderId="31" xfId="0" applyFont="1" applyBorder="1" applyAlignment="1">
      <alignment horizontal="right" vertical="top" wrapText="1"/>
    </xf>
    <xf numFmtId="0" fontId="1" fillId="0" borderId="32" xfId="0" applyFont="1" applyFill="1" applyBorder="1" applyAlignment="1">
      <alignment wrapText="1"/>
    </xf>
    <xf numFmtId="0" fontId="1" fillId="0" borderId="33" xfId="0" applyFont="1" applyBorder="1" applyAlignment="1">
      <alignment wrapText="1"/>
    </xf>
    <xf numFmtId="0" fontId="3" fillId="0" borderId="18" xfId="0" applyFont="1" applyBorder="1" applyAlignment="1">
      <alignment horizontal="right" vertical="top" wrapText="1"/>
    </xf>
    <xf numFmtId="0" fontId="3" fillId="0" borderId="20" xfId="0" applyFont="1" applyBorder="1" applyAlignment="1">
      <alignment horizontal="right" vertical="top"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vertical="center" wrapText="1"/>
    </xf>
    <xf numFmtId="0" fontId="1" fillId="4" borderId="0" xfId="0" applyFont="1" applyFill="1" applyBorder="1" applyAlignment="1">
      <alignment horizontal="right" wrapText="1"/>
    </xf>
    <xf numFmtId="0" fontId="5" fillId="0" borderId="0" xfId="0" applyFont="1" applyFill="1" applyBorder="1"/>
    <xf numFmtId="0" fontId="1" fillId="0" borderId="34" xfId="0" applyFont="1" applyFill="1" applyBorder="1" applyAlignment="1">
      <alignment wrapText="1"/>
    </xf>
    <xf numFmtId="0" fontId="1" fillId="0" borderId="34" xfId="0" applyFont="1" applyFill="1" applyBorder="1" applyAlignment="1">
      <alignment horizontal="right" wrapText="1"/>
    </xf>
    <xf numFmtId="0" fontId="0" fillId="0" borderId="35" xfId="0" applyBorder="1"/>
    <xf numFmtId="0" fontId="1" fillId="0" borderId="35" xfId="0" applyFont="1" applyBorder="1" applyAlignment="1">
      <alignment wrapText="1"/>
    </xf>
    <xf numFmtId="0" fontId="1" fillId="0" borderId="35" xfId="0" applyFont="1" applyFill="1" applyBorder="1" applyAlignment="1">
      <alignment wrapText="1"/>
    </xf>
    <xf numFmtId="0" fontId="8" fillId="0" borderId="35" xfId="0" applyFont="1" applyBorder="1"/>
    <xf numFmtId="0" fontId="1" fillId="0" borderId="35" xfId="0" applyFont="1" applyBorder="1"/>
    <xf numFmtId="0" fontId="8" fillId="0" borderId="35" xfId="0" applyFont="1" applyFill="1" applyBorder="1"/>
    <xf numFmtId="0" fontId="8" fillId="0" borderId="39" xfId="0" applyFont="1" applyFill="1" applyBorder="1"/>
    <xf numFmtId="3" fontId="0" fillId="0" borderId="0" xfId="0" applyNumberFormat="1"/>
    <xf numFmtId="0" fontId="0" fillId="0" borderId="0" xfId="0" applyAlignment="1">
      <alignment vertical="top"/>
    </xf>
    <xf numFmtId="3" fontId="1" fillId="0" borderId="1" xfId="0" applyNumberFormat="1" applyFont="1" applyBorder="1" applyAlignment="1">
      <alignment horizontal="right" wrapText="1"/>
    </xf>
    <xf numFmtId="0" fontId="9" fillId="0" borderId="0" xfId="0" applyFont="1" applyAlignment="1">
      <alignment vertical="center"/>
    </xf>
    <xf numFmtId="0" fontId="5" fillId="0" borderId="0" xfId="0" applyFont="1" applyFill="1" applyBorder="1" applyAlignment="1">
      <alignment horizontal="right"/>
    </xf>
    <xf numFmtId="0" fontId="10" fillId="0" borderId="15" xfId="0" applyFont="1" applyBorder="1" applyAlignment="1">
      <alignment horizontal="right" wrapText="1"/>
    </xf>
    <xf numFmtId="0" fontId="10" fillId="0" borderId="17" xfId="0" applyFont="1" applyBorder="1" applyAlignment="1">
      <alignment horizontal="right" wrapText="1"/>
    </xf>
    <xf numFmtId="0" fontId="1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/>
    </xf>
    <xf numFmtId="0" fontId="5" fillId="3" borderId="16" xfId="0" applyFont="1" applyFill="1" applyBorder="1" applyAlignment="1">
      <alignment horizontal="right"/>
    </xf>
    <xf numFmtId="0" fontId="5" fillId="0" borderId="2" xfId="0" applyFont="1" applyFill="1" applyBorder="1"/>
    <xf numFmtId="0" fontId="5" fillId="2" borderId="1" xfId="0" applyFont="1" applyFill="1" applyBorder="1" applyAlignment="1">
      <alignment horizontal="right"/>
    </xf>
    <xf numFmtId="0" fontId="1" fillId="3" borderId="34" xfId="0" applyFont="1" applyFill="1" applyBorder="1" applyAlignment="1">
      <alignment wrapText="1"/>
    </xf>
    <xf numFmtId="10" fontId="0" fillId="0" borderId="0" xfId="0" applyNumberFormat="1"/>
    <xf numFmtId="0" fontId="0" fillId="4" borderId="0" xfId="0" applyFill="1" applyBorder="1"/>
    <xf numFmtId="0" fontId="1" fillId="4" borderId="18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3" fontId="9" fillId="0" borderId="0" xfId="0" applyNumberFormat="1" applyFont="1" applyAlignment="1">
      <alignment vertical="center"/>
    </xf>
    <xf numFmtId="0" fontId="6" fillId="0" borderId="0" xfId="0" applyFont="1" applyBorder="1"/>
    <xf numFmtId="0" fontId="1" fillId="0" borderId="34" xfId="0" applyFont="1" applyBorder="1" applyAlignment="1">
      <alignment wrapText="1"/>
    </xf>
    <xf numFmtId="9" fontId="1" fillId="0" borderId="1" xfId="0" applyNumberFormat="1" applyFont="1" applyBorder="1" applyAlignment="1">
      <alignment horizontal="right" wrapText="1"/>
    </xf>
    <xf numFmtId="0" fontId="8" fillId="2" borderId="35" xfId="0" applyFont="1" applyFill="1" applyBorder="1"/>
    <xf numFmtId="0" fontId="1" fillId="2" borderId="35" xfId="0" applyFont="1" applyFill="1" applyBorder="1" applyAlignment="1">
      <alignment wrapText="1"/>
    </xf>
    <xf numFmtId="3" fontId="0" fillId="2" borderId="0" xfId="0" applyNumberFormat="1" applyFill="1"/>
    <xf numFmtId="0" fontId="0" fillId="2" borderId="35" xfId="0" applyFill="1" applyBorder="1"/>
    <xf numFmtId="0" fontId="8" fillId="8" borderId="35" xfId="0" applyFont="1" applyFill="1" applyBorder="1"/>
    <xf numFmtId="0" fontId="1" fillId="8" borderId="35" xfId="0" applyFont="1" applyFill="1" applyBorder="1" applyAlignment="1">
      <alignment wrapText="1"/>
    </xf>
    <xf numFmtId="3" fontId="0" fillId="8" borderId="0" xfId="0" applyNumberFormat="1" applyFill="1"/>
    <xf numFmtId="0" fontId="1" fillId="8" borderId="0" xfId="0" applyFont="1" applyFill="1"/>
    <xf numFmtId="0" fontId="1" fillId="8" borderId="34" xfId="0" applyFont="1" applyFill="1" applyBorder="1" applyAlignment="1">
      <alignment wrapText="1"/>
    </xf>
    <xf numFmtId="0" fontId="0" fillId="8" borderId="0" xfId="0" applyFill="1"/>
    <xf numFmtId="0" fontId="1" fillId="0" borderId="1" xfId="0" applyNumberFormat="1" applyFont="1" applyBorder="1" applyAlignment="1">
      <alignment horizontal="right" wrapText="1"/>
    </xf>
    <xf numFmtId="0" fontId="0" fillId="0" borderId="0" xfId="0" applyNumberFormat="1"/>
    <xf numFmtId="9" fontId="0" fillId="0" borderId="0" xfId="0" applyNumberFormat="1"/>
    <xf numFmtId="3" fontId="0" fillId="0" borderId="0" xfId="0" applyNumberFormat="1" applyFill="1" applyBorder="1"/>
    <xf numFmtId="2" fontId="1" fillId="0" borderId="1" xfId="0" applyNumberFormat="1" applyFont="1" applyBorder="1" applyAlignment="1">
      <alignment wrapText="1"/>
    </xf>
    <xf numFmtId="2" fontId="0" fillId="0" borderId="0" xfId="0" applyNumberFormat="1"/>
    <xf numFmtId="2" fontId="1" fillId="0" borderId="1" xfId="0" applyNumberFormat="1" applyFont="1" applyBorder="1" applyAlignment="1">
      <alignment horizontal="right" wrapText="1"/>
    </xf>
    <xf numFmtId="20" fontId="0" fillId="0" borderId="0" xfId="0" applyNumberFormat="1"/>
    <xf numFmtId="0" fontId="0" fillId="9" borderId="0" xfId="0" applyFill="1"/>
    <xf numFmtId="0" fontId="0" fillId="10" borderId="35" xfId="0" applyFill="1" applyBorder="1"/>
    <xf numFmtId="3" fontId="0" fillId="10" borderId="35" xfId="0" applyNumberFormat="1" applyFill="1" applyBorder="1"/>
    <xf numFmtId="0" fontId="5" fillId="0" borderId="34" xfId="0" applyFont="1" applyFill="1" applyBorder="1"/>
    <xf numFmtId="0" fontId="0" fillId="0" borderId="40" xfId="0" applyBorder="1"/>
    <xf numFmtId="0" fontId="11" fillId="11" borderId="16" xfId="0" applyFont="1" applyFill="1" applyBorder="1" applyAlignment="1">
      <alignment wrapText="1"/>
    </xf>
    <xf numFmtId="0" fontId="7" fillId="4" borderId="0" xfId="0" applyFont="1" applyFill="1"/>
    <xf numFmtId="3" fontId="2" fillId="0" borderId="1" xfId="0" applyNumberFormat="1" applyFont="1" applyBorder="1" applyAlignment="1">
      <alignment horizontal="right" wrapText="1"/>
    </xf>
    <xf numFmtId="0" fontId="12" fillId="0" borderId="0" xfId="0" applyFont="1" applyFill="1" applyBorder="1"/>
    <xf numFmtId="0" fontId="5" fillId="4" borderId="1" xfId="0" applyFont="1" applyFill="1" applyBorder="1" applyAlignment="1">
      <alignment horizontal="right"/>
    </xf>
    <xf numFmtId="0" fontId="13" fillId="0" borderId="16" xfId="0" applyFont="1" applyBorder="1" applyAlignment="1">
      <alignment wrapText="1"/>
    </xf>
    <xf numFmtId="0" fontId="5" fillId="4" borderId="1" xfId="0" applyFont="1" applyFill="1" applyBorder="1"/>
    <xf numFmtId="0" fontId="13" fillId="0" borderId="1" xfId="0" applyFont="1" applyBorder="1" applyAlignment="1">
      <alignment wrapText="1"/>
    </xf>
    <xf numFmtId="0" fontId="14" fillId="0" borderId="0" xfId="0" applyFont="1"/>
    <xf numFmtId="0" fontId="13" fillId="3" borderId="16" xfId="0" applyFont="1" applyFill="1" applyBorder="1" applyAlignment="1">
      <alignment horizontal="right"/>
    </xf>
    <xf numFmtId="0" fontId="13" fillId="0" borderId="1" xfId="0" applyFont="1" applyBorder="1" applyAlignment="1">
      <alignment horizontal="right"/>
    </xf>
    <xf numFmtId="0" fontId="13" fillId="3" borderId="1" xfId="0" applyFont="1" applyFill="1" applyBorder="1" applyAlignment="1">
      <alignment horizontal="right"/>
    </xf>
    <xf numFmtId="0" fontId="5" fillId="0" borderId="25" xfId="0" applyFont="1" applyBorder="1"/>
    <xf numFmtId="0" fontId="5" fillId="0" borderId="26" xfId="0" applyFont="1" applyBorder="1"/>
    <xf numFmtId="0" fontId="5" fillId="0" borderId="27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8" fillId="2" borderId="36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8" fillId="6" borderId="36" xfId="0" applyFont="1" applyFill="1" applyBorder="1" applyAlignment="1">
      <alignment horizontal="center" vertical="center"/>
    </xf>
    <xf numFmtId="0" fontId="8" fillId="6" borderId="37" xfId="0" applyFont="1" applyFill="1" applyBorder="1" applyAlignment="1">
      <alignment horizontal="center" vertical="center"/>
    </xf>
    <xf numFmtId="0" fontId="8" fillId="6" borderId="38" xfId="0" applyFont="1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/>
    </xf>
    <xf numFmtId="0" fontId="8" fillId="7" borderId="38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minsup_nuovo_6000!$D$26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minsup_nuovo_6000!$D$30:$D$39</c:f>
              <c:numCache>
                <c:formatCode>General</c:formatCode>
                <c:ptCount val="10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972</c:v>
                </c:pt>
                <c:pt idx="7">
                  <c:v>3720</c:v>
                </c:pt>
                <c:pt idx="8">
                  <c:v>6918</c:v>
                </c:pt>
                <c:pt idx="9">
                  <c:v>25140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minsup_nuovo_6000!$E$26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minsup_nuovo_6000!$E$30:$E$39</c:f>
              <c:numCache>
                <c:formatCode>General</c:formatCode>
                <c:ptCount val="10"/>
                <c:pt idx="0">
                  <c:v>210</c:v>
                </c:pt>
                <c:pt idx="1">
                  <c:v>245</c:v>
                </c:pt>
                <c:pt idx="2">
                  <c:v>300</c:v>
                </c:pt>
                <c:pt idx="3">
                  <c:v>314</c:v>
                </c:pt>
                <c:pt idx="4">
                  <c:v>418</c:v>
                </c:pt>
                <c:pt idx="5">
                  <c:v>722</c:v>
                </c:pt>
                <c:pt idx="6">
                  <c:v>1380</c:v>
                </c:pt>
                <c:pt idx="7">
                  <c:v>2061</c:v>
                </c:pt>
                <c:pt idx="8">
                  <c:v>2100</c:v>
                </c:pt>
                <c:pt idx="9">
                  <c:v>2998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minsup_nuovo_6000!$F$26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minsup_nuovo_6000!$F$30:$F$39</c:f>
              <c:numCache>
                <c:formatCode>General</c:formatCode>
                <c:ptCount val="10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820</c:v>
                </c:pt>
                <c:pt idx="7">
                  <c:v>881</c:v>
                </c:pt>
                <c:pt idx="8">
                  <c:v>930</c:v>
                </c:pt>
                <c:pt idx="9">
                  <c:v>973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minsup_nuovo_6000!$C$26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minsup_nuovo_6000!$C$30:$C$39</c:f>
              <c:numCache>
                <c:formatCode>General</c:formatCode>
                <c:ptCount val="10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381648"/>
        <c:axId val="1471112144"/>
      </c:scatterChart>
      <c:valAx>
        <c:axId val="1502381648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112144"/>
        <c:crosses val="autoZero"/>
        <c:crossBetween val="midCat"/>
      </c:valAx>
      <c:valAx>
        <c:axId val="14711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238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communication_cost!$B$15</c:f>
              <c:strCache>
                <c:ptCount val="1"/>
                <c:pt idx="0">
                  <c:v>Received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communication_cost!$B$16:$B$27</c:f>
              <c:numCache>
                <c:formatCode>0.00</c:formatCode>
                <c:ptCount val="12"/>
                <c:pt idx="0">
                  <c:v>0.14699999999999999</c:v>
                </c:pt>
                <c:pt idx="1">
                  <c:v>0.151</c:v>
                </c:pt>
                <c:pt idx="2">
                  <c:v>9.5</c:v>
                </c:pt>
                <c:pt idx="3">
                  <c:v>20.3</c:v>
                </c:pt>
                <c:pt idx="4">
                  <c:v>6.1999999999999993</c:v>
                </c:pt>
                <c:pt idx="5">
                  <c:v>9.6</c:v>
                </c:pt>
                <c:pt idx="6">
                  <c:v>24.4</c:v>
                </c:pt>
                <c:pt idx="7">
                  <c:v>10.299999999999999</c:v>
                </c:pt>
                <c:pt idx="8">
                  <c:v>0.19499999999999998</c:v>
                </c:pt>
                <c:pt idx="9">
                  <c:v>0.151</c:v>
                </c:pt>
                <c:pt idx="10">
                  <c:v>0.184625966666666</c:v>
                </c:pt>
                <c:pt idx="11">
                  <c:v>0.15221741666666599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communication_cost!$D$15</c:f>
              <c:strCache>
                <c:ptCount val="1"/>
                <c:pt idx="0">
                  <c:v>Transmitted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communication_cost!$D$16:$D$27</c:f>
              <c:numCache>
                <c:formatCode>0.00</c:formatCode>
                <c:ptCount val="12"/>
                <c:pt idx="0">
                  <c:v>0.11499999999999999</c:v>
                </c:pt>
                <c:pt idx="1">
                  <c:v>0.11599999999999999</c:v>
                </c:pt>
                <c:pt idx="2">
                  <c:v>5.3999999999999995</c:v>
                </c:pt>
                <c:pt idx="3">
                  <c:v>22.599999999999998</c:v>
                </c:pt>
                <c:pt idx="4">
                  <c:v>10</c:v>
                </c:pt>
                <c:pt idx="5">
                  <c:v>7.6</c:v>
                </c:pt>
                <c:pt idx="6">
                  <c:v>25</c:v>
                </c:pt>
                <c:pt idx="7">
                  <c:v>12.399999999999999</c:v>
                </c:pt>
                <c:pt idx="8">
                  <c:v>0.152</c:v>
                </c:pt>
                <c:pt idx="9">
                  <c:v>0.11799999999999999</c:v>
                </c:pt>
                <c:pt idx="10">
                  <c:v>0.14365188333333301</c:v>
                </c:pt>
                <c:pt idx="11">
                  <c:v>0.11528244999999999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694720"/>
        <c:axId val="147069036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rx_p=1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communication_cost!$B$118:$B$128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0.222</c:v>
                      </c:pt>
                      <c:pt idx="1">
                        <c:v>0.158</c:v>
                      </c:pt>
                      <c:pt idx="2">
                        <c:v>27.2</c:v>
                      </c:pt>
                      <c:pt idx="3">
                        <c:v>4.8999999999999995</c:v>
                      </c:pt>
                      <c:pt idx="4">
                        <c:v>3.5</c:v>
                      </c:pt>
                      <c:pt idx="5">
                        <c:v>12.2</c:v>
                      </c:pt>
                      <c:pt idx="6">
                        <c:v>8.4</c:v>
                      </c:pt>
                      <c:pt idx="7">
                        <c:v>7.1</c:v>
                      </c:pt>
                      <c:pt idx="8">
                        <c:v>4.5</c:v>
                      </c:pt>
                      <c:pt idx="9">
                        <c:v>0.189</c:v>
                      </c:pt>
                      <c:pt idx="10">
                        <c:v>0.16499999999999998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v>tx_p=1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communication_cost!$D$118:$D$128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0.183</c:v>
                      </c:pt>
                      <c:pt idx="1">
                        <c:v>0.129</c:v>
                      </c:pt>
                      <c:pt idx="2">
                        <c:v>17.5</c:v>
                      </c:pt>
                      <c:pt idx="3">
                        <c:v>6.8</c:v>
                      </c:pt>
                      <c:pt idx="4">
                        <c:v>21.7</c:v>
                      </c:pt>
                      <c:pt idx="5">
                        <c:v>3.8</c:v>
                      </c:pt>
                      <c:pt idx="6">
                        <c:v>6.3</c:v>
                      </c:pt>
                      <c:pt idx="7">
                        <c:v>4.5999999999999996</c:v>
                      </c:pt>
                      <c:pt idx="8">
                        <c:v>0.152</c:v>
                      </c:pt>
                      <c:pt idx="9">
                        <c:v>0.13799999999999998</c:v>
                      </c:pt>
                      <c:pt idx="10">
                        <c:v>0.14299999999999999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tx_p=3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communication_cost!$D$136:$D$145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0.13300000000000001</c:v>
                      </c:pt>
                      <c:pt idx="1">
                        <c:v>0.13300000000000001</c:v>
                      </c:pt>
                      <c:pt idx="2">
                        <c:v>4.8</c:v>
                      </c:pt>
                      <c:pt idx="3">
                        <c:v>21.4</c:v>
                      </c:pt>
                      <c:pt idx="4">
                        <c:v>15.5</c:v>
                      </c:pt>
                      <c:pt idx="5">
                        <c:v>4.3999999999999995</c:v>
                      </c:pt>
                      <c:pt idx="6">
                        <c:v>25.599999999999998</c:v>
                      </c:pt>
                      <c:pt idx="7">
                        <c:v>25.9</c:v>
                      </c:pt>
                      <c:pt idx="8">
                        <c:v>0.54899999999999993</c:v>
                      </c:pt>
                      <c:pt idx="9">
                        <c:v>0.13899999999999998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rx_p=3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communication_cost!$B$136:$B$145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0.161</c:v>
                      </c:pt>
                      <c:pt idx="1">
                        <c:v>0.16200000000000001</c:v>
                      </c:pt>
                      <c:pt idx="2">
                        <c:v>10.4</c:v>
                      </c:pt>
                      <c:pt idx="3">
                        <c:v>19.399999999999999</c:v>
                      </c:pt>
                      <c:pt idx="4">
                        <c:v>6.1999999999999993</c:v>
                      </c:pt>
                      <c:pt idx="5">
                        <c:v>15</c:v>
                      </c:pt>
                      <c:pt idx="6">
                        <c:v>23</c:v>
                      </c:pt>
                      <c:pt idx="7">
                        <c:v>24.9</c:v>
                      </c:pt>
                      <c:pt idx="8">
                        <c:v>0.27499999999999997</c:v>
                      </c:pt>
                      <c:pt idx="9">
                        <c:v>0.16499999999999998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47069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time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(minutes)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0690368"/>
        <c:crosses val="autoZero"/>
        <c:auto val="1"/>
        <c:lblAlgn val="ctr"/>
        <c:lblOffset val="100"/>
        <c:noMultiLvlLbl val="0"/>
      </c:catAx>
      <c:valAx>
        <c:axId val="147069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MBytes /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069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communication_cost!$B$40</c:f>
              <c:strCache>
                <c:ptCount val="1"/>
                <c:pt idx="0">
                  <c:v>Received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communication_cost!$B$41:$B$52</c:f>
              <c:numCache>
                <c:formatCode>General</c:formatCode>
                <c:ptCount val="12"/>
                <c:pt idx="0">
                  <c:v>0.15</c:v>
                </c:pt>
                <c:pt idx="1">
                  <c:v>0.16</c:v>
                </c:pt>
                <c:pt idx="2">
                  <c:v>4.2</c:v>
                </c:pt>
                <c:pt idx="3">
                  <c:v>1.0999999999999999</c:v>
                </c:pt>
                <c:pt idx="4">
                  <c:v>3.5</c:v>
                </c:pt>
                <c:pt idx="5">
                  <c:v>3.4</c:v>
                </c:pt>
                <c:pt idx="6">
                  <c:v>1.5</c:v>
                </c:pt>
                <c:pt idx="7">
                  <c:v>0.97799999999999998</c:v>
                </c:pt>
                <c:pt idx="8">
                  <c:v>0.63500000000000001</c:v>
                </c:pt>
                <c:pt idx="9">
                  <c:v>3.0999999999999996</c:v>
                </c:pt>
                <c:pt idx="10">
                  <c:v>0.20899999999999999</c:v>
                </c:pt>
                <c:pt idx="11">
                  <c:v>0.16599999999999998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communication_cost!$D$40</c:f>
              <c:strCache>
                <c:ptCount val="1"/>
                <c:pt idx="0">
                  <c:v>Transmitted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communication_cost!$D$41:$D$52</c:f>
              <c:numCache>
                <c:formatCode>General</c:formatCode>
                <c:ptCount val="12"/>
                <c:pt idx="0">
                  <c:v>0.122</c:v>
                </c:pt>
                <c:pt idx="1">
                  <c:v>0.13300000000000001</c:v>
                </c:pt>
                <c:pt idx="2">
                  <c:v>4.8999999999999995</c:v>
                </c:pt>
                <c:pt idx="3">
                  <c:v>1.4</c:v>
                </c:pt>
                <c:pt idx="4">
                  <c:v>3.8</c:v>
                </c:pt>
                <c:pt idx="5">
                  <c:v>3.3</c:v>
                </c:pt>
                <c:pt idx="6">
                  <c:v>1.5</c:v>
                </c:pt>
                <c:pt idx="7">
                  <c:v>1.0999999999999999</c:v>
                </c:pt>
                <c:pt idx="8">
                  <c:v>1</c:v>
                </c:pt>
                <c:pt idx="9">
                  <c:v>3</c:v>
                </c:pt>
                <c:pt idx="10">
                  <c:v>0.16</c:v>
                </c:pt>
                <c:pt idx="11">
                  <c:v>0.13799999999999998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690912"/>
        <c:axId val="1470687104"/>
      </c:lineChart>
      <c:catAx>
        <c:axId val="147069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 baseline="0">
                    <a:solidFill>
                      <a:sysClr val="windowText" lastClr="000000"/>
                    </a:solidFill>
                    <a:effectLst/>
                  </a:rPr>
                  <a:t>time (minutes)</a:t>
                </a:r>
                <a:endParaRPr lang="it-IT" sz="6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0687104"/>
        <c:crosses val="autoZero"/>
        <c:auto val="1"/>
        <c:lblAlgn val="ctr"/>
        <c:lblOffset val="100"/>
        <c:noMultiLvlLbl val="0"/>
      </c:catAx>
      <c:valAx>
        <c:axId val="14706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 baseline="0">
                    <a:solidFill>
                      <a:sysClr val="windowText" lastClr="000000"/>
                    </a:solidFill>
                    <a:effectLst/>
                  </a:rPr>
                  <a:t>MBytes / second</a:t>
                </a:r>
                <a:endParaRPr lang="it-IT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06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communication_cost!$B$73</c:f>
              <c:strCache>
                <c:ptCount val="1"/>
                <c:pt idx="0">
                  <c:v>Received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communication_cost!$B$74:$B$88</c:f>
              <c:numCache>
                <c:formatCode>General</c:formatCode>
                <c:ptCount val="15"/>
                <c:pt idx="0">
                  <c:v>0.14599999999999999</c:v>
                </c:pt>
                <c:pt idx="1">
                  <c:v>6.6</c:v>
                </c:pt>
                <c:pt idx="2">
                  <c:v>15.5</c:v>
                </c:pt>
                <c:pt idx="3">
                  <c:v>0.17899999999999999</c:v>
                </c:pt>
                <c:pt idx="4">
                  <c:v>0.156</c:v>
                </c:pt>
                <c:pt idx="5">
                  <c:v>0.154</c:v>
                </c:pt>
                <c:pt idx="6">
                  <c:v>0.18099999999999999</c:v>
                </c:pt>
                <c:pt idx="7">
                  <c:v>0.16699999999999998</c:v>
                </c:pt>
                <c:pt idx="8">
                  <c:v>0.151</c:v>
                </c:pt>
                <c:pt idx="9">
                  <c:v>0.158</c:v>
                </c:pt>
                <c:pt idx="10">
                  <c:v>0.15</c:v>
                </c:pt>
                <c:pt idx="11">
                  <c:v>24.799999999999997</c:v>
                </c:pt>
                <c:pt idx="12">
                  <c:v>22</c:v>
                </c:pt>
                <c:pt idx="13">
                  <c:v>0.16799999999999998</c:v>
                </c:pt>
                <c:pt idx="14">
                  <c:v>0.154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communication_cost!$D$73</c:f>
              <c:strCache>
                <c:ptCount val="1"/>
                <c:pt idx="0">
                  <c:v>Transmitted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communication_cost!$D$74:$D$89</c:f>
              <c:numCache>
                <c:formatCode>General</c:formatCode>
                <c:ptCount val="16"/>
                <c:pt idx="0">
                  <c:v>0.11899999999999999</c:v>
                </c:pt>
                <c:pt idx="1">
                  <c:v>10.7</c:v>
                </c:pt>
                <c:pt idx="2">
                  <c:v>15.5</c:v>
                </c:pt>
                <c:pt idx="3">
                  <c:v>0.129</c:v>
                </c:pt>
                <c:pt idx="4">
                  <c:v>0.13699999999999998</c:v>
                </c:pt>
                <c:pt idx="5">
                  <c:v>0.13799999999999998</c:v>
                </c:pt>
                <c:pt idx="6">
                  <c:v>0.13399999999999998</c:v>
                </c:pt>
                <c:pt idx="7">
                  <c:v>0.13300000000000001</c:v>
                </c:pt>
                <c:pt idx="8">
                  <c:v>0.125</c:v>
                </c:pt>
                <c:pt idx="9">
                  <c:v>0.13699999999999998</c:v>
                </c:pt>
                <c:pt idx="10">
                  <c:v>0.124</c:v>
                </c:pt>
                <c:pt idx="11">
                  <c:v>21.599999999999998</c:v>
                </c:pt>
                <c:pt idx="12">
                  <c:v>16.599999999999998</c:v>
                </c:pt>
                <c:pt idx="13">
                  <c:v>0.125</c:v>
                </c:pt>
                <c:pt idx="14">
                  <c:v>0.13699999999999998</c:v>
                </c:pt>
                <c:pt idx="15">
                  <c:v>0.13999999999999999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693088"/>
        <c:axId val="1470694176"/>
      </c:lineChart>
      <c:catAx>
        <c:axId val="147069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 baseline="0">
                    <a:solidFill>
                      <a:sysClr val="windowText" lastClr="000000"/>
                    </a:solidFill>
                    <a:effectLst/>
                  </a:rPr>
                  <a:t>time (minutes)</a:t>
                </a:r>
                <a:endParaRPr lang="it-IT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0694176"/>
        <c:crosses val="autoZero"/>
        <c:auto val="1"/>
        <c:lblAlgn val="ctr"/>
        <c:lblOffset val="100"/>
        <c:noMultiLvlLbl val="0"/>
      </c:catAx>
      <c:valAx>
        <c:axId val="147069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MBytes /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069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communication_cost!$B$98</c:f>
              <c:strCache>
                <c:ptCount val="1"/>
                <c:pt idx="0">
                  <c:v>Received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communication_cost!$B$99:$B$109</c:f>
              <c:numCache>
                <c:formatCode>General</c:formatCode>
                <c:ptCount val="11"/>
                <c:pt idx="0">
                  <c:v>0.151</c:v>
                </c:pt>
                <c:pt idx="1">
                  <c:v>0.14899999999999999</c:v>
                </c:pt>
                <c:pt idx="2">
                  <c:v>17.899999999999999</c:v>
                </c:pt>
                <c:pt idx="3">
                  <c:v>21</c:v>
                </c:pt>
                <c:pt idx="4">
                  <c:v>11.899999999999999</c:v>
                </c:pt>
                <c:pt idx="5">
                  <c:v>0.156</c:v>
                </c:pt>
                <c:pt idx="6">
                  <c:v>2</c:v>
                </c:pt>
                <c:pt idx="7">
                  <c:v>19.099999999999998</c:v>
                </c:pt>
                <c:pt idx="8">
                  <c:v>0.193</c:v>
                </c:pt>
                <c:pt idx="9">
                  <c:v>0.156</c:v>
                </c:pt>
                <c:pt idx="10">
                  <c:v>0.152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communication_cost!$D$98</c:f>
              <c:strCache>
                <c:ptCount val="1"/>
                <c:pt idx="0">
                  <c:v>Transmitted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communication_cost!$D$99:$D$109</c:f>
              <c:numCache>
                <c:formatCode>General</c:formatCode>
                <c:ptCount val="11"/>
                <c:pt idx="0">
                  <c:v>0.11599999999999999</c:v>
                </c:pt>
                <c:pt idx="1">
                  <c:v>0.11799999999999999</c:v>
                </c:pt>
                <c:pt idx="2">
                  <c:v>25.4</c:v>
                </c:pt>
                <c:pt idx="3">
                  <c:v>16.899999999999999</c:v>
                </c:pt>
                <c:pt idx="4">
                  <c:v>7.8</c:v>
                </c:pt>
                <c:pt idx="5">
                  <c:v>0.123</c:v>
                </c:pt>
                <c:pt idx="6">
                  <c:v>4.5999999999999996</c:v>
                </c:pt>
                <c:pt idx="7">
                  <c:v>15.2</c:v>
                </c:pt>
                <c:pt idx="8">
                  <c:v>0.152</c:v>
                </c:pt>
                <c:pt idx="9">
                  <c:v>0.15</c:v>
                </c:pt>
                <c:pt idx="10">
                  <c:v>0.151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027328"/>
        <c:axId val="147302950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rx_p=3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communication_cost!$B$158:$B$166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0.16</c:v>
                      </c:pt>
                      <c:pt idx="1">
                        <c:v>0.16300000000000001</c:v>
                      </c:pt>
                      <c:pt idx="2">
                        <c:v>16</c:v>
                      </c:pt>
                      <c:pt idx="3">
                        <c:v>19.7</c:v>
                      </c:pt>
                      <c:pt idx="4">
                        <c:v>15</c:v>
                      </c:pt>
                      <c:pt idx="5">
                        <c:v>0.17299999999999999</c:v>
                      </c:pt>
                      <c:pt idx="6">
                        <c:v>18.7</c:v>
                      </c:pt>
                      <c:pt idx="7">
                        <c:v>4.5999999999999996</c:v>
                      </c:pt>
                      <c:pt idx="8">
                        <c:v>0.182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v>tx_p=3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communication_cost!$D$158:$D$166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0.13499999999999998</c:v>
                      </c:pt>
                      <c:pt idx="1">
                        <c:v>0.13499999999999998</c:v>
                      </c:pt>
                      <c:pt idx="2">
                        <c:v>17.8</c:v>
                      </c:pt>
                      <c:pt idx="3">
                        <c:v>17</c:v>
                      </c:pt>
                      <c:pt idx="4">
                        <c:v>8</c:v>
                      </c:pt>
                      <c:pt idx="5">
                        <c:v>0.14399999999999999</c:v>
                      </c:pt>
                      <c:pt idx="6">
                        <c:v>13.299999999999999</c:v>
                      </c:pt>
                      <c:pt idx="7">
                        <c:v>8.1</c:v>
                      </c:pt>
                      <c:pt idx="8">
                        <c:v>0.153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rx_p=1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communication_cost!$B$174:$B$183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0.161</c:v>
                      </c:pt>
                      <c:pt idx="1">
                        <c:v>0.15</c:v>
                      </c:pt>
                      <c:pt idx="2">
                        <c:v>16</c:v>
                      </c:pt>
                      <c:pt idx="3">
                        <c:v>19.5</c:v>
                      </c:pt>
                      <c:pt idx="4">
                        <c:v>15.2</c:v>
                      </c:pt>
                      <c:pt idx="5">
                        <c:v>0.18099999999999999</c:v>
                      </c:pt>
                      <c:pt idx="6">
                        <c:v>3.1999999999999997</c:v>
                      </c:pt>
                      <c:pt idx="7">
                        <c:v>16.599999999999998</c:v>
                      </c:pt>
                      <c:pt idx="8">
                        <c:v>0.20299999999999999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tx_p=1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communication_cost!$D$174:$D$183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0.13599999999999998</c:v>
                      </c:pt>
                      <c:pt idx="1">
                        <c:v>0.124</c:v>
                      </c:pt>
                      <c:pt idx="2">
                        <c:v>14.5</c:v>
                      </c:pt>
                      <c:pt idx="3">
                        <c:v>15.899999999999999</c:v>
                      </c:pt>
                      <c:pt idx="4">
                        <c:v>14.799999999999999</c:v>
                      </c:pt>
                      <c:pt idx="5">
                        <c:v>0.155</c:v>
                      </c:pt>
                      <c:pt idx="6">
                        <c:v>6.8999999999999995</c:v>
                      </c:pt>
                      <c:pt idx="7">
                        <c:v>12.399999999999999</c:v>
                      </c:pt>
                      <c:pt idx="8">
                        <c:v>0.16699999999999998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47302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 baseline="0">
                    <a:solidFill>
                      <a:sysClr val="windowText" lastClr="000000"/>
                    </a:solidFill>
                    <a:effectLst/>
                  </a:rPr>
                  <a:t>time (minutes)</a:t>
                </a:r>
                <a:endParaRPr lang="it-IT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3029504"/>
        <c:crosses val="autoZero"/>
        <c:auto val="1"/>
        <c:lblAlgn val="ctr"/>
        <c:lblOffset val="100"/>
        <c:noMultiLvlLbl val="0"/>
      </c:catAx>
      <c:valAx>
        <c:axId val="14730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MBytes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1100">
                    <a:solidFill>
                      <a:sysClr val="windowText" lastClr="000000"/>
                    </a:solidFill>
                  </a:rPr>
                  <a:t>/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302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9121857067596E-2"/>
          <c:y val="1.8216449380524094E-2"/>
          <c:w val="0.88630422097327843"/>
          <c:h val="0.76574001962602889"/>
        </c:manualLayout>
      </c:layout>
      <c:lineChart>
        <c:grouping val="standard"/>
        <c:varyColors val="0"/>
        <c:ser>
          <c:idx val="6"/>
          <c:order val="6"/>
          <c:tx>
            <c:strRef>
              <c:f>communication_cost!$G$117</c:f>
              <c:strCache>
                <c:ptCount val="1"/>
                <c:pt idx="0">
                  <c:v>media P=1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communication_cost!$G$118:$G$129</c:f>
              <c:numCache>
                <c:formatCode>General</c:formatCode>
                <c:ptCount val="12"/>
                <c:pt idx="0">
                  <c:v>0.3135</c:v>
                </c:pt>
                <c:pt idx="1">
                  <c:v>0.2225</c:v>
                </c:pt>
                <c:pt idx="2">
                  <c:v>35.950000000000003</c:v>
                </c:pt>
                <c:pt idx="3">
                  <c:v>8.2999999999999989</c:v>
                </c:pt>
                <c:pt idx="4">
                  <c:v>14.35</c:v>
                </c:pt>
                <c:pt idx="5">
                  <c:v>14.1</c:v>
                </c:pt>
                <c:pt idx="6">
                  <c:v>11.55</c:v>
                </c:pt>
                <c:pt idx="7">
                  <c:v>9.3999999999999986</c:v>
                </c:pt>
                <c:pt idx="8">
                  <c:v>4.5759999999999996</c:v>
                </c:pt>
                <c:pt idx="9">
                  <c:v>0.25800000000000001</c:v>
                </c:pt>
                <c:pt idx="10">
                  <c:v>0.23649999999999999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communication_cost!$G$15</c:f>
              <c:strCache>
                <c:ptCount val="1"/>
                <c:pt idx="0">
                  <c:v>media P=2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communication_cost!$G$16:$G$27</c:f>
              <c:numCache>
                <c:formatCode>General</c:formatCode>
                <c:ptCount val="12"/>
                <c:pt idx="0">
                  <c:v>0.20449999999999999</c:v>
                </c:pt>
                <c:pt idx="1">
                  <c:v>0.20899999999999999</c:v>
                </c:pt>
                <c:pt idx="2">
                  <c:v>12.2</c:v>
                </c:pt>
                <c:pt idx="3">
                  <c:v>31.6</c:v>
                </c:pt>
                <c:pt idx="4">
                  <c:v>11.2</c:v>
                </c:pt>
                <c:pt idx="5">
                  <c:v>13.399999999999999</c:v>
                </c:pt>
                <c:pt idx="6">
                  <c:v>36.9</c:v>
                </c:pt>
                <c:pt idx="7">
                  <c:v>16.5</c:v>
                </c:pt>
                <c:pt idx="8">
                  <c:v>0.27099999999999996</c:v>
                </c:pt>
                <c:pt idx="9">
                  <c:v>0.21</c:v>
                </c:pt>
                <c:pt idx="10">
                  <c:v>0.25645190833333253</c:v>
                </c:pt>
                <c:pt idx="11">
                  <c:v>0.20985864166666598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037664"/>
        <c:axId val="1473035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communication_cost!$B$15</c15:sqref>
                        </c15:formulaRef>
                      </c:ext>
                    </c:extLst>
                    <c:strCache>
                      <c:ptCount val="1"/>
                      <c:pt idx="0">
                        <c:v>Received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prstDash val="sysDot"/>
                    <a:round/>
                  </a:ln>
                  <a:effectLst/>
                </c:spPr>
                <c:marker>
                  <c:symbol val="square"/>
                  <c:size val="9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communication_cost!$B$16:$B$27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0.14699999999999999</c:v>
                      </c:pt>
                      <c:pt idx="1">
                        <c:v>0.151</c:v>
                      </c:pt>
                      <c:pt idx="2">
                        <c:v>9.5</c:v>
                      </c:pt>
                      <c:pt idx="3">
                        <c:v>20.3</c:v>
                      </c:pt>
                      <c:pt idx="4">
                        <c:v>6.1999999999999993</c:v>
                      </c:pt>
                      <c:pt idx="5">
                        <c:v>9.6</c:v>
                      </c:pt>
                      <c:pt idx="6">
                        <c:v>24.4</c:v>
                      </c:pt>
                      <c:pt idx="7">
                        <c:v>10.299999999999999</c:v>
                      </c:pt>
                      <c:pt idx="8">
                        <c:v>0.19499999999999998</c:v>
                      </c:pt>
                      <c:pt idx="9">
                        <c:v>0.151</c:v>
                      </c:pt>
                      <c:pt idx="10">
                        <c:v>0.184625966666666</c:v>
                      </c:pt>
                      <c:pt idx="11">
                        <c:v>0.15221741666666599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communication_cost!$D$15</c15:sqref>
                        </c15:formulaRef>
                      </c:ext>
                    </c:extLst>
                    <c:strCache>
                      <c:ptCount val="1"/>
                      <c:pt idx="0">
                        <c:v>Transmitted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9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communication_cost!$D$16:$D$27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0.11499999999999999</c:v>
                      </c:pt>
                      <c:pt idx="1">
                        <c:v>0.11599999999999999</c:v>
                      </c:pt>
                      <c:pt idx="2">
                        <c:v>5.3999999999999995</c:v>
                      </c:pt>
                      <c:pt idx="3">
                        <c:v>22.599999999999998</c:v>
                      </c:pt>
                      <c:pt idx="4">
                        <c:v>10</c:v>
                      </c:pt>
                      <c:pt idx="5">
                        <c:v>7.6</c:v>
                      </c:pt>
                      <c:pt idx="6">
                        <c:v>25</c:v>
                      </c:pt>
                      <c:pt idx="7">
                        <c:v>12.399999999999999</c:v>
                      </c:pt>
                      <c:pt idx="8">
                        <c:v>0.152</c:v>
                      </c:pt>
                      <c:pt idx="9">
                        <c:v>0.11799999999999999</c:v>
                      </c:pt>
                      <c:pt idx="10">
                        <c:v>0.14365188333333301</c:v>
                      </c:pt>
                      <c:pt idx="11">
                        <c:v>0.11528244999999999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v>rx_p=1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communication_cost!$B$118:$B$128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0.222</c:v>
                      </c:pt>
                      <c:pt idx="1">
                        <c:v>0.158</c:v>
                      </c:pt>
                      <c:pt idx="2">
                        <c:v>27.2</c:v>
                      </c:pt>
                      <c:pt idx="3">
                        <c:v>4.8999999999999995</c:v>
                      </c:pt>
                      <c:pt idx="4">
                        <c:v>3.5</c:v>
                      </c:pt>
                      <c:pt idx="5">
                        <c:v>12.2</c:v>
                      </c:pt>
                      <c:pt idx="6">
                        <c:v>8.4</c:v>
                      </c:pt>
                      <c:pt idx="7">
                        <c:v>7.1</c:v>
                      </c:pt>
                      <c:pt idx="8">
                        <c:v>4.5</c:v>
                      </c:pt>
                      <c:pt idx="9">
                        <c:v>0.189</c:v>
                      </c:pt>
                      <c:pt idx="10">
                        <c:v>0.16499999999999998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v>tx_p=1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communication_cost!$D$118:$D$128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0.183</c:v>
                      </c:pt>
                      <c:pt idx="1">
                        <c:v>0.129</c:v>
                      </c:pt>
                      <c:pt idx="2">
                        <c:v>17.5</c:v>
                      </c:pt>
                      <c:pt idx="3">
                        <c:v>6.8</c:v>
                      </c:pt>
                      <c:pt idx="4">
                        <c:v>21.7</c:v>
                      </c:pt>
                      <c:pt idx="5">
                        <c:v>3.8</c:v>
                      </c:pt>
                      <c:pt idx="6">
                        <c:v>6.3</c:v>
                      </c:pt>
                      <c:pt idx="7">
                        <c:v>4.5999999999999996</c:v>
                      </c:pt>
                      <c:pt idx="8">
                        <c:v>0.152</c:v>
                      </c:pt>
                      <c:pt idx="9">
                        <c:v>0.13799999999999998</c:v>
                      </c:pt>
                      <c:pt idx="10">
                        <c:v>0.14299999999999999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tx_p=3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communication_cost!$D$136:$D$145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0.13300000000000001</c:v>
                      </c:pt>
                      <c:pt idx="1">
                        <c:v>0.13300000000000001</c:v>
                      </c:pt>
                      <c:pt idx="2">
                        <c:v>4.8</c:v>
                      </c:pt>
                      <c:pt idx="3">
                        <c:v>21.4</c:v>
                      </c:pt>
                      <c:pt idx="4">
                        <c:v>15.5</c:v>
                      </c:pt>
                      <c:pt idx="5">
                        <c:v>4.3999999999999995</c:v>
                      </c:pt>
                      <c:pt idx="6">
                        <c:v>25.599999999999998</c:v>
                      </c:pt>
                      <c:pt idx="7">
                        <c:v>25.9</c:v>
                      </c:pt>
                      <c:pt idx="8">
                        <c:v>0.54899999999999993</c:v>
                      </c:pt>
                      <c:pt idx="9">
                        <c:v>0.13899999999999998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rx_p=3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communication_cost!$B$136:$B$145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0.161</c:v>
                      </c:pt>
                      <c:pt idx="1">
                        <c:v>0.16200000000000001</c:v>
                      </c:pt>
                      <c:pt idx="2">
                        <c:v>10.4</c:v>
                      </c:pt>
                      <c:pt idx="3">
                        <c:v>19.399999999999999</c:v>
                      </c:pt>
                      <c:pt idx="4">
                        <c:v>6.1999999999999993</c:v>
                      </c:pt>
                      <c:pt idx="5">
                        <c:v>15</c:v>
                      </c:pt>
                      <c:pt idx="6">
                        <c:v>23</c:v>
                      </c:pt>
                      <c:pt idx="7">
                        <c:v>24.9</c:v>
                      </c:pt>
                      <c:pt idx="8">
                        <c:v>0.27499999999999997</c:v>
                      </c:pt>
                      <c:pt idx="9">
                        <c:v>0.16499999999999998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47303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time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(minutes)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3035488"/>
        <c:crosses val="autoZero"/>
        <c:auto val="1"/>
        <c:lblAlgn val="ctr"/>
        <c:lblOffset val="100"/>
        <c:noMultiLvlLbl val="0"/>
      </c:catAx>
      <c:valAx>
        <c:axId val="14730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MBytes /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303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Mbytes across the network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communication_cost!$A$1:$A$4</c:f>
              <c:strCache>
                <c:ptCount val="4"/>
                <c:pt idx="0">
                  <c:v>BigFIM</c:v>
                </c:pt>
                <c:pt idx="1">
                  <c:v>DistEclat</c:v>
                </c:pt>
                <c:pt idx="2">
                  <c:v>Mahout PFP</c:v>
                </c:pt>
                <c:pt idx="3">
                  <c:v>MLlib PFP</c:v>
                </c:pt>
              </c:strCache>
            </c:strRef>
          </c:cat>
          <c:val>
            <c:numRef>
              <c:f>communication_cost!$B$1:$B$4</c:f>
              <c:numCache>
                <c:formatCode>General</c:formatCode>
                <c:ptCount val="4"/>
                <c:pt idx="0">
                  <c:v>2554.068304675</c:v>
                </c:pt>
                <c:pt idx="1">
                  <c:v>2221.1319999999996</c:v>
                </c:pt>
                <c:pt idx="2">
                  <c:v>564.28700000000003</c:v>
                </c:pt>
                <c:pt idx="3">
                  <c:v>2116.096</c:v>
                </c:pt>
              </c:numCache>
            </c:numRef>
          </c:val>
        </c:ser>
        <c:ser>
          <c:idx val="2"/>
          <c:order val="2"/>
          <c:tx>
            <c:v>Execution time (seconds)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communication_cost!$A$1:$A$4</c:f>
              <c:strCache>
                <c:ptCount val="4"/>
                <c:pt idx="0">
                  <c:v>BigFIM</c:v>
                </c:pt>
                <c:pt idx="1">
                  <c:v>DistEclat</c:v>
                </c:pt>
                <c:pt idx="2">
                  <c:v>Mahout PFP</c:v>
                </c:pt>
                <c:pt idx="3">
                  <c:v>MLlib PFP</c:v>
                </c:pt>
              </c:strCache>
            </c:strRef>
          </c:cat>
          <c:val>
            <c:numRef>
              <c:f>communication_cost!$D$1:$D$4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1473040384"/>
        <c:axId val="1473030048"/>
      </c:barChart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communication_cost!$A$1:$A$4</c:f>
              <c:strCache>
                <c:ptCount val="4"/>
                <c:pt idx="0">
                  <c:v>BigFIM</c:v>
                </c:pt>
                <c:pt idx="1">
                  <c:v>DistEclat</c:v>
                </c:pt>
                <c:pt idx="2">
                  <c:v>Mahout PFP</c:v>
                </c:pt>
                <c:pt idx="3">
                  <c:v>MLlib PFP</c:v>
                </c:pt>
              </c:strCache>
            </c:strRef>
          </c:cat>
          <c:val>
            <c:numRef>
              <c:f>communication_cost!$C$1:$C$4</c:f>
              <c:numCache>
                <c:formatCode>General</c:formatCode>
                <c:ptCount val="4"/>
                <c:pt idx="0">
                  <c:v>332</c:v>
                </c:pt>
                <c:pt idx="1">
                  <c:v>317</c:v>
                </c:pt>
                <c:pt idx="2">
                  <c:v>442</c:v>
                </c:pt>
                <c:pt idx="3">
                  <c:v>722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9"/>
        <c:overlap val="-48"/>
        <c:axId val="1473033856"/>
        <c:axId val="1473031680"/>
      </c:barChart>
      <c:catAx>
        <c:axId val="147304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3030048"/>
        <c:crosses val="autoZero"/>
        <c:auto val="1"/>
        <c:lblAlgn val="ctr"/>
        <c:lblOffset val="100"/>
        <c:noMultiLvlLbl val="0"/>
      </c:catAx>
      <c:valAx>
        <c:axId val="147303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MBytes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3040384"/>
        <c:crosses val="autoZero"/>
        <c:crossBetween val="between"/>
      </c:valAx>
      <c:valAx>
        <c:axId val="1473031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3033856"/>
        <c:crosses val="max"/>
        <c:crossBetween val="between"/>
      </c:valAx>
      <c:catAx>
        <c:axId val="147303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3031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Mbytes across the network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communication_cost!$A$1:$A$4</c:f>
              <c:strCache>
                <c:ptCount val="4"/>
                <c:pt idx="0">
                  <c:v>BigFIM</c:v>
                </c:pt>
                <c:pt idx="1">
                  <c:v>DistEclat</c:v>
                </c:pt>
                <c:pt idx="2">
                  <c:v>Mahout PFP</c:v>
                </c:pt>
                <c:pt idx="3">
                  <c:v>MLlib PFP</c:v>
                </c:pt>
              </c:strCache>
            </c:strRef>
          </c:cat>
          <c:val>
            <c:numRef>
              <c:f>communication_cost!$B$1:$B$4</c:f>
              <c:numCache>
                <c:formatCode>General</c:formatCode>
                <c:ptCount val="4"/>
                <c:pt idx="0">
                  <c:v>2554.068304675</c:v>
                </c:pt>
                <c:pt idx="1">
                  <c:v>2221.1319999999996</c:v>
                </c:pt>
                <c:pt idx="2">
                  <c:v>564.28700000000003</c:v>
                </c:pt>
                <c:pt idx="3">
                  <c:v>2116.096</c:v>
                </c:pt>
              </c:numCache>
            </c:numRef>
          </c:val>
        </c:ser>
        <c:ser>
          <c:idx val="2"/>
          <c:order val="2"/>
          <c:tx>
            <c:v>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communication_cost!$A$1:$A$4</c:f>
              <c:strCache>
                <c:ptCount val="4"/>
                <c:pt idx="0">
                  <c:v>BigFIM</c:v>
                </c:pt>
                <c:pt idx="1">
                  <c:v>DistEclat</c:v>
                </c:pt>
                <c:pt idx="2">
                  <c:v>Mahout PFP</c:v>
                </c:pt>
                <c:pt idx="3">
                  <c:v>MLlib PFP</c:v>
                </c:pt>
              </c:strCache>
            </c:strRef>
          </c:cat>
          <c:val>
            <c:numRef>
              <c:f>communication_cost!$D$1:$D$4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1473033312"/>
        <c:axId val="1473037120"/>
      </c:barChart>
      <c:barChart>
        <c:barDir val="col"/>
        <c:grouping val="clustered"/>
        <c:varyColors val="0"/>
        <c:ser>
          <c:idx val="1"/>
          <c:order val="1"/>
          <c:tx>
            <c:v>Execution time (seconds)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communication_cost!$A$1:$A$4</c:f>
              <c:strCache>
                <c:ptCount val="4"/>
                <c:pt idx="0">
                  <c:v>BigFIM</c:v>
                </c:pt>
                <c:pt idx="1">
                  <c:v>DistEclat</c:v>
                </c:pt>
                <c:pt idx="2">
                  <c:v>Mahout PFP</c:v>
                </c:pt>
                <c:pt idx="3">
                  <c:v>MLlib PFP</c:v>
                </c:pt>
              </c:strCache>
            </c:strRef>
          </c:cat>
          <c:val>
            <c:numRef>
              <c:f>communication_cost!$C$1:$C$4</c:f>
              <c:numCache>
                <c:formatCode>General</c:formatCode>
                <c:ptCount val="4"/>
                <c:pt idx="0">
                  <c:v>332</c:v>
                </c:pt>
                <c:pt idx="1">
                  <c:v>317</c:v>
                </c:pt>
                <c:pt idx="2">
                  <c:v>442</c:v>
                </c:pt>
                <c:pt idx="3">
                  <c:v>722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9"/>
        <c:overlap val="-48"/>
        <c:axId val="1473034944"/>
        <c:axId val="1473034400"/>
      </c:barChart>
      <c:catAx>
        <c:axId val="147303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3037120"/>
        <c:crosses val="autoZero"/>
        <c:auto val="1"/>
        <c:lblAlgn val="ctr"/>
        <c:lblOffset val="100"/>
        <c:noMultiLvlLbl val="0"/>
      </c:catAx>
      <c:valAx>
        <c:axId val="14730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MBytes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3033312"/>
        <c:crosses val="autoZero"/>
        <c:crossBetween val="between"/>
      </c:valAx>
      <c:valAx>
        <c:axId val="1473034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3034944"/>
        <c:crosses val="max"/>
        <c:crossBetween val="between"/>
      </c:valAx>
      <c:catAx>
        <c:axId val="1473034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3034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communication_approfondimento!$G$7:$G$9</c:f>
              <c:numCache>
                <c:formatCode>General</c:formatCode>
                <c:ptCount val="3"/>
                <c:pt idx="0">
                  <c:v>134500</c:v>
                </c:pt>
                <c:pt idx="1">
                  <c:v>16500000</c:v>
                </c:pt>
                <c:pt idx="2">
                  <c:v>1150500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038208"/>
        <c:axId val="1473038752"/>
      </c:lineChart>
      <c:catAx>
        <c:axId val="147303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3038752"/>
        <c:crosses val="autoZero"/>
        <c:auto val="1"/>
        <c:lblAlgn val="ctr"/>
        <c:lblOffset val="100"/>
        <c:noMultiLvlLbl val="0"/>
      </c:catAx>
      <c:valAx>
        <c:axId val="14730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303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communication_approfondimento!$G$27:$G$30</c:f>
              <c:numCache>
                <c:formatCode>General</c:formatCode>
                <c:ptCount val="4"/>
                <c:pt idx="0">
                  <c:v>5300000</c:v>
                </c:pt>
                <c:pt idx="1">
                  <c:v>20700000</c:v>
                </c:pt>
                <c:pt idx="2">
                  <c:v>10100000</c:v>
                </c:pt>
                <c:pt idx="3">
                  <c:v>3250000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039296"/>
        <c:axId val="1473039840"/>
      </c:lineChart>
      <c:catAx>
        <c:axId val="147303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3039840"/>
        <c:crosses val="autoZero"/>
        <c:auto val="1"/>
        <c:lblAlgn val="ctr"/>
        <c:lblOffset val="100"/>
        <c:noMultiLvlLbl val="0"/>
      </c:catAx>
      <c:valAx>
        <c:axId val="147303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303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communication_approfondimento!$Q$14:$Q$22</c:f>
              <c:numCache>
                <c:formatCode>General</c:formatCode>
                <c:ptCount val="9"/>
                <c:pt idx="0">
                  <c:v>136000</c:v>
                </c:pt>
                <c:pt idx="1">
                  <c:v>3350000</c:v>
                </c:pt>
                <c:pt idx="2">
                  <c:v>22400000</c:v>
                </c:pt>
                <c:pt idx="3">
                  <c:v>8400000</c:v>
                </c:pt>
                <c:pt idx="4">
                  <c:v>6500000</c:v>
                </c:pt>
                <c:pt idx="5">
                  <c:v>22600000</c:v>
                </c:pt>
                <c:pt idx="6">
                  <c:v>11550000</c:v>
                </c:pt>
                <c:pt idx="7">
                  <c:v>146500</c:v>
                </c:pt>
                <c:pt idx="8">
                  <c:v>136500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211696"/>
        <c:axId val="1474214960"/>
      </c:lineChart>
      <c:catAx>
        <c:axId val="147421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4214960"/>
        <c:crosses val="autoZero"/>
        <c:auto val="1"/>
        <c:lblAlgn val="ctr"/>
        <c:lblOffset val="100"/>
        <c:noMultiLvlLbl val="0"/>
      </c:catAx>
      <c:valAx>
        <c:axId val="14742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421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minsup_nuovo_6000!$D$26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minsup_nuovo_6000!$B$30:$B$38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</c:numCache>
            </c:numRef>
          </c:xVal>
          <c:yVal>
            <c:numRef>
              <c:f>minsup_nuovo_6000!$D$30:$D$38</c:f>
              <c:numCache>
                <c:formatCode>General</c:formatCode>
                <c:ptCount val="9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972</c:v>
                </c:pt>
                <c:pt idx="7">
                  <c:v>3720</c:v>
                </c:pt>
                <c:pt idx="8">
                  <c:v>6918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minsup_nuovo_6000!$E$26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minsup_nuovo_6000!$B$30:$B$38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</c:numCache>
            </c:numRef>
          </c:xVal>
          <c:yVal>
            <c:numRef>
              <c:f>minsup_nuovo_6000!$E$30:$E$38</c:f>
              <c:numCache>
                <c:formatCode>General</c:formatCode>
                <c:ptCount val="9"/>
                <c:pt idx="0">
                  <c:v>210</c:v>
                </c:pt>
                <c:pt idx="1">
                  <c:v>245</c:v>
                </c:pt>
                <c:pt idx="2">
                  <c:v>300</c:v>
                </c:pt>
                <c:pt idx="3">
                  <c:v>314</c:v>
                </c:pt>
                <c:pt idx="4">
                  <c:v>418</c:v>
                </c:pt>
                <c:pt idx="5">
                  <c:v>722</c:v>
                </c:pt>
                <c:pt idx="6">
                  <c:v>1380</c:v>
                </c:pt>
                <c:pt idx="7">
                  <c:v>2061</c:v>
                </c:pt>
                <c:pt idx="8">
                  <c:v>2100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minsup_nuovo_6000!$F$26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diamond"/>
            <c:size val="9"/>
            <c:spPr>
              <a:solidFill>
                <a:srgbClr val="FFFF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minsup_nuovo_6000!$B$30:$B$38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</c:numCache>
            </c:numRef>
          </c:xVal>
          <c:yVal>
            <c:numRef>
              <c:f>minsup_nuovo_6000!$F$30:$F$38</c:f>
              <c:numCache>
                <c:formatCode>General</c:formatCode>
                <c:ptCount val="9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820</c:v>
                </c:pt>
                <c:pt idx="7">
                  <c:v>881</c:v>
                </c:pt>
                <c:pt idx="8">
                  <c:v>930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minsup_nuovo_6000!$C$26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minsup_nuovo_6000!$B$30:$B$38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</c:numCache>
            </c:numRef>
          </c:xVal>
          <c:yVal>
            <c:numRef>
              <c:f>minsup_nuovo_6000!$C$30:$C$38</c:f>
              <c:numCache>
                <c:formatCode>General</c:formatCode>
                <c:ptCount val="9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114320"/>
        <c:axId val="1471108336"/>
      </c:scatterChart>
      <c:valAx>
        <c:axId val="1471114320"/>
        <c:scaling>
          <c:orientation val="minMax"/>
          <c:max val="0.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108336"/>
        <c:crosses val="autoZero"/>
        <c:crossBetween val="midCat"/>
      </c:valAx>
      <c:valAx>
        <c:axId val="147110833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11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communication_approfondimento!$Y$14:$Y$21</c:f>
              <c:numCache>
                <c:formatCode>General</c:formatCode>
                <c:ptCount val="8"/>
                <c:pt idx="0">
                  <c:v>141000</c:v>
                </c:pt>
                <c:pt idx="1">
                  <c:v>12550000</c:v>
                </c:pt>
                <c:pt idx="2">
                  <c:v>15700000</c:v>
                </c:pt>
                <c:pt idx="3">
                  <c:v>12550000</c:v>
                </c:pt>
                <c:pt idx="4">
                  <c:v>8000000</c:v>
                </c:pt>
                <c:pt idx="5">
                  <c:v>27400000</c:v>
                </c:pt>
                <c:pt idx="6">
                  <c:v>3350000</c:v>
                </c:pt>
                <c:pt idx="7">
                  <c:v>151500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216592"/>
        <c:axId val="1474210608"/>
      </c:lineChart>
      <c:catAx>
        <c:axId val="147421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4210608"/>
        <c:crosses val="autoZero"/>
        <c:auto val="1"/>
        <c:lblAlgn val="ctr"/>
        <c:lblOffset val="100"/>
        <c:noMultiLvlLbl val="0"/>
      </c:catAx>
      <c:valAx>
        <c:axId val="14742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421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communication_approfondimento!$F$79:$F$83</c:f>
              <c:numCache>
                <c:formatCode>General</c:formatCode>
                <c:ptCount val="5"/>
                <c:pt idx="0">
                  <c:v>131500</c:v>
                </c:pt>
                <c:pt idx="1">
                  <c:v>2350000</c:v>
                </c:pt>
                <c:pt idx="2">
                  <c:v>2400000</c:v>
                </c:pt>
                <c:pt idx="3">
                  <c:v>304000</c:v>
                </c:pt>
                <c:pt idx="4">
                  <c:v>152000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218224"/>
        <c:axId val="1474217680"/>
      </c:lineChart>
      <c:catAx>
        <c:axId val="147421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4217680"/>
        <c:crosses val="autoZero"/>
        <c:auto val="1"/>
        <c:lblAlgn val="ctr"/>
        <c:lblOffset val="100"/>
        <c:noMultiLvlLbl val="0"/>
      </c:catAx>
      <c:valAx>
        <c:axId val="14742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421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communication_approfondimento!$N$89:$N$98</c:f>
              <c:numCache>
                <c:formatCode>General</c:formatCode>
                <c:ptCount val="10"/>
                <c:pt idx="0">
                  <c:v>147500</c:v>
                </c:pt>
                <c:pt idx="1">
                  <c:v>5150000</c:v>
                </c:pt>
                <c:pt idx="2">
                  <c:v>1110500</c:v>
                </c:pt>
                <c:pt idx="3">
                  <c:v>3800000</c:v>
                </c:pt>
                <c:pt idx="4">
                  <c:v>3350000</c:v>
                </c:pt>
                <c:pt idx="5">
                  <c:v>1550000</c:v>
                </c:pt>
                <c:pt idx="6">
                  <c:v>980500</c:v>
                </c:pt>
                <c:pt idx="7">
                  <c:v>327000</c:v>
                </c:pt>
                <c:pt idx="8">
                  <c:v>144000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220400"/>
        <c:axId val="1474218768"/>
      </c:lineChart>
      <c:catAx>
        <c:axId val="1474220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4218768"/>
        <c:crosses val="autoZero"/>
        <c:auto val="1"/>
        <c:lblAlgn val="ctr"/>
        <c:lblOffset val="100"/>
        <c:noMultiLvlLbl val="0"/>
      </c:catAx>
      <c:valAx>
        <c:axId val="147421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422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9695801825218"/>
          <c:y val="4.3715857742993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communication_approfondimento!$W$89:$W$99</c:f>
              <c:numCache>
                <c:formatCode>General</c:formatCode>
                <c:ptCount val="11"/>
                <c:pt idx="0">
                  <c:v>146500</c:v>
                </c:pt>
                <c:pt idx="1">
                  <c:v>4550000</c:v>
                </c:pt>
                <c:pt idx="2">
                  <c:v>1250000</c:v>
                </c:pt>
                <c:pt idx="3">
                  <c:v>3650000</c:v>
                </c:pt>
                <c:pt idx="4">
                  <c:v>3350000</c:v>
                </c:pt>
                <c:pt idx="5">
                  <c:v>1500000</c:v>
                </c:pt>
                <c:pt idx="6">
                  <c:v>1039000</c:v>
                </c:pt>
                <c:pt idx="7">
                  <c:v>817500</c:v>
                </c:pt>
                <c:pt idx="8">
                  <c:v>3050000</c:v>
                </c:pt>
                <c:pt idx="9">
                  <c:v>184500</c:v>
                </c:pt>
                <c:pt idx="10">
                  <c:v>152000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207888"/>
        <c:axId val="1474208432"/>
      </c:lineChart>
      <c:catAx>
        <c:axId val="147420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4208432"/>
        <c:crosses val="autoZero"/>
        <c:auto val="1"/>
        <c:lblAlgn val="ctr"/>
        <c:lblOffset val="100"/>
        <c:noMultiLvlLbl val="0"/>
      </c:catAx>
      <c:valAx>
        <c:axId val="14742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420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communication_approfondimento!$F$79:$F$83</c:f>
              <c:numCache>
                <c:formatCode>General</c:formatCode>
                <c:ptCount val="5"/>
                <c:pt idx="0">
                  <c:v>131500</c:v>
                </c:pt>
                <c:pt idx="1">
                  <c:v>2350000</c:v>
                </c:pt>
                <c:pt idx="2">
                  <c:v>2400000</c:v>
                </c:pt>
                <c:pt idx="3">
                  <c:v>304000</c:v>
                </c:pt>
                <c:pt idx="4">
                  <c:v>152000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209520"/>
        <c:axId val="1474219312"/>
      </c:lineChart>
      <c:catAx>
        <c:axId val="1474209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4219312"/>
        <c:crosses val="autoZero"/>
        <c:auto val="1"/>
        <c:lblAlgn val="ctr"/>
        <c:lblOffset val="100"/>
        <c:noMultiLvlLbl val="0"/>
      </c:catAx>
      <c:valAx>
        <c:axId val="14742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420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communication_approfondimento!$N$89:$N$98</c:f>
              <c:numCache>
                <c:formatCode>General</c:formatCode>
                <c:ptCount val="10"/>
                <c:pt idx="0">
                  <c:v>147500</c:v>
                </c:pt>
                <c:pt idx="1">
                  <c:v>5150000</c:v>
                </c:pt>
                <c:pt idx="2">
                  <c:v>1110500</c:v>
                </c:pt>
                <c:pt idx="3">
                  <c:v>3800000</c:v>
                </c:pt>
                <c:pt idx="4">
                  <c:v>3350000</c:v>
                </c:pt>
                <c:pt idx="5">
                  <c:v>1550000</c:v>
                </c:pt>
                <c:pt idx="6">
                  <c:v>980500</c:v>
                </c:pt>
                <c:pt idx="7">
                  <c:v>327000</c:v>
                </c:pt>
                <c:pt idx="8">
                  <c:v>144000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212240"/>
        <c:axId val="1474210064"/>
      </c:lineChart>
      <c:catAx>
        <c:axId val="147421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4210064"/>
        <c:crosses val="autoZero"/>
        <c:auto val="1"/>
        <c:lblAlgn val="ctr"/>
        <c:lblOffset val="100"/>
        <c:noMultiLvlLbl val="0"/>
      </c:catAx>
      <c:valAx>
        <c:axId val="14742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421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'attributes_10M trans._NEW_6000'!$C$20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'attributes_10M trans._NEW_6000'!$A$21:$A$30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trans._NEW_6000'!$C$21:$C$30</c:f>
              <c:numCache>
                <c:formatCode>General</c:formatCode>
                <c:ptCount val="10"/>
                <c:pt idx="0">
                  <c:v>188</c:v>
                </c:pt>
                <c:pt idx="1">
                  <c:v>201</c:v>
                </c:pt>
                <c:pt idx="2">
                  <c:v>213</c:v>
                </c:pt>
                <c:pt idx="3">
                  <c:v>271</c:v>
                </c:pt>
                <c:pt idx="4">
                  <c:v>372</c:v>
                </c:pt>
                <c:pt idx="5">
                  <c:v>456</c:v>
                </c:pt>
                <c:pt idx="6">
                  <c:v>558</c:v>
                </c:pt>
                <c:pt idx="7">
                  <c:v>906</c:v>
                </c:pt>
                <c:pt idx="8">
                  <c:v>1404</c:v>
                </c:pt>
                <c:pt idx="9">
                  <c:v>1870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'attributes_10M trans._NEW_6000'!$D$20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'attributes_10M trans._NEW_6000'!$A$21:$A$30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trans._NEW_6000'!$D$21:$D$30</c:f>
              <c:numCache>
                <c:formatCode>General</c:formatCode>
                <c:ptCount val="10"/>
                <c:pt idx="0">
                  <c:v>221</c:v>
                </c:pt>
                <c:pt idx="1">
                  <c:v>223</c:v>
                </c:pt>
                <c:pt idx="2">
                  <c:v>254</c:v>
                </c:pt>
                <c:pt idx="3">
                  <c:v>531</c:v>
                </c:pt>
                <c:pt idx="4">
                  <c:v>1425</c:v>
                </c:pt>
                <c:pt idx="5">
                  <c:v>3241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'attributes_10M trans._NEW_6000'!$B$20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'attributes_10M trans._NEW_6000'!$A$21:$A$30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trans._NEW_6000'!$B$21:$B$30</c:f>
              <c:numCache>
                <c:formatCode>General</c:formatCode>
                <c:ptCount val="10"/>
                <c:pt idx="2">
                  <c:v>228</c:v>
                </c:pt>
                <c:pt idx="3">
                  <c:v>249</c:v>
                </c:pt>
                <c:pt idx="4">
                  <c:v>364</c:v>
                </c:pt>
                <c:pt idx="5">
                  <c:v>440</c:v>
                </c:pt>
                <c:pt idx="6">
                  <c:v>551</c:v>
                </c:pt>
                <c:pt idx="7">
                  <c:v>709</c:v>
                </c:pt>
                <c:pt idx="8">
                  <c:v>940</c:v>
                </c:pt>
                <c:pt idx="9">
                  <c:v>1206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213328"/>
        <c:axId val="1471757504"/>
      </c:lineChart>
      <c:catAx>
        <c:axId val="147421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Number of attributes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757504"/>
        <c:crosses val="autoZero"/>
        <c:auto val="1"/>
        <c:lblAlgn val="ctr"/>
        <c:lblOffset val="100"/>
        <c:noMultiLvlLbl val="0"/>
      </c:catAx>
      <c:valAx>
        <c:axId val="1471757504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421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'attributes_10M trans._NEW_6000'!$B$37</c:f>
              <c:strCache>
                <c:ptCount val="1"/>
                <c:pt idx="0">
                  <c:v>MLlib PFP minsup 0.05%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'attributes_10M trans._NEW_6000'!$A$38:$A$40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trans._NEW_6000'!$B$38:$B$40</c:f>
              <c:numCache>
                <c:formatCode>General</c:formatCode>
                <c:ptCount val="3"/>
                <c:pt idx="0">
                  <c:v>1380</c:v>
                </c:pt>
                <c:pt idx="2">
                  <c:v>8940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'attributes_10M trans._NEW_6000'!$C$37</c:f>
              <c:strCache>
                <c:ptCount val="1"/>
                <c:pt idx="0">
                  <c:v>Mahout PFP minsup 0.05%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x"/>
            <c:size val="9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'attributes_10M trans._NEW_6000'!$A$38:$A$40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trans._NEW_6000'!$C$38:$C$40</c:f>
              <c:numCache>
                <c:formatCode>General</c:formatCode>
                <c:ptCount val="3"/>
                <c:pt idx="0">
                  <c:v>972</c:v>
                </c:pt>
                <c:pt idx="1">
                  <c:v>2086</c:v>
                </c:pt>
                <c:pt idx="2">
                  <c:v>4290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'attributes_10M trans._NEW_6000'!$B$46</c:f>
              <c:strCache>
                <c:ptCount val="1"/>
                <c:pt idx="0">
                  <c:v>MLlib PFP minsup 0.01%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triangle"/>
            <c:size val="9"/>
            <c:spPr>
              <a:solidFill>
                <a:schemeClr val="bg1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xVal>
            <c:numRef>
              <c:f>'attributes_10M trans._NEW_6000'!$A$47:$A$49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trans._NEW_6000'!$B$47:$B$49</c:f>
              <c:numCache>
                <c:formatCode>General</c:formatCode>
                <c:ptCount val="3"/>
                <c:pt idx="0">
                  <c:v>2061</c:v>
                </c:pt>
                <c:pt idx="2">
                  <c:v>9990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'attributes_10M trans._NEW_6000'!$C$46</c:f>
              <c:strCache>
                <c:ptCount val="1"/>
                <c:pt idx="0">
                  <c:v>Mahout PFP minsup 0.01%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plus"/>
            <c:size val="9"/>
            <c:spPr>
              <a:solidFill>
                <a:schemeClr val="bg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'attributes_10M trans._NEW_6000'!$A$47:$A$49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trans._NEW_6000'!$C$47:$C$49</c:f>
              <c:numCache>
                <c:formatCode>General</c:formatCode>
                <c:ptCount val="3"/>
                <c:pt idx="0">
                  <c:v>3720</c:v>
                </c:pt>
                <c:pt idx="1">
                  <c:v>20340</c:v>
                </c:pt>
                <c:pt idx="2">
                  <c:v>71400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755328"/>
        <c:axId val="1471749888"/>
      </c:scatterChart>
      <c:valAx>
        <c:axId val="1471755328"/>
        <c:scaling>
          <c:orientation val="minMax"/>
          <c:max val="3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of attributes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749888"/>
        <c:crosses val="autoZero"/>
        <c:crossBetween val="midCat"/>
        <c:majorUnit val="10"/>
      </c:valAx>
      <c:valAx>
        <c:axId val="1471749888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75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'attributes_10M trans._NEW'!$C$20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'attributes_10M trans._NEW'!$A$21:$A$30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trans._NEW'!$C$21:$C$30</c:f>
              <c:numCache>
                <c:formatCode>General</c:formatCode>
                <c:ptCount val="10"/>
                <c:pt idx="0">
                  <c:v>188</c:v>
                </c:pt>
                <c:pt idx="1">
                  <c:v>201</c:v>
                </c:pt>
                <c:pt idx="2">
                  <c:v>213</c:v>
                </c:pt>
                <c:pt idx="3">
                  <c:v>271</c:v>
                </c:pt>
                <c:pt idx="4">
                  <c:v>372</c:v>
                </c:pt>
                <c:pt idx="5">
                  <c:v>456</c:v>
                </c:pt>
                <c:pt idx="6">
                  <c:v>558</c:v>
                </c:pt>
                <c:pt idx="7">
                  <c:v>906</c:v>
                </c:pt>
                <c:pt idx="8">
                  <c:v>1404</c:v>
                </c:pt>
                <c:pt idx="9">
                  <c:v>1870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'attributes_10M trans._NEW'!$D$20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'attributes_10M trans._NEW'!$A$21:$A$30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trans._NEW'!$D$21:$D$30</c:f>
              <c:numCache>
                <c:formatCode>General</c:formatCode>
                <c:ptCount val="10"/>
                <c:pt idx="0">
                  <c:v>156</c:v>
                </c:pt>
                <c:pt idx="1">
                  <c:v>163</c:v>
                </c:pt>
                <c:pt idx="2">
                  <c:v>198</c:v>
                </c:pt>
                <c:pt idx="3">
                  <c:v>480</c:v>
                </c:pt>
                <c:pt idx="4">
                  <c:v>1361</c:v>
                </c:pt>
                <c:pt idx="5">
                  <c:v>3217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'attributes_10M trans._NEW'!$B$20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'attributes_10M trans._NEW'!$A$21:$A$30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trans._NEW'!$B$21:$B$30</c:f>
              <c:numCache>
                <c:formatCode>General</c:formatCode>
                <c:ptCount val="10"/>
                <c:pt idx="2">
                  <c:v>228</c:v>
                </c:pt>
                <c:pt idx="3">
                  <c:v>249</c:v>
                </c:pt>
                <c:pt idx="4">
                  <c:v>364</c:v>
                </c:pt>
                <c:pt idx="5">
                  <c:v>440</c:v>
                </c:pt>
                <c:pt idx="6">
                  <c:v>551</c:v>
                </c:pt>
                <c:pt idx="7">
                  <c:v>709</c:v>
                </c:pt>
                <c:pt idx="8">
                  <c:v>940</c:v>
                </c:pt>
                <c:pt idx="9">
                  <c:v>1206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750432"/>
        <c:axId val="1471761312"/>
      </c:lineChart>
      <c:catAx>
        <c:axId val="147175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Number of attributes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761312"/>
        <c:crosses val="autoZero"/>
        <c:auto val="1"/>
        <c:lblAlgn val="ctr"/>
        <c:lblOffset val="100"/>
        <c:noMultiLvlLbl val="0"/>
      </c:catAx>
      <c:valAx>
        <c:axId val="147176131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75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'attributes_10M trans._NEW'!$B$63</c:f>
              <c:strCache>
                <c:ptCount val="1"/>
                <c:pt idx="0">
                  <c:v>MLlib PFP minsup 0.05%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'attributes_10M trans._NEW'!$A$64:$A$66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trans._NEW'!$B$64:$B$66</c:f>
              <c:numCache>
                <c:formatCode>General</c:formatCode>
                <c:ptCount val="3"/>
                <c:pt idx="0">
                  <c:v>1260</c:v>
                </c:pt>
                <c:pt idx="1">
                  <c:v>4560</c:v>
                </c:pt>
                <c:pt idx="2">
                  <c:v>8940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'attributes_10M trans._NEW'!$C$63</c:f>
              <c:strCache>
                <c:ptCount val="1"/>
                <c:pt idx="0">
                  <c:v>Mahout PFP minsup 0.05%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x"/>
            <c:size val="9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'attributes_10M trans._NEW'!$A$64:$A$66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trans._NEW'!$C$64:$C$66</c:f>
              <c:numCache>
                <c:formatCode>General</c:formatCode>
                <c:ptCount val="3"/>
                <c:pt idx="0">
                  <c:v>972</c:v>
                </c:pt>
                <c:pt idx="1">
                  <c:v>2086</c:v>
                </c:pt>
                <c:pt idx="2">
                  <c:v>4290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'attributes_10M trans._NEW'!$B$72</c:f>
              <c:strCache>
                <c:ptCount val="1"/>
                <c:pt idx="0">
                  <c:v>MLlib PFP minsup 0.01%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triangle"/>
            <c:size val="9"/>
            <c:spPr>
              <a:solidFill>
                <a:schemeClr val="bg1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xVal>
            <c:numRef>
              <c:f>'attributes_10M trans._NEW'!$A$73:$A$75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trans._NEW'!$B$73:$B$75</c:f>
              <c:numCache>
                <c:formatCode>General</c:formatCode>
                <c:ptCount val="3"/>
                <c:pt idx="0">
                  <c:v>1920</c:v>
                </c:pt>
                <c:pt idx="1">
                  <c:v>5220</c:v>
                </c:pt>
                <c:pt idx="2">
                  <c:v>9990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'attributes_10M trans._NEW'!$C$72</c:f>
              <c:strCache>
                <c:ptCount val="1"/>
                <c:pt idx="0">
                  <c:v>Mahout PFP minsup 0.01%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plus"/>
            <c:size val="9"/>
            <c:spPr>
              <a:solidFill>
                <a:schemeClr val="bg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'attributes_10M trans._NEW'!$A$73:$A$75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trans._NEW'!$C$73:$C$75</c:f>
              <c:numCache>
                <c:formatCode>General</c:formatCode>
                <c:ptCount val="3"/>
                <c:pt idx="0">
                  <c:v>3720</c:v>
                </c:pt>
                <c:pt idx="1">
                  <c:v>20340</c:v>
                </c:pt>
                <c:pt idx="2">
                  <c:v>71400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746624"/>
        <c:axId val="1471759680"/>
      </c:scatterChart>
      <c:valAx>
        <c:axId val="1471746624"/>
        <c:scaling>
          <c:orientation val="minMax"/>
          <c:max val="3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of 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759680"/>
        <c:crosses val="autoZero"/>
        <c:crossBetween val="midCat"/>
        <c:majorUnit val="10"/>
      </c:valAx>
      <c:valAx>
        <c:axId val="1471759680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74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minsup_nuovo_6000!$D$74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minsup_nuovo_6000!$B$75:$B$83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</c:v>
                </c:pt>
                <c:pt idx="7">
                  <c:v>0.05</c:v>
                </c:pt>
                <c:pt idx="8">
                  <c:v>0.01</c:v>
                </c:pt>
              </c:numCache>
            </c:numRef>
          </c:xVal>
          <c:yVal>
            <c:numRef>
              <c:f>minsup_nuovo_6000!$D$75:$D$83</c:f>
              <c:numCache>
                <c:formatCode>General</c:formatCode>
                <c:ptCount val="9"/>
                <c:pt idx="0">
                  <c:v>213</c:v>
                </c:pt>
                <c:pt idx="1">
                  <c:v>238</c:v>
                </c:pt>
                <c:pt idx="2">
                  <c:v>288</c:v>
                </c:pt>
                <c:pt idx="3">
                  <c:v>354</c:v>
                </c:pt>
                <c:pt idx="4">
                  <c:v>525</c:v>
                </c:pt>
                <c:pt idx="5">
                  <c:v>809</c:v>
                </c:pt>
                <c:pt idx="6">
                  <c:v>1711</c:v>
                </c:pt>
                <c:pt idx="7">
                  <c:v>4290</c:v>
                </c:pt>
                <c:pt idx="8">
                  <c:v>71400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minsup_nuovo_6000!$E$74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minsup_nuovo_6000!$B$75:$B$83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</c:v>
                </c:pt>
                <c:pt idx="7">
                  <c:v>0.05</c:v>
                </c:pt>
                <c:pt idx="8">
                  <c:v>0.01</c:v>
                </c:pt>
              </c:numCache>
            </c:numRef>
          </c:xVal>
          <c:yVal>
            <c:numRef>
              <c:f>minsup_nuovo_6000!$E$75:$E$83</c:f>
              <c:numCache>
                <c:formatCode>General</c:formatCode>
                <c:ptCount val="9"/>
                <c:pt idx="0">
                  <c:v>277</c:v>
                </c:pt>
                <c:pt idx="1">
                  <c:v>521</c:v>
                </c:pt>
                <c:pt idx="2">
                  <c:v>1084</c:v>
                </c:pt>
                <c:pt idx="3">
                  <c:v>1831</c:v>
                </c:pt>
                <c:pt idx="4">
                  <c:v>3157</c:v>
                </c:pt>
                <c:pt idx="5">
                  <c:v>4800</c:v>
                </c:pt>
                <c:pt idx="6">
                  <c:v>8747</c:v>
                </c:pt>
                <c:pt idx="7">
                  <c:v>8940</c:v>
                </c:pt>
                <c:pt idx="8">
                  <c:v>10301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minsup_nuovo_6000!$C$74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minsup_nuovo_6000!$B$75:$B$83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</c:v>
                </c:pt>
                <c:pt idx="7">
                  <c:v>0.05</c:v>
                </c:pt>
                <c:pt idx="8">
                  <c:v>0.01</c:v>
                </c:pt>
              </c:numCache>
            </c:numRef>
          </c:xVal>
          <c:yVal>
            <c:numRef>
              <c:f>minsup_nuovo_6000!$C$75:$C$83</c:f>
              <c:numCache>
                <c:formatCode>General</c:formatCode>
                <c:ptCount val="9"/>
                <c:pt idx="0">
                  <c:v>228</c:v>
                </c:pt>
                <c:pt idx="1">
                  <c:v>241</c:v>
                </c:pt>
                <c:pt idx="2">
                  <c:v>276</c:v>
                </c:pt>
                <c:pt idx="3">
                  <c:v>359</c:v>
                </c:pt>
                <c:pt idx="4">
                  <c:v>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120848"/>
        <c:axId val="1471117040"/>
      </c:scatterChart>
      <c:valAx>
        <c:axId val="147112084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117040"/>
        <c:crosses val="autoZero"/>
        <c:crossBetween val="midCat"/>
      </c:valAx>
      <c:valAx>
        <c:axId val="1471117040"/>
        <c:scaling>
          <c:logBase val="10"/>
          <c:orientation val="minMax"/>
          <c:max val="1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12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'attributes_10M trans._NEW'!$C$20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'attributes_10M trans._NEW'!$A$21:$A$30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trans._NEW'!$C$39:$C$48</c:f>
              <c:numCache>
                <c:formatCode>General</c:formatCode>
                <c:ptCount val="10"/>
                <c:pt idx="0">
                  <c:v>451</c:v>
                </c:pt>
                <c:pt idx="1">
                  <c:v>1111</c:v>
                </c:pt>
                <c:pt idx="2">
                  <c:v>1682</c:v>
                </c:pt>
                <c:pt idx="3">
                  <c:v>2943</c:v>
                </c:pt>
                <c:pt idx="4">
                  <c:v>6894</c:v>
                </c:pt>
                <c:pt idx="5">
                  <c:v>17863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'attributes_10M trans._NEW'!$D$20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'attributes_10M trans._NEW'!$A$21:$A$30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trans._NEW'!$D$39:$D$41</c:f>
              <c:numCache>
                <c:formatCode>General</c:formatCode>
                <c:ptCount val="3"/>
                <c:pt idx="0">
                  <c:v>783</c:v>
                </c:pt>
                <c:pt idx="1">
                  <c:v>4498</c:v>
                </c:pt>
                <c:pt idx="2">
                  <c:v>12012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747168"/>
        <c:axId val="147174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'attributes_10M trans._NEW'!$E$38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plus"/>
                  <c:size val="2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'attributes_10M trans._NEW'!$A$21:$A$30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'attributes_10M trans._NEW'!$E$39:$E$40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493</c:v>
                      </c:pt>
                      <c:pt idx="1">
                        <c:v>2172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47174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Number of attributes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746080"/>
        <c:crosses val="autoZero"/>
        <c:auto val="1"/>
        <c:lblAlgn val="ctr"/>
        <c:lblOffset val="100"/>
        <c:noMultiLvlLbl val="0"/>
      </c:catAx>
      <c:valAx>
        <c:axId val="147174608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74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df_vs_bf!$B$2</c:f>
              <c:strCache>
                <c:ptCount val="1"/>
                <c:pt idx="0">
                  <c:v>T10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df_vs_bf!$A$4:$A$9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df_vs_bf!$B$4:$B$9</c:f>
              <c:numCache>
                <c:formatCode>General</c:formatCode>
                <c:ptCount val="6"/>
                <c:pt idx="0">
                  <c:v>100</c:v>
                </c:pt>
                <c:pt idx="1">
                  <c:v>115.91591591591592</c:v>
                </c:pt>
                <c:pt idx="2">
                  <c:v>121.02102102102101</c:v>
                </c:pt>
                <c:pt idx="3">
                  <c:v>143.24324324324326</c:v>
                </c:pt>
                <c:pt idx="4">
                  <c:v>145.64564564564563</c:v>
                </c:pt>
                <c:pt idx="5">
                  <c:v>159.75975975975976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df_vs_bf!$C$2</c:f>
              <c:strCache>
                <c:ptCount val="1"/>
                <c:pt idx="0">
                  <c:v>T100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df_vs_bf!$A$4:$A$9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df_vs_bf!$C$4:$C$9</c:f>
              <c:numCache>
                <c:formatCode>General</c:formatCode>
                <c:ptCount val="6"/>
                <c:pt idx="0">
                  <c:v>100</c:v>
                </c:pt>
                <c:pt idx="1">
                  <c:v>101.16929334011185</c:v>
                </c:pt>
                <c:pt idx="2">
                  <c:v>102.64361972547027</c:v>
                </c:pt>
                <c:pt idx="3">
                  <c:v>102.23690899847485</c:v>
                </c:pt>
                <c:pt idx="4">
                  <c:v>94.051855617691913</c:v>
                </c:pt>
                <c:pt idx="5">
                  <c:v>91.154041687849514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748256"/>
        <c:axId val="1471748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'attributes_10M trans._NEW'!$B$20</c15:sqref>
                        </c15:formulaRef>
                      </c:ext>
                    </c:extLst>
                    <c:strCache>
                      <c:ptCount val="1"/>
                      <c:pt idx="0">
                        <c:v>BigFIM</c:v>
                      </c:pt>
                    </c:strCache>
                  </c:strRef>
                </c:tx>
                <c:spPr>
                  <a:ln w="28575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plus"/>
                  <c:size val="2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df_vs_bf!$A$4:$A$9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'attributes_10M trans._NEW'!$B$21:$B$30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2">
                        <c:v>228</c:v>
                      </c:pt>
                      <c:pt idx="3">
                        <c:v>249</c:v>
                      </c:pt>
                      <c:pt idx="4">
                        <c:v>364</c:v>
                      </c:pt>
                      <c:pt idx="5">
                        <c:v>440</c:v>
                      </c:pt>
                      <c:pt idx="6">
                        <c:v>551</c:v>
                      </c:pt>
                      <c:pt idx="7">
                        <c:v>709</c:v>
                      </c:pt>
                      <c:pt idx="8">
                        <c:v>940</c:v>
                      </c:pt>
                      <c:pt idx="9">
                        <c:v>1206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47174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Prefix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Length (P)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748800"/>
        <c:crosses val="autoZero"/>
        <c:auto val="1"/>
        <c:lblAlgn val="ctr"/>
        <c:lblOffset val="100"/>
        <c:noMultiLvlLbl val="0"/>
      </c:catAx>
      <c:valAx>
        <c:axId val="14717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Normalized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e</a:t>
                </a:r>
                <a:r>
                  <a:rPr lang="it-IT" sz="1100">
                    <a:solidFill>
                      <a:sysClr val="windowText" lastClr="000000"/>
                    </a:solidFill>
                  </a:rPr>
                  <a:t>xecution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74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scalabilità_nuovo_6000!$B$7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scalabilità_nuovo_6000!$B$8:$B$12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scalabilità_nuovo_6000!$C$7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scalabilità_nuovo_6000!$C$8:$C$12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scalabilità_nuovo_6000!$D$7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scalabilità_nuovo_6000!$D$8:$D$12</c:f>
              <c:numCache>
                <c:formatCode>General</c:formatCode>
                <c:ptCount val="5"/>
                <c:pt idx="0">
                  <c:v>243</c:v>
                </c:pt>
                <c:pt idx="1">
                  <c:v>254</c:v>
                </c:pt>
                <c:pt idx="2">
                  <c:v>304</c:v>
                </c:pt>
                <c:pt idx="3">
                  <c:v>455</c:v>
                </c:pt>
                <c:pt idx="4">
                  <c:v>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751520"/>
        <c:axId val="147175260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scalabilità_nuovo_6000!$E$7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scalabilità_nuovo_6000!$E$8:$E$12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47175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Number of transactions ( *10000000)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752608"/>
        <c:crosses val="autoZero"/>
        <c:auto val="1"/>
        <c:lblAlgn val="ctr"/>
        <c:lblOffset val="100"/>
        <c:noMultiLvlLbl val="0"/>
      </c:catAx>
      <c:valAx>
        <c:axId val="147175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75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scalabilità_nuovo_6000!$C$7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scalabilità_nuovo_6000!$D$7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scalabilità_nuovo_6000!$D$8:$D$12</c:f>
              <c:numCache>
                <c:formatCode>General</c:formatCode>
                <c:ptCount val="5"/>
                <c:pt idx="0">
                  <c:v>243</c:v>
                </c:pt>
                <c:pt idx="1">
                  <c:v>254</c:v>
                </c:pt>
                <c:pt idx="2">
                  <c:v>304</c:v>
                </c:pt>
                <c:pt idx="3">
                  <c:v>455</c:v>
                </c:pt>
                <c:pt idx="4">
                  <c:v>633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scalabilità_nuovo_6000!$B$7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754240"/>
        <c:axId val="147175478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scalabilità_nuovo_6000!$E$7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scalabilità_nuovo_6000!$E$8:$E$12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471754240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 smtClean="0"/>
                  <a:t>Tens of millions of transactions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754784"/>
        <c:crosses val="autoZero"/>
        <c:crossBetween val="midCat"/>
      </c:valAx>
      <c:valAx>
        <c:axId val="147175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75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scalabilità_nuovo_6000!$C$7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scalabilità_nuovo_6000!$D$7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scalabilità_nuovo_6000!$D$8:$D$12</c:f>
              <c:numCache>
                <c:formatCode>General</c:formatCode>
                <c:ptCount val="5"/>
                <c:pt idx="0">
                  <c:v>243</c:v>
                </c:pt>
                <c:pt idx="1">
                  <c:v>254</c:v>
                </c:pt>
                <c:pt idx="2">
                  <c:v>304</c:v>
                </c:pt>
                <c:pt idx="3">
                  <c:v>455</c:v>
                </c:pt>
                <c:pt idx="4">
                  <c:v>633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scalabilità_nuovo_6000!$B$7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081168"/>
        <c:axId val="147508769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scalabilità_nuovo_6000!$E$7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scalabilità_nuovo_6000!$E$8:$E$12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475081168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Tens of millions of transactions</a:t>
                </a:r>
                <a:endParaRPr lang="en-US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5087696"/>
        <c:crosses val="autoZero"/>
        <c:crossBetween val="midCat"/>
      </c:valAx>
      <c:valAx>
        <c:axId val="1475087696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508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scalabilità_nuovo_6000!$C$7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scalabilità_nuovo_6000!$D$7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scalabilità_nuovo_6000!$D$8:$D$12</c:f>
              <c:numCache>
                <c:formatCode>General</c:formatCode>
                <c:ptCount val="5"/>
                <c:pt idx="0">
                  <c:v>243</c:v>
                </c:pt>
                <c:pt idx="1">
                  <c:v>254</c:v>
                </c:pt>
                <c:pt idx="2">
                  <c:v>304</c:v>
                </c:pt>
                <c:pt idx="3">
                  <c:v>455</c:v>
                </c:pt>
                <c:pt idx="4">
                  <c:v>633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scalabilità_nuovo_6000!$B$7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808384"/>
        <c:axId val="156981001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scalabilità_nuovo_6000!$E$7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scalabilità_nuovo_6000!$E$8:$E$12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569808384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Tens of millions of transactions</a:t>
                </a:r>
                <a:endParaRPr lang="en-US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9810016"/>
        <c:crosses val="autoZero"/>
        <c:crossBetween val="midCat"/>
      </c:valAx>
      <c:valAx>
        <c:axId val="156981001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980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scalabilità_nuovo!$B$7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scalabilità_nuovo!$C$7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scalabilità_nuovo!$D$7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scalabilità_nuovo!$D$8:$D$12</c:f>
              <c:numCache>
                <c:formatCode>General</c:formatCode>
                <c:ptCount val="5"/>
                <c:pt idx="0">
                  <c:v>147</c:v>
                </c:pt>
                <c:pt idx="1">
                  <c:v>178</c:v>
                </c:pt>
                <c:pt idx="2">
                  <c:v>199</c:v>
                </c:pt>
                <c:pt idx="3">
                  <c:v>359</c:v>
                </c:pt>
                <c:pt idx="4">
                  <c:v>538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087152"/>
        <c:axId val="147508008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scalabilità_nuovo!$E$8:$E$12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47508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Number of transactions ( *10000000)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5080080"/>
        <c:crosses val="autoZero"/>
        <c:auto val="1"/>
        <c:lblAlgn val="ctr"/>
        <c:lblOffset val="100"/>
        <c:noMultiLvlLbl val="0"/>
      </c:catAx>
      <c:valAx>
        <c:axId val="14750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508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scalabilità_nuovo!$C$7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scalabilità_nuovo!$D$7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scalabilità_nuovo!$D$8:$D$12</c:f>
              <c:numCache>
                <c:formatCode>General</c:formatCode>
                <c:ptCount val="5"/>
                <c:pt idx="0">
                  <c:v>147</c:v>
                </c:pt>
                <c:pt idx="1">
                  <c:v>178</c:v>
                </c:pt>
                <c:pt idx="2">
                  <c:v>199</c:v>
                </c:pt>
                <c:pt idx="3">
                  <c:v>359</c:v>
                </c:pt>
                <c:pt idx="4">
                  <c:v>538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scalabilità_nuovo!$B$7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088240"/>
        <c:axId val="147507736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scalabilità_nuovo!$E$8:$E$12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475088240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 smtClean="0"/>
                  <a:t>Tens of millions of transactions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5077360"/>
        <c:crosses val="autoZero"/>
        <c:crossBetween val="midCat"/>
      </c:valAx>
      <c:valAx>
        <c:axId val="147507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508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scalabilità_nuovo!$C$7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scalabilità_nuovo!$D$7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scalabilità_nuovo!$D$8:$D$12</c:f>
              <c:numCache>
                <c:formatCode>General</c:formatCode>
                <c:ptCount val="5"/>
                <c:pt idx="0">
                  <c:v>147</c:v>
                </c:pt>
                <c:pt idx="1">
                  <c:v>178</c:v>
                </c:pt>
                <c:pt idx="2">
                  <c:v>199</c:v>
                </c:pt>
                <c:pt idx="3">
                  <c:v>359</c:v>
                </c:pt>
                <c:pt idx="4">
                  <c:v>538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scalabilità_nuovo!$B$7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076816"/>
        <c:axId val="147508606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scalabilità_nuovo!$E$8:$E$12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475076816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Tens of millions of transactions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5086064"/>
        <c:crosses val="autoZero"/>
        <c:crossBetween val="midCat"/>
      </c:valAx>
      <c:valAx>
        <c:axId val="147508606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507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pattern_length_NEW!$C$5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pattern_length_NEW!$B$6:$B$14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pattern_length_NEW!$C$6:$C$14</c:f>
              <c:numCache>
                <c:formatCode>General</c:formatCode>
                <c:ptCount val="9"/>
                <c:pt idx="0">
                  <c:v>296</c:v>
                </c:pt>
                <c:pt idx="1">
                  <c:v>303</c:v>
                </c:pt>
                <c:pt idx="2">
                  <c:v>288</c:v>
                </c:pt>
                <c:pt idx="3">
                  <c:v>250</c:v>
                </c:pt>
                <c:pt idx="4">
                  <c:v>233</c:v>
                </c:pt>
                <c:pt idx="5">
                  <c:v>217</c:v>
                </c:pt>
                <c:pt idx="6">
                  <c:v>228</c:v>
                </c:pt>
                <c:pt idx="7">
                  <c:v>225</c:v>
                </c:pt>
                <c:pt idx="8">
                  <c:v>116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pattern_length_NEW!$F$5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diamond"/>
            <c:size val="9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xVal>
            <c:numRef>
              <c:f>pattern_length_NEW!$B$6:$B$14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pattern_length_NEW!$F$6:$F$14</c:f>
              <c:numCache>
                <c:formatCode>General</c:formatCode>
                <c:ptCount val="9"/>
                <c:pt idx="0">
                  <c:v>959</c:v>
                </c:pt>
                <c:pt idx="1">
                  <c:v>895</c:v>
                </c:pt>
                <c:pt idx="2">
                  <c:v>729</c:v>
                </c:pt>
                <c:pt idx="3">
                  <c:v>620</c:v>
                </c:pt>
                <c:pt idx="4">
                  <c:v>540</c:v>
                </c:pt>
                <c:pt idx="5">
                  <c:v>530</c:v>
                </c:pt>
                <c:pt idx="6">
                  <c:v>914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pattern_length_NEW!$D$5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pattern_length_NEW!$B$6:$B$14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pattern_length_NEW!$D$6:$D$14</c:f>
              <c:numCache>
                <c:formatCode>General</c:formatCode>
                <c:ptCount val="9"/>
                <c:pt idx="0">
                  <c:v>368</c:v>
                </c:pt>
                <c:pt idx="1">
                  <c:v>364</c:v>
                </c:pt>
                <c:pt idx="2">
                  <c:v>436</c:v>
                </c:pt>
                <c:pt idx="3">
                  <c:v>336</c:v>
                </c:pt>
                <c:pt idx="4">
                  <c:v>326</c:v>
                </c:pt>
                <c:pt idx="5">
                  <c:v>241</c:v>
                </c:pt>
                <c:pt idx="6">
                  <c:v>597</c:v>
                </c:pt>
                <c:pt idx="7">
                  <c:v>257</c:v>
                </c:pt>
                <c:pt idx="8">
                  <c:v>304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pattern_length_NEW!$E$5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pattern_length_NEW!$B$6:$B$14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pattern_length_NEW!$E$6:$E$14</c:f>
              <c:numCache>
                <c:formatCode>General</c:formatCode>
                <c:ptCount val="9"/>
                <c:pt idx="0">
                  <c:v>2881</c:v>
                </c:pt>
                <c:pt idx="1">
                  <c:v>1540</c:v>
                </c:pt>
                <c:pt idx="2">
                  <c:v>856</c:v>
                </c:pt>
                <c:pt idx="3">
                  <c:v>468</c:v>
                </c:pt>
                <c:pt idx="4">
                  <c:v>416</c:v>
                </c:pt>
                <c:pt idx="5">
                  <c:v>254</c:v>
                </c:pt>
                <c:pt idx="6">
                  <c:v>230</c:v>
                </c:pt>
                <c:pt idx="7">
                  <c:v>213</c:v>
                </c:pt>
                <c:pt idx="8">
                  <c:v>201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082256"/>
        <c:axId val="1475089328"/>
      </c:scatterChart>
      <c:valAx>
        <c:axId val="147508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Pattern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5089328"/>
        <c:crosses val="autoZero"/>
        <c:crossBetween val="midCat"/>
      </c:valAx>
      <c:valAx>
        <c:axId val="14750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508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7245705297668"/>
          <c:y val="0.90989615140190805"/>
          <c:w val="0.79529435174393814"/>
          <c:h val="6.6470174271985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minsup_nuovo_6000!$D$26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minsup_nuovo_6000!$D$30:$D$39</c:f>
              <c:numCache>
                <c:formatCode>General</c:formatCode>
                <c:ptCount val="10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972</c:v>
                </c:pt>
                <c:pt idx="7">
                  <c:v>3720</c:v>
                </c:pt>
                <c:pt idx="8">
                  <c:v>6918</c:v>
                </c:pt>
                <c:pt idx="9">
                  <c:v>25140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minsup_nuovo_6000!$E$26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minsup_nuovo_6000!$E$30:$E$39</c:f>
              <c:numCache>
                <c:formatCode>General</c:formatCode>
                <c:ptCount val="10"/>
                <c:pt idx="0">
                  <c:v>210</c:v>
                </c:pt>
                <c:pt idx="1">
                  <c:v>245</c:v>
                </c:pt>
                <c:pt idx="2">
                  <c:v>300</c:v>
                </c:pt>
                <c:pt idx="3">
                  <c:v>314</c:v>
                </c:pt>
                <c:pt idx="4">
                  <c:v>418</c:v>
                </c:pt>
                <c:pt idx="5">
                  <c:v>722</c:v>
                </c:pt>
                <c:pt idx="6">
                  <c:v>1380</c:v>
                </c:pt>
                <c:pt idx="7">
                  <c:v>2061</c:v>
                </c:pt>
                <c:pt idx="8">
                  <c:v>2100</c:v>
                </c:pt>
                <c:pt idx="9">
                  <c:v>2998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minsup_nuovo_6000!$F$26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triangle"/>
            <c:size val="9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minsup_nuovo_6000!$F$30:$F$39</c:f>
              <c:numCache>
                <c:formatCode>General</c:formatCode>
                <c:ptCount val="10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820</c:v>
                </c:pt>
                <c:pt idx="7">
                  <c:v>881</c:v>
                </c:pt>
                <c:pt idx="8">
                  <c:v>930</c:v>
                </c:pt>
                <c:pt idx="9">
                  <c:v>973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minsup_nuovo_6000!$C$26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minsup_nuovo_6000!$C$30:$C$39</c:f>
              <c:numCache>
                <c:formatCode>General</c:formatCode>
                <c:ptCount val="10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121936"/>
        <c:axId val="1471109968"/>
      </c:scatterChart>
      <c:valAx>
        <c:axId val="1471121936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109968"/>
        <c:crosses val="autoZero"/>
        <c:crossBetween val="midCat"/>
      </c:valAx>
      <c:valAx>
        <c:axId val="1471109968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12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pattern_length_NEW!$C$5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pattern_length_NEW!$B$21:$B$29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pattern_length_NEW!$C$21:$C$29</c:f>
              <c:numCache>
                <c:formatCode>General</c:formatCode>
                <c:ptCount val="9"/>
                <c:pt idx="0">
                  <c:v>465</c:v>
                </c:pt>
                <c:pt idx="1">
                  <c:v>516</c:v>
                </c:pt>
                <c:pt idx="2">
                  <c:v>530</c:v>
                </c:pt>
                <c:pt idx="3">
                  <c:v>484</c:v>
                </c:pt>
                <c:pt idx="4">
                  <c:v>440</c:v>
                </c:pt>
                <c:pt idx="5">
                  <c:v>324</c:v>
                </c:pt>
                <c:pt idx="6">
                  <c:v>337</c:v>
                </c:pt>
                <c:pt idx="7">
                  <c:v>302</c:v>
                </c:pt>
                <c:pt idx="8">
                  <c:v>276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pattern_length_NEW!$D$5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pattern_length_NEW!$B$21:$B$29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pattern_length_NEW!$D$21:$D$29</c:f>
              <c:numCache>
                <c:formatCode>General</c:formatCode>
                <c:ptCount val="9"/>
                <c:pt idx="0">
                  <c:v>1014</c:v>
                </c:pt>
                <c:pt idx="1">
                  <c:v>623</c:v>
                </c:pt>
                <c:pt idx="2">
                  <c:v>713</c:v>
                </c:pt>
                <c:pt idx="3">
                  <c:v>527</c:v>
                </c:pt>
                <c:pt idx="4">
                  <c:v>635</c:v>
                </c:pt>
                <c:pt idx="5">
                  <c:v>503</c:v>
                </c:pt>
                <c:pt idx="6">
                  <c:v>2880</c:v>
                </c:pt>
                <c:pt idx="7">
                  <c:v>411</c:v>
                </c:pt>
                <c:pt idx="8">
                  <c:v>777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pattern_length_NEW!$E$5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pattern_length_NEW!$B$21:$B$29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pattern_length_NEW!$E$21:$E$29</c:f>
              <c:numCache>
                <c:formatCode>General</c:formatCode>
                <c:ptCount val="9"/>
                <c:pt idx="2">
                  <c:v>3930</c:v>
                </c:pt>
                <c:pt idx="3">
                  <c:v>2274</c:v>
                </c:pt>
                <c:pt idx="4">
                  <c:v>1446</c:v>
                </c:pt>
                <c:pt idx="5">
                  <c:v>840</c:v>
                </c:pt>
                <c:pt idx="6">
                  <c:v>587</c:v>
                </c:pt>
                <c:pt idx="7">
                  <c:v>349</c:v>
                </c:pt>
                <c:pt idx="8">
                  <c:v>282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078992"/>
        <c:axId val="1475083888"/>
      </c:scatterChart>
      <c:valAx>
        <c:axId val="1475078992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Pattern lenght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5083888"/>
        <c:crosses val="autoZero"/>
        <c:crossBetween val="midCat"/>
      </c:valAx>
      <c:valAx>
        <c:axId val="14750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Exectution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507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pattern_length_NEW!$S$7</c:f>
              <c:strCache>
                <c:ptCount val="1"/>
                <c:pt idx="0">
                  <c:v>frequent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pattern_length_NEW!$B$6:$B$14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pattern_length_NEW!$T$7:$AA$7</c:f>
              <c:numCache>
                <c:formatCode>General</c:formatCode>
                <c:ptCount val="8"/>
                <c:pt idx="0">
                  <c:v>5170</c:v>
                </c:pt>
                <c:pt idx="1">
                  <c:v>9336</c:v>
                </c:pt>
                <c:pt idx="2">
                  <c:v>18892</c:v>
                </c:pt>
                <c:pt idx="3">
                  <c:v>12967</c:v>
                </c:pt>
                <c:pt idx="4">
                  <c:v>10030</c:v>
                </c:pt>
                <c:pt idx="5">
                  <c:v>4150</c:v>
                </c:pt>
                <c:pt idx="6">
                  <c:v>42284</c:v>
                </c:pt>
                <c:pt idx="7">
                  <c:v>9180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079536"/>
        <c:axId val="14750898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pattern_length_NEW!$C$5</c15:sqref>
                        </c15:formulaRef>
                      </c:ext>
                    </c:extLst>
                    <c:strCache>
                      <c:ptCount val="1"/>
                      <c:pt idx="0">
                        <c:v>BigFIM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plus"/>
                  <c:size val="1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pattern_length_NEW!$B$6:$B$14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pattern_length_NEW!$C$6:$C$14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296</c:v>
                      </c:pt>
                      <c:pt idx="1">
                        <c:v>303</c:v>
                      </c:pt>
                      <c:pt idx="2">
                        <c:v>288</c:v>
                      </c:pt>
                      <c:pt idx="3">
                        <c:v>250</c:v>
                      </c:pt>
                      <c:pt idx="4">
                        <c:v>233</c:v>
                      </c:pt>
                      <c:pt idx="5">
                        <c:v>217</c:v>
                      </c:pt>
                      <c:pt idx="6">
                        <c:v>228</c:v>
                      </c:pt>
                      <c:pt idx="7">
                        <c:v>225</c:v>
                      </c:pt>
                      <c:pt idx="8">
                        <c:v>116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pattern_length_NEW!$F$5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prstDash val="lgDashDotDot"/>
                    <a:round/>
                  </a:ln>
                  <a:effectLst/>
                </c:spPr>
                <c:marker>
                  <c:symbol val="diamond"/>
                  <c:size val="9"/>
                  <c:spPr>
                    <a:noFill/>
                    <a:ln w="31750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pattern_length_NEW!$B$6:$B$14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pattern_length_NEW!$F$6:$F$14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959</c:v>
                      </c:pt>
                      <c:pt idx="1">
                        <c:v>895</c:v>
                      </c:pt>
                      <c:pt idx="2">
                        <c:v>729</c:v>
                      </c:pt>
                      <c:pt idx="3">
                        <c:v>620</c:v>
                      </c:pt>
                      <c:pt idx="4">
                        <c:v>540</c:v>
                      </c:pt>
                      <c:pt idx="5">
                        <c:v>530</c:v>
                      </c:pt>
                      <c:pt idx="6">
                        <c:v>914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pattern_length_NEW!$D$5</c15:sqref>
                        </c15:formulaRef>
                      </c:ext>
                    </c:extLst>
                    <c:strCache>
                      <c:ptCount val="1"/>
                      <c:pt idx="0">
                        <c:v>Mahout PFP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square"/>
                  <c:size val="9"/>
                  <c:spPr>
                    <a:noFill/>
                    <a:ln w="31750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pattern_length_NEW!$B$6:$B$14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pattern_length_NEW!$D$6:$D$14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368</c:v>
                      </c:pt>
                      <c:pt idx="1">
                        <c:v>364</c:v>
                      </c:pt>
                      <c:pt idx="2">
                        <c:v>436</c:v>
                      </c:pt>
                      <c:pt idx="3">
                        <c:v>336</c:v>
                      </c:pt>
                      <c:pt idx="4">
                        <c:v>326</c:v>
                      </c:pt>
                      <c:pt idx="5">
                        <c:v>241</c:v>
                      </c:pt>
                      <c:pt idx="6">
                        <c:v>597</c:v>
                      </c:pt>
                      <c:pt idx="7">
                        <c:v>257</c:v>
                      </c:pt>
                      <c:pt idx="8">
                        <c:v>304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pattern_length_NEW!$E$5</c15:sqref>
                        </c15:formulaRef>
                      </c:ext>
                    </c:extLst>
                    <c:strCache>
                      <c:ptCount val="1"/>
                      <c:pt idx="0">
                        <c:v>MLlib PFP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9"/>
                  <c:spPr>
                    <a:noFill/>
                    <a:ln w="31750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pattern_length_NEW!$B$6:$B$14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pattern_length_NEW!$E$6:$E$14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2881</c:v>
                      </c:pt>
                      <c:pt idx="1">
                        <c:v>1540</c:v>
                      </c:pt>
                      <c:pt idx="2">
                        <c:v>856</c:v>
                      </c:pt>
                      <c:pt idx="3">
                        <c:v>468</c:v>
                      </c:pt>
                      <c:pt idx="4">
                        <c:v>416</c:v>
                      </c:pt>
                      <c:pt idx="5">
                        <c:v>254</c:v>
                      </c:pt>
                      <c:pt idx="6">
                        <c:v>230</c:v>
                      </c:pt>
                      <c:pt idx="7">
                        <c:v>213</c:v>
                      </c:pt>
                      <c:pt idx="8">
                        <c:v>201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47507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Pattern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5089872"/>
        <c:crosses val="autoZero"/>
        <c:crossBetween val="midCat"/>
      </c:valAx>
      <c:valAx>
        <c:axId val="147508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507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7245705297668"/>
          <c:y val="0.90989615140190805"/>
          <c:w val="0.16187744582468708"/>
          <c:h val="6.6470174271985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pattern_length_NEW!$E$5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strRef>
              <c:f>pattern_length_NEW!$T$6:$AA$6</c:f>
              <c:strCache>
                <c:ptCount val="8"/>
                <c:pt idx="0">
                  <c:v>p2</c:v>
                </c:pt>
                <c:pt idx="1">
                  <c:v>p4</c:v>
                </c:pt>
                <c:pt idx="2">
                  <c:v>p6</c:v>
                </c:pt>
                <c:pt idx="3">
                  <c:v>p8</c:v>
                </c:pt>
                <c:pt idx="4">
                  <c:v>p10</c:v>
                </c:pt>
                <c:pt idx="5">
                  <c:v>p12</c:v>
                </c:pt>
                <c:pt idx="6">
                  <c:v>p14</c:v>
                </c:pt>
                <c:pt idx="7">
                  <c:v>p16</c:v>
                </c:pt>
              </c:strCache>
            </c:strRef>
          </c:xVal>
          <c:yVal>
            <c:numRef>
              <c:f>pattern_length_NEW!$T$9:$AA$9</c:f>
              <c:numCache>
                <c:formatCode>General</c:formatCode>
                <c:ptCount val="8"/>
                <c:pt idx="0">
                  <c:v>1.8</c:v>
                </c:pt>
                <c:pt idx="1">
                  <c:v>2.39</c:v>
                </c:pt>
                <c:pt idx="3">
                  <c:v>3.92</c:v>
                </c:pt>
                <c:pt idx="4">
                  <c:v>3.64</c:v>
                </c:pt>
                <c:pt idx="5">
                  <c:v>3.0649999999999999</c:v>
                </c:pt>
                <c:pt idx="6">
                  <c:v>6.0209999999999999</c:v>
                </c:pt>
                <c:pt idx="7">
                  <c:v>3.97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892848"/>
        <c:axId val="14768961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pattern_length_NEW!$C$5</c15:sqref>
                        </c15:formulaRef>
                      </c:ext>
                    </c:extLst>
                    <c:strCache>
                      <c:ptCount val="1"/>
                      <c:pt idx="0">
                        <c:v>BigFIM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plus"/>
                  <c:size val="1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pattern_length_NEW!$B$21:$B$29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pattern_length_NEW!$C$21:$C$29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465</c:v>
                      </c:pt>
                      <c:pt idx="1">
                        <c:v>516</c:v>
                      </c:pt>
                      <c:pt idx="2">
                        <c:v>530</c:v>
                      </c:pt>
                      <c:pt idx="3">
                        <c:v>484</c:v>
                      </c:pt>
                      <c:pt idx="4">
                        <c:v>440</c:v>
                      </c:pt>
                      <c:pt idx="5">
                        <c:v>324</c:v>
                      </c:pt>
                      <c:pt idx="6">
                        <c:v>337</c:v>
                      </c:pt>
                      <c:pt idx="7">
                        <c:v>302</c:v>
                      </c:pt>
                      <c:pt idx="8">
                        <c:v>276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pattern_length_NEW!$D$5</c15:sqref>
                        </c15:formulaRef>
                      </c:ext>
                    </c:extLst>
                    <c:strCache>
                      <c:ptCount val="1"/>
                      <c:pt idx="0">
                        <c:v>Mahout PFP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square"/>
                  <c:size val="9"/>
                  <c:spPr>
                    <a:noFill/>
                    <a:ln w="31750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pattern_length_NEW!$B$21:$B$29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pattern_length_NEW!$D$21:$D$29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1014</c:v>
                      </c:pt>
                      <c:pt idx="1">
                        <c:v>623</c:v>
                      </c:pt>
                      <c:pt idx="2">
                        <c:v>713</c:v>
                      </c:pt>
                      <c:pt idx="3">
                        <c:v>527</c:v>
                      </c:pt>
                      <c:pt idx="4">
                        <c:v>635</c:v>
                      </c:pt>
                      <c:pt idx="5">
                        <c:v>503</c:v>
                      </c:pt>
                      <c:pt idx="6">
                        <c:v>2880</c:v>
                      </c:pt>
                      <c:pt idx="7">
                        <c:v>411</c:v>
                      </c:pt>
                      <c:pt idx="8">
                        <c:v>777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476892848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Pattern lenght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6896112"/>
        <c:crosses val="autoZero"/>
        <c:crossBetween val="midCat"/>
      </c:valAx>
      <c:valAx>
        <c:axId val="14768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Exectution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689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Delicious_NEW_6000!$B$1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Delicious_NEW_6000!$A$2:$A$14</c:f>
              <c:strCache>
                <c:ptCount val="13"/>
                <c:pt idx="0">
                  <c:v>2003</c:v>
                </c:pt>
                <c:pt idx="1">
                  <c:v>2004_1</c:v>
                </c:pt>
                <c:pt idx="2">
                  <c:v>2004_2</c:v>
                </c:pt>
                <c:pt idx="3">
                  <c:v>2004_3</c:v>
                </c:pt>
                <c:pt idx="4">
                  <c:v>2004_4</c:v>
                </c:pt>
                <c:pt idx="5">
                  <c:v>2005_1</c:v>
                </c:pt>
                <c:pt idx="6">
                  <c:v>2005_2</c:v>
                </c:pt>
                <c:pt idx="7">
                  <c:v>2005_3</c:v>
                </c:pt>
                <c:pt idx="8">
                  <c:v>2005_4</c:v>
                </c:pt>
                <c:pt idx="9">
                  <c:v>2006_1</c:v>
                </c:pt>
                <c:pt idx="10">
                  <c:v>2006_2</c:v>
                </c:pt>
                <c:pt idx="11">
                  <c:v>2006_3</c:v>
                </c:pt>
                <c:pt idx="12">
                  <c:v>2006_4</c:v>
                </c:pt>
              </c:strCache>
            </c:strRef>
          </c:cat>
          <c:val>
            <c:numRef>
              <c:f>Delicious_NEW_6000!$B$2:$B$14</c:f>
              <c:numCache>
                <c:formatCode>General</c:formatCode>
                <c:ptCount val="13"/>
                <c:pt idx="0">
                  <c:v>178</c:v>
                </c:pt>
                <c:pt idx="4">
                  <c:v>225</c:v>
                </c:pt>
                <c:pt idx="8">
                  <c:v>320</c:v>
                </c:pt>
                <c:pt idx="12">
                  <c:v>486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Delicious_NEW_6000!$C$1</c:f>
              <c:strCache>
                <c:ptCount val="1"/>
                <c:pt idx="0">
                  <c:v>DistEclat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DotDot"/>
              <a:round/>
              <a:tailEnd type="oval"/>
            </a:ln>
            <a:effectLst/>
          </c:spPr>
          <c:marker>
            <c:symbol val="none"/>
          </c:marker>
          <c:val>
            <c:numRef>
              <c:f>Delicious_NEW_6000!$C$2:$C$14</c:f>
              <c:numCache>
                <c:formatCode>General</c:formatCode>
                <c:ptCount val="13"/>
                <c:pt idx="0">
                  <c:v>108</c:v>
                </c:pt>
                <c:pt idx="4">
                  <c:v>136</c:v>
                </c:pt>
                <c:pt idx="7">
                  <c:v>242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Delicious_NEW_6000!$D$1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2276AE78-991C-43A4-A5D4-100F1DED7A68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B4047F5E-285B-4A1D-A9F4-D7C9CEF01512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28EF338F-D9E9-4DF1-A1CD-9DC725B2574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93D28D56-847D-4DD2-B310-8E1DAF83133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Delicious_NEW_6000!$D$2:$D$14</c:f>
              <c:numCache>
                <c:formatCode>General</c:formatCode>
                <c:ptCount val="13"/>
                <c:pt idx="0">
                  <c:v>231</c:v>
                </c:pt>
                <c:pt idx="4">
                  <c:v>301</c:v>
                </c:pt>
                <c:pt idx="8">
                  <c:v>255</c:v>
                </c:pt>
                <c:pt idx="12">
                  <c:v>521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Delicious_NEW_6000!$H$2:$H$14</c15:f>
                <c15:dlblRangeCache>
                  <c:ptCount val="13"/>
                  <c:pt idx="0">
                    <c:v>7197</c:v>
                  </c:pt>
                  <c:pt idx="4">
                    <c:v>4714</c:v>
                  </c:pt>
                  <c:pt idx="8">
                    <c:v>3090</c:v>
                  </c:pt>
                  <c:pt idx="12">
                    <c:v>5321</c:v>
                  </c:pt>
                </c15:dlblRangeCache>
              </c15:datalabelsRange>
            </c:ext>
          </c:extLst>
        </c:ser>
        <c:ser>
          <c:idx val="2"/>
          <c:order val="3"/>
          <c:tx>
            <c:strRef>
              <c:f>Delicious_NEW_6000!$E$1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Delicious_NEW_6000!$E$2:$E$14</c:f>
              <c:numCache>
                <c:formatCode>General</c:formatCode>
                <c:ptCount val="13"/>
                <c:pt idx="0">
                  <c:v>129</c:v>
                </c:pt>
                <c:pt idx="4">
                  <c:v>195</c:v>
                </c:pt>
                <c:pt idx="8">
                  <c:v>211</c:v>
                </c:pt>
                <c:pt idx="12">
                  <c:v>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899376"/>
        <c:axId val="1476892304"/>
      </c:lineChart>
      <c:catAx>
        <c:axId val="147689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Analyzed quarter</a:t>
                </a:r>
                <a:r>
                  <a:rPr lang="en-GB" baseline="0"/>
                  <a:t> of 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6892304"/>
        <c:crosses val="autoZero"/>
        <c:auto val="1"/>
        <c:lblAlgn val="ctr"/>
        <c:lblOffset val="100"/>
        <c:noMultiLvlLbl val="0"/>
      </c:catAx>
      <c:valAx>
        <c:axId val="14768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</a:t>
                </a:r>
                <a:r>
                  <a:rPr lang="en-GB" baseline="0"/>
                  <a:t>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689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Delicious_NEW_6000!$D$35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cat>
            <c:strRef>
              <c:f>Delicious_NEW_6000!$A$36:$A$44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Delicious_NEW_6000!$D$36:$D$44</c:f>
              <c:numCache>
                <c:formatCode>General</c:formatCode>
                <c:ptCount val="9"/>
                <c:pt idx="0">
                  <c:v>231</c:v>
                </c:pt>
                <c:pt idx="1">
                  <c:v>238</c:v>
                </c:pt>
                <c:pt idx="2">
                  <c:v>238</c:v>
                </c:pt>
                <c:pt idx="3">
                  <c:v>242</c:v>
                </c:pt>
                <c:pt idx="4">
                  <c:v>301</c:v>
                </c:pt>
                <c:pt idx="5">
                  <c:v>281</c:v>
                </c:pt>
                <c:pt idx="6">
                  <c:v>276</c:v>
                </c:pt>
                <c:pt idx="7">
                  <c:v>275</c:v>
                </c:pt>
                <c:pt idx="8">
                  <c:v>255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Delicious_NEW_6000!$E$35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 w="31750">
                <a:solidFill>
                  <a:schemeClr val="accent2"/>
                </a:solidFill>
              </a:ln>
              <a:effectLst/>
            </c:spPr>
          </c:marker>
          <c:cat>
            <c:strRef>
              <c:f>Delicious_NEW_6000!$A$36:$A$44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Delicious_NEW_6000!$E$36:$E$44</c:f>
              <c:numCache>
                <c:formatCode>General</c:formatCode>
                <c:ptCount val="9"/>
                <c:pt idx="0">
                  <c:v>129</c:v>
                </c:pt>
                <c:pt idx="1">
                  <c:v>102</c:v>
                </c:pt>
                <c:pt idx="2">
                  <c:v>96</c:v>
                </c:pt>
                <c:pt idx="3">
                  <c:v>109</c:v>
                </c:pt>
                <c:pt idx="4">
                  <c:v>122</c:v>
                </c:pt>
                <c:pt idx="5">
                  <c:v>135</c:v>
                </c:pt>
                <c:pt idx="6">
                  <c:v>134</c:v>
                </c:pt>
                <c:pt idx="7">
                  <c:v>137</c:v>
                </c:pt>
                <c:pt idx="8">
                  <c:v>127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Delicious_NEW_6000!$C$35</c:f>
              <c:strCache>
                <c:ptCount val="1"/>
                <c:pt idx="0">
                  <c:v>DistEclat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triangle"/>
            <c:size val="9"/>
            <c:spPr>
              <a:solidFill>
                <a:schemeClr val="bg1"/>
              </a:solidFill>
              <a:ln w="31750">
                <a:solidFill>
                  <a:schemeClr val="accent4"/>
                </a:solidFill>
              </a:ln>
              <a:effectLst/>
            </c:spPr>
          </c:marker>
          <c:cat>
            <c:strRef>
              <c:f>Delicious_NEW_6000!$A$36:$A$44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Delicious_NEW_6000!$C$36:$C$44</c:f>
              <c:numCache>
                <c:formatCode>General</c:formatCode>
                <c:ptCount val="9"/>
                <c:pt idx="0">
                  <c:v>108</c:v>
                </c:pt>
                <c:pt idx="1">
                  <c:v>122</c:v>
                </c:pt>
                <c:pt idx="2">
                  <c:v>114</c:v>
                </c:pt>
                <c:pt idx="3">
                  <c:v>121</c:v>
                </c:pt>
                <c:pt idx="4">
                  <c:v>136</c:v>
                </c:pt>
                <c:pt idx="5">
                  <c:v>157</c:v>
                </c:pt>
                <c:pt idx="6">
                  <c:v>193</c:v>
                </c:pt>
                <c:pt idx="7">
                  <c:v>242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Delicious_NEW_6000!$B$35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1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Delicious_NEW_6000!$A$36:$A$44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Delicious_NEW_6000!$B$36:$B$44</c:f>
              <c:numCache>
                <c:formatCode>General</c:formatCode>
                <c:ptCount val="9"/>
                <c:pt idx="0">
                  <c:v>178</c:v>
                </c:pt>
                <c:pt idx="1">
                  <c:v>172</c:v>
                </c:pt>
                <c:pt idx="2">
                  <c:v>171</c:v>
                </c:pt>
                <c:pt idx="3">
                  <c:v>213</c:v>
                </c:pt>
                <c:pt idx="4">
                  <c:v>225</c:v>
                </c:pt>
                <c:pt idx="5">
                  <c:v>193</c:v>
                </c:pt>
                <c:pt idx="6">
                  <c:v>195</c:v>
                </c:pt>
                <c:pt idx="7">
                  <c:v>188</c:v>
                </c:pt>
                <c:pt idx="8">
                  <c:v>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898832"/>
        <c:axId val="1476893392"/>
      </c:lineChart>
      <c:catAx>
        <c:axId val="147689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6893392"/>
        <c:crosses val="autoZero"/>
        <c:auto val="1"/>
        <c:lblAlgn val="ctr"/>
        <c:lblOffset val="100"/>
        <c:noMultiLvlLbl val="0"/>
      </c:catAx>
      <c:valAx>
        <c:axId val="14768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689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Delicious_NEW!$B$1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Delicious_NEW!$A$2:$A$14</c:f>
              <c:strCache>
                <c:ptCount val="13"/>
                <c:pt idx="0">
                  <c:v>2003</c:v>
                </c:pt>
                <c:pt idx="1">
                  <c:v>2004_1</c:v>
                </c:pt>
                <c:pt idx="2">
                  <c:v>2004_2</c:v>
                </c:pt>
                <c:pt idx="3">
                  <c:v>2004_3</c:v>
                </c:pt>
                <c:pt idx="4">
                  <c:v>2004_4</c:v>
                </c:pt>
                <c:pt idx="5">
                  <c:v>2005_1</c:v>
                </c:pt>
                <c:pt idx="6">
                  <c:v>2005_2</c:v>
                </c:pt>
                <c:pt idx="7">
                  <c:v>2005_3</c:v>
                </c:pt>
                <c:pt idx="8">
                  <c:v>2005_4</c:v>
                </c:pt>
                <c:pt idx="9">
                  <c:v>2006_1</c:v>
                </c:pt>
                <c:pt idx="10">
                  <c:v>2006_2</c:v>
                </c:pt>
                <c:pt idx="11">
                  <c:v>2006_3</c:v>
                </c:pt>
                <c:pt idx="12">
                  <c:v>2006_4</c:v>
                </c:pt>
              </c:strCache>
            </c:strRef>
          </c:cat>
          <c:val>
            <c:numRef>
              <c:f>Delicious_NEW!$B$2:$B$14</c:f>
              <c:numCache>
                <c:formatCode>General</c:formatCode>
                <c:ptCount val="13"/>
                <c:pt idx="0">
                  <c:v>178</c:v>
                </c:pt>
                <c:pt idx="4">
                  <c:v>225</c:v>
                </c:pt>
                <c:pt idx="8">
                  <c:v>320</c:v>
                </c:pt>
                <c:pt idx="12">
                  <c:v>486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Delicious_NEW!$C$1</c:f>
              <c:strCache>
                <c:ptCount val="1"/>
                <c:pt idx="0">
                  <c:v>DistEclat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DotDot"/>
              <a:round/>
              <a:tailEnd type="oval"/>
            </a:ln>
            <a:effectLst/>
          </c:spPr>
          <c:marker>
            <c:symbol val="none"/>
          </c:marker>
          <c:val>
            <c:numRef>
              <c:f>Delicious_NEW!$C$2:$C$14</c:f>
              <c:numCache>
                <c:formatCode>General</c:formatCode>
                <c:ptCount val="13"/>
                <c:pt idx="0">
                  <c:v>108</c:v>
                </c:pt>
                <c:pt idx="4">
                  <c:v>136</c:v>
                </c:pt>
                <c:pt idx="7">
                  <c:v>242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Delicious_NEW!$D$1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20BD97F2-2016-44DC-B3D5-88813FC787E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A8A5D81E-D4AD-40E4-A090-25AF9740852F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7FE66357-FBBE-4239-A4C1-711F0CEC6E9F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FCBF5370-8115-4FD7-9EBF-BA9D3F8AD58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Delicious_NEW!$D$2:$D$14</c:f>
              <c:numCache>
                <c:formatCode>General</c:formatCode>
                <c:ptCount val="13"/>
                <c:pt idx="0">
                  <c:v>231</c:v>
                </c:pt>
                <c:pt idx="4">
                  <c:v>301</c:v>
                </c:pt>
                <c:pt idx="8">
                  <c:v>255</c:v>
                </c:pt>
                <c:pt idx="12">
                  <c:v>521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Delicious_NEW!$H$2:$H$14</c15:f>
                <c15:dlblRangeCache>
                  <c:ptCount val="13"/>
                  <c:pt idx="0">
                    <c:v>7197</c:v>
                  </c:pt>
                  <c:pt idx="4">
                    <c:v>4714</c:v>
                  </c:pt>
                  <c:pt idx="8">
                    <c:v>3090</c:v>
                  </c:pt>
                  <c:pt idx="12">
                    <c:v>5321</c:v>
                  </c:pt>
                </c15:dlblRangeCache>
              </c15:datalabelsRange>
            </c:ext>
          </c:extLst>
        </c:ser>
        <c:ser>
          <c:idx val="2"/>
          <c:order val="3"/>
          <c:tx>
            <c:strRef>
              <c:f>Delicious_NEW!$E$1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Delicious_NEW!$E$2:$E$14</c:f>
              <c:numCache>
                <c:formatCode>General</c:formatCode>
                <c:ptCount val="13"/>
                <c:pt idx="0">
                  <c:v>129</c:v>
                </c:pt>
                <c:pt idx="4">
                  <c:v>195</c:v>
                </c:pt>
                <c:pt idx="8">
                  <c:v>211</c:v>
                </c:pt>
                <c:pt idx="12">
                  <c:v>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895568"/>
        <c:axId val="1477283984"/>
      </c:lineChart>
      <c:catAx>
        <c:axId val="147689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Analyzed quarter</a:t>
                </a:r>
                <a:r>
                  <a:rPr lang="en-GB" baseline="0"/>
                  <a:t> of 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7283984"/>
        <c:crosses val="autoZero"/>
        <c:auto val="1"/>
        <c:lblAlgn val="ctr"/>
        <c:lblOffset val="100"/>
        <c:noMultiLvlLbl val="0"/>
      </c:catAx>
      <c:valAx>
        <c:axId val="14772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</a:t>
                </a:r>
                <a:r>
                  <a:rPr lang="en-GB" baseline="0"/>
                  <a:t>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689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Delicious_NEW!$D$35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cat>
            <c:strRef>
              <c:f>Delicious_NEW!$A$36:$A$44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Delicious_NEW!$D$36:$D$44</c:f>
              <c:numCache>
                <c:formatCode>General</c:formatCode>
                <c:ptCount val="9"/>
                <c:pt idx="0">
                  <c:v>231</c:v>
                </c:pt>
                <c:pt idx="1">
                  <c:v>238</c:v>
                </c:pt>
                <c:pt idx="2">
                  <c:v>238</c:v>
                </c:pt>
                <c:pt idx="3">
                  <c:v>242</c:v>
                </c:pt>
                <c:pt idx="4">
                  <c:v>301</c:v>
                </c:pt>
                <c:pt idx="5">
                  <c:v>281</c:v>
                </c:pt>
                <c:pt idx="6">
                  <c:v>276</c:v>
                </c:pt>
                <c:pt idx="7">
                  <c:v>275</c:v>
                </c:pt>
                <c:pt idx="8">
                  <c:v>255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Delicious_NEW!$E$35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triangle"/>
            <c:size val="9"/>
            <c:spPr>
              <a:solidFill>
                <a:schemeClr val="bg1"/>
              </a:solidFill>
              <a:ln w="31750">
                <a:solidFill>
                  <a:schemeClr val="accent4"/>
                </a:solidFill>
              </a:ln>
              <a:effectLst/>
            </c:spPr>
          </c:marker>
          <c:cat>
            <c:strRef>
              <c:f>Delicious_NEW!$A$36:$A$44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Delicious_NEW!$E$36:$E$44</c:f>
              <c:numCache>
                <c:formatCode>General</c:formatCode>
                <c:ptCount val="9"/>
                <c:pt idx="0">
                  <c:v>129</c:v>
                </c:pt>
                <c:pt idx="1">
                  <c:v>102</c:v>
                </c:pt>
                <c:pt idx="2">
                  <c:v>96</c:v>
                </c:pt>
                <c:pt idx="3">
                  <c:v>109</c:v>
                </c:pt>
                <c:pt idx="4">
                  <c:v>122</c:v>
                </c:pt>
                <c:pt idx="5">
                  <c:v>135</c:v>
                </c:pt>
                <c:pt idx="6">
                  <c:v>134</c:v>
                </c:pt>
                <c:pt idx="7">
                  <c:v>137</c:v>
                </c:pt>
                <c:pt idx="8">
                  <c:v>127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Delicious_NEW!$C$35</c:f>
              <c:strCache>
                <c:ptCount val="1"/>
                <c:pt idx="0">
                  <c:v>DistEclat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 w="31750">
                <a:solidFill>
                  <a:schemeClr val="accent2"/>
                </a:solidFill>
              </a:ln>
              <a:effectLst/>
            </c:spPr>
          </c:marker>
          <c:cat>
            <c:strRef>
              <c:f>Delicious_NEW!$A$36:$A$44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Delicious_NEW!$C$36:$C$44</c:f>
              <c:numCache>
                <c:formatCode>General</c:formatCode>
                <c:ptCount val="9"/>
                <c:pt idx="0">
                  <c:v>108</c:v>
                </c:pt>
                <c:pt idx="1">
                  <c:v>122</c:v>
                </c:pt>
                <c:pt idx="2">
                  <c:v>114</c:v>
                </c:pt>
                <c:pt idx="3">
                  <c:v>121</c:v>
                </c:pt>
                <c:pt idx="4">
                  <c:v>136</c:v>
                </c:pt>
                <c:pt idx="5">
                  <c:v>157</c:v>
                </c:pt>
                <c:pt idx="6">
                  <c:v>193</c:v>
                </c:pt>
                <c:pt idx="7">
                  <c:v>242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Delicious_NEW!$B$35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1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Delicious_NEW!$A$36:$A$44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Delicious_NEW!$B$36:$B$44</c:f>
              <c:numCache>
                <c:formatCode>General</c:formatCode>
                <c:ptCount val="9"/>
                <c:pt idx="0">
                  <c:v>178</c:v>
                </c:pt>
                <c:pt idx="1">
                  <c:v>172</c:v>
                </c:pt>
                <c:pt idx="2">
                  <c:v>171</c:v>
                </c:pt>
                <c:pt idx="3">
                  <c:v>213</c:v>
                </c:pt>
                <c:pt idx="4">
                  <c:v>225</c:v>
                </c:pt>
                <c:pt idx="5">
                  <c:v>193</c:v>
                </c:pt>
                <c:pt idx="6">
                  <c:v>195</c:v>
                </c:pt>
                <c:pt idx="7">
                  <c:v>188</c:v>
                </c:pt>
                <c:pt idx="8">
                  <c:v>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295408"/>
        <c:axId val="1477296496"/>
      </c:lineChart>
      <c:catAx>
        <c:axId val="147729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Analyzed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quarter of the 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7296496"/>
        <c:crosses val="autoZero"/>
        <c:auto val="1"/>
        <c:lblAlgn val="ctr"/>
        <c:lblOffset val="100"/>
        <c:noMultiLvlLbl val="0"/>
      </c:catAx>
      <c:valAx>
        <c:axId val="14772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729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Net!$E$11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Net!$E$12:$E$35</c:f>
              <c:numCache>
                <c:formatCode>General</c:formatCode>
                <c:ptCount val="24"/>
                <c:pt idx="0">
                  <c:v>753</c:v>
                </c:pt>
                <c:pt idx="1">
                  <c:v>775</c:v>
                </c:pt>
                <c:pt idx="2">
                  <c:v>699</c:v>
                </c:pt>
                <c:pt idx="3">
                  <c:v>591</c:v>
                </c:pt>
                <c:pt idx="4">
                  <c:v>714</c:v>
                </c:pt>
                <c:pt idx="5">
                  <c:v>640</c:v>
                </c:pt>
                <c:pt idx="6">
                  <c:v>537</c:v>
                </c:pt>
                <c:pt idx="7">
                  <c:v>614</c:v>
                </c:pt>
                <c:pt idx="8">
                  <c:v>708</c:v>
                </c:pt>
                <c:pt idx="9">
                  <c:v>827</c:v>
                </c:pt>
                <c:pt idx="10">
                  <c:v>817</c:v>
                </c:pt>
                <c:pt idx="11">
                  <c:v>992</c:v>
                </c:pt>
                <c:pt idx="12">
                  <c:v>799</c:v>
                </c:pt>
                <c:pt idx="13">
                  <c:v>1017</c:v>
                </c:pt>
                <c:pt idx="14">
                  <c:v>804</c:v>
                </c:pt>
                <c:pt idx="15">
                  <c:v>995</c:v>
                </c:pt>
                <c:pt idx="16">
                  <c:v>918</c:v>
                </c:pt>
                <c:pt idx="17">
                  <c:v>863</c:v>
                </c:pt>
                <c:pt idx="18">
                  <c:v>894</c:v>
                </c:pt>
                <c:pt idx="19">
                  <c:v>869</c:v>
                </c:pt>
                <c:pt idx="20">
                  <c:v>802</c:v>
                </c:pt>
                <c:pt idx="21">
                  <c:v>733</c:v>
                </c:pt>
                <c:pt idx="22">
                  <c:v>647</c:v>
                </c:pt>
                <c:pt idx="23">
                  <c:v>689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Net!$F$11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Net!$F$12:$F$35</c:f>
              <c:numCache>
                <c:formatCode>General</c:formatCode>
                <c:ptCount val="24"/>
                <c:pt idx="0">
                  <c:v>147</c:v>
                </c:pt>
                <c:pt idx="1">
                  <c:v>169</c:v>
                </c:pt>
                <c:pt idx="2">
                  <c:v>159</c:v>
                </c:pt>
                <c:pt idx="3">
                  <c:v>154</c:v>
                </c:pt>
                <c:pt idx="4">
                  <c:v>144</c:v>
                </c:pt>
                <c:pt idx="5">
                  <c:v>157</c:v>
                </c:pt>
                <c:pt idx="6">
                  <c:v>133</c:v>
                </c:pt>
                <c:pt idx="7">
                  <c:v>155</c:v>
                </c:pt>
                <c:pt idx="8">
                  <c:v>165</c:v>
                </c:pt>
                <c:pt idx="9">
                  <c:v>154</c:v>
                </c:pt>
                <c:pt idx="10">
                  <c:v>175</c:v>
                </c:pt>
                <c:pt idx="11">
                  <c:v>150</c:v>
                </c:pt>
                <c:pt idx="12">
                  <c:v>147</c:v>
                </c:pt>
                <c:pt idx="13">
                  <c:v>151</c:v>
                </c:pt>
                <c:pt idx="14">
                  <c:v>150</c:v>
                </c:pt>
                <c:pt idx="15">
                  <c:v>152</c:v>
                </c:pt>
                <c:pt idx="16">
                  <c:v>165</c:v>
                </c:pt>
                <c:pt idx="17">
                  <c:v>154</c:v>
                </c:pt>
                <c:pt idx="18">
                  <c:v>150</c:v>
                </c:pt>
                <c:pt idx="19">
                  <c:v>165</c:v>
                </c:pt>
                <c:pt idx="20">
                  <c:v>147</c:v>
                </c:pt>
                <c:pt idx="21">
                  <c:v>150</c:v>
                </c:pt>
                <c:pt idx="22">
                  <c:v>161</c:v>
                </c:pt>
                <c:pt idx="23">
                  <c:v>148</c:v>
                </c:pt>
              </c:numCache>
            </c:numRef>
          </c:val>
          <c:smooth val="1"/>
        </c:ser>
        <c:ser>
          <c:idx val="1"/>
          <c:order val="2"/>
          <c:tx>
            <c:strRef>
              <c:f>Net!$D$11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diamond"/>
            <c:size val="9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Net!$D$12:$D$35</c:f>
              <c:numCache>
                <c:formatCode>General</c:formatCode>
                <c:ptCount val="24"/>
                <c:pt idx="0">
                  <c:v>117</c:v>
                </c:pt>
                <c:pt idx="1">
                  <c:v>115</c:v>
                </c:pt>
                <c:pt idx="2">
                  <c:v>120</c:v>
                </c:pt>
                <c:pt idx="3">
                  <c:v>113</c:v>
                </c:pt>
                <c:pt idx="4">
                  <c:v>105</c:v>
                </c:pt>
                <c:pt idx="5">
                  <c:v>114</c:v>
                </c:pt>
                <c:pt idx="6">
                  <c:v>116</c:v>
                </c:pt>
                <c:pt idx="7">
                  <c:v>119</c:v>
                </c:pt>
                <c:pt idx="8">
                  <c:v>110</c:v>
                </c:pt>
                <c:pt idx="9">
                  <c:v>121</c:v>
                </c:pt>
                <c:pt idx="10">
                  <c:v>126</c:v>
                </c:pt>
                <c:pt idx="11">
                  <c:v>125</c:v>
                </c:pt>
                <c:pt idx="12">
                  <c:v>136</c:v>
                </c:pt>
                <c:pt idx="13">
                  <c:v>124</c:v>
                </c:pt>
                <c:pt idx="14">
                  <c:v>125</c:v>
                </c:pt>
                <c:pt idx="15">
                  <c:v>130</c:v>
                </c:pt>
                <c:pt idx="16">
                  <c:v>125</c:v>
                </c:pt>
                <c:pt idx="17">
                  <c:v>122</c:v>
                </c:pt>
                <c:pt idx="18">
                  <c:v>132</c:v>
                </c:pt>
                <c:pt idx="19">
                  <c:v>130</c:v>
                </c:pt>
                <c:pt idx="20">
                  <c:v>118</c:v>
                </c:pt>
                <c:pt idx="21">
                  <c:v>117</c:v>
                </c:pt>
                <c:pt idx="22">
                  <c:v>119</c:v>
                </c:pt>
                <c:pt idx="23">
                  <c:v>121</c:v>
                </c:pt>
              </c:numCache>
            </c:numRef>
          </c:val>
          <c:smooth val="1"/>
        </c:ser>
        <c:ser>
          <c:idx val="0"/>
          <c:order val="3"/>
          <c:tx>
            <c:strRef>
              <c:f>Net!$B$11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Net!$B$12:$B$35</c:f>
              <c:numCache>
                <c:formatCode>General</c:formatCode>
                <c:ptCount val="24"/>
                <c:pt idx="0">
                  <c:v>199</c:v>
                </c:pt>
                <c:pt idx="1">
                  <c:v>182</c:v>
                </c:pt>
                <c:pt idx="2">
                  <c:v>172</c:v>
                </c:pt>
                <c:pt idx="3">
                  <c:v>162</c:v>
                </c:pt>
                <c:pt idx="4">
                  <c:v>171</c:v>
                </c:pt>
                <c:pt idx="5">
                  <c:v>163</c:v>
                </c:pt>
                <c:pt idx="6">
                  <c:v>169</c:v>
                </c:pt>
                <c:pt idx="7">
                  <c:v>168</c:v>
                </c:pt>
                <c:pt idx="8">
                  <c:v>172</c:v>
                </c:pt>
                <c:pt idx="9">
                  <c:v>179</c:v>
                </c:pt>
                <c:pt idx="10">
                  <c:v>209</c:v>
                </c:pt>
                <c:pt idx="11">
                  <c:v>213</c:v>
                </c:pt>
                <c:pt idx="12">
                  <c:v>219</c:v>
                </c:pt>
                <c:pt idx="13">
                  <c:v>218</c:v>
                </c:pt>
                <c:pt idx="14">
                  <c:v>212</c:v>
                </c:pt>
                <c:pt idx="15">
                  <c:v>229</c:v>
                </c:pt>
                <c:pt idx="16">
                  <c:v>229</c:v>
                </c:pt>
                <c:pt idx="17">
                  <c:v>209</c:v>
                </c:pt>
                <c:pt idx="18">
                  <c:v>227</c:v>
                </c:pt>
                <c:pt idx="19">
                  <c:v>206</c:v>
                </c:pt>
                <c:pt idx="20">
                  <c:v>213</c:v>
                </c:pt>
                <c:pt idx="21">
                  <c:v>201</c:v>
                </c:pt>
                <c:pt idx="22">
                  <c:v>208</c:v>
                </c:pt>
                <c:pt idx="23">
                  <c:v>203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288336"/>
        <c:axId val="1477299216"/>
      </c:lineChart>
      <c:catAx>
        <c:axId val="147728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Analyzed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GB" sz="1100">
                    <a:solidFill>
                      <a:sysClr val="windowText" lastClr="000000"/>
                    </a:solidFill>
                  </a:rPr>
                  <a:t>Net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Log (hours)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7299216"/>
        <c:crosses val="autoZero"/>
        <c:auto val="1"/>
        <c:lblAlgn val="ctr"/>
        <c:lblOffset val="100"/>
        <c:tickMarkSkip val="1"/>
        <c:noMultiLvlLbl val="1"/>
      </c:catAx>
      <c:valAx>
        <c:axId val="14772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Exectution time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(seconds)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72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4"/>
          <c:tx>
            <c:strRef>
              <c:f>Net!$J$11</c:f>
              <c:strCache>
                <c:ptCount val="1"/>
                <c:pt idx="0">
                  <c:v>#Flows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Net!$J$12:$J$35</c:f>
              <c:numCache>
                <c:formatCode>General</c:formatCode>
                <c:ptCount val="24"/>
                <c:pt idx="0">
                  <c:v>437417</c:v>
                </c:pt>
                <c:pt idx="1">
                  <c:v>318289</c:v>
                </c:pt>
                <c:pt idx="2">
                  <c:v>205930</c:v>
                </c:pt>
                <c:pt idx="3">
                  <c:v>162593</c:v>
                </c:pt>
                <c:pt idx="4">
                  <c:v>122102</c:v>
                </c:pt>
                <c:pt idx="5">
                  <c:v>123683</c:v>
                </c:pt>
                <c:pt idx="6">
                  <c:v>121346</c:v>
                </c:pt>
                <c:pt idx="7">
                  <c:v>127056</c:v>
                </c:pt>
                <c:pt idx="8">
                  <c:v>211641</c:v>
                </c:pt>
                <c:pt idx="9">
                  <c:v>357838</c:v>
                </c:pt>
                <c:pt idx="10">
                  <c:v>644408</c:v>
                </c:pt>
                <c:pt idx="11">
                  <c:v>656965</c:v>
                </c:pt>
                <c:pt idx="12">
                  <c:v>648206</c:v>
                </c:pt>
                <c:pt idx="13">
                  <c:v>630434</c:v>
                </c:pt>
                <c:pt idx="14">
                  <c:v>544572</c:v>
                </c:pt>
                <c:pt idx="15">
                  <c:v>729518</c:v>
                </c:pt>
                <c:pt idx="16">
                  <c:v>735850</c:v>
                </c:pt>
                <c:pt idx="17">
                  <c:v>611582</c:v>
                </c:pt>
                <c:pt idx="18">
                  <c:v>719537</c:v>
                </c:pt>
                <c:pt idx="19">
                  <c:v>607043</c:v>
                </c:pt>
                <c:pt idx="20">
                  <c:v>477760</c:v>
                </c:pt>
                <c:pt idx="21">
                  <c:v>470291</c:v>
                </c:pt>
                <c:pt idx="22">
                  <c:v>534103</c:v>
                </c:pt>
                <c:pt idx="23">
                  <c:v>531276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297584"/>
        <c:axId val="14772888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Net!$B$11</c15:sqref>
                        </c15:formulaRef>
                      </c:ext>
                    </c:extLst>
                    <c:strCache>
                      <c:ptCount val="1"/>
                      <c:pt idx="0">
                        <c:v>BigFIM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plus"/>
                  <c:size val="1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Net!$A$12:$A$35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Net!$B$12:$B$35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199</c:v>
                      </c:pt>
                      <c:pt idx="1">
                        <c:v>182</c:v>
                      </c:pt>
                      <c:pt idx="2">
                        <c:v>172</c:v>
                      </c:pt>
                      <c:pt idx="3">
                        <c:v>162</c:v>
                      </c:pt>
                      <c:pt idx="4">
                        <c:v>171</c:v>
                      </c:pt>
                      <c:pt idx="5">
                        <c:v>163</c:v>
                      </c:pt>
                      <c:pt idx="6">
                        <c:v>169</c:v>
                      </c:pt>
                      <c:pt idx="7">
                        <c:v>168</c:v>
                      </c:pt>
                      <c:pt idx="8">
                        <c:v>172</c:v>
                      </c:pt>
                      <c:pt idx="9">
                        <c:v>179</c:v>
                      </c:pt>
                      <c:pt idx="10">
                        <c:v>209</c:v>
                      </c:pt>
                      <c:pt idx="11">
                        <c:v>213</c:v>
                      </c:pt>
                      <c:pt idx="12">
                        <c:v>219</c:v>
                      </c:pt>
                      <c:pt idx="13">
                        <c:v>218</c:v>
                      </c:pt>
                      <c:pt idx="14">
                        <c:v>212</c:v>
                      </c:pt>
                      <c:pt idx="15">
                        <c:v>229</c:v>
                      </c:pt>
                      <c:pt idx="16">
                        <c:v>229</c:v>
                      </c:pt>
                      <c:pt idx="17">
                        <c:v>209</c:v>
                      </c:pt>
                      <c:pt idx="18">
                        <c:v>227</c:v>
                      </c:pt>
                      <c:pt idx="19">
                        <c:v>206</c:v>
                      </c:pt>
                      <c:pt idx="20">
                        <c:v>213</c:v>
                      </c:pt>
                      <c:pt idx="21">
                        <c:v>201</c:v>
                      </c:pt>
                      <c:pt idx="22">
                        <c:v>208</c:v>
                      </c:pt>
                      <c:pt idx="23">
                        <c:v>203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Net!$D$11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9"/>
                  <c:spPr>
                    <a:noFill/>
                    <a:ln w="31750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Net!$A$12:$A$35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Net!$D$12:$D$35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117</c:v>
                      </c:pt>
                      <c:pt idx="1">
                        <c:v>115</c:v>
                      </c:pt>
                      <c:pt idx="2">
                        <c:v>120</c:v>
                      </c:pt>
                      <c:pt idx="3">
                        <c:v>113</c:v>
                      </c:pt>
                      <c:pt idx="4">
                        <c:v>105</c:v>
                      </c:pt>
                      <c:pt idx="5">
                        <c:v>114</c:v>
                      </c:pt>
                      <c:pt idx="6">
                        <c:v>116</c:v>
                      </c:pt>
                      <c:pt idx="7">
                        <c:v>119</c:v>
                      </c:pt>
                      <c:pt idx="8">
                        <c:v>110</c:v>
                      </c:pt>
                      <c:pt idx="9">
                        <c:v>121</c:v>
                      </c:pt>
                      <c:pt idx="10">
                        <c:v>126</c:v>
                      </c:pt>
                      <c:pt idx="11">
                        <c:v>125</c:v>
                      </c:pt>
                      <c:pt idx="12">
                        <c:v>136</c:v>
                      </c:pt>
                      <c:pt idx="13">
                        <c:v>124</c:v>
                      </c:pt>
                      <c:pt idx="14">
                        <c:v>125</c:v>
                      </c:pt>
                      <c:pt idx="15">
                        <c:v>130</c:v>
                      </c:pt>
                      <c:pt idx="16">
                        <c:v>125</c:v>
                      </c:pt>
                      <c:pt idx="17">
                        <c:v>122</c:v>
                      </c:pt>
                      <c:pt idx="18">
                        <c:v>132</c:v>
                      </c:pt>
                      <c:pt idx="19">
                        <c:v>130</c:v>
                      </c:pt>
                      <c:pt idx="20">
                        <c:v>118</c:v>
                      </c:pt>
                      <c:pt idx="21">
                        <c:v>117</c:v>
                      </c:pt>
                      <c:pt idx="22">
                        <c:v>119</c:v>
                      </c:pt>
                      <c:pt idx="23">
                        <c:v>121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Net!$E$11</c15:sqref>
                        </c15:formulaRef>
                      </c:ext>
                    </c:extLst>
                    <c:strCache>
                      <c:ptCount val="1"/>
                      <c:pt idx="0">
                        <c:v>Mahout PFP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square"/>
                  <c:size val="9"/>
                  <c:spPr>
                    <a:noFill/>
                    <a:ln w="31750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Net!$A$12:$A$35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Net!$E$12:$E$35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753</c:v>
                      </c:pt>
                      <c:pt idx="1">
                        <c:v>775</c:v>
                      </c:pt>
                      <c:pt idx="2">
                        <c:v>699</c:v>
                      </c:pt>
                      <c:pt idx="3">
                        <c:v>591</c:v>
                      </c:pt>
                      <c:pt idx="4">
                        <c:v>714</c:v>
                      </c:pt>
                      <c:pt idx="5">
                        <c:v>640</c:v>
                      </c:pt>
                      <c:pt idx="6">
                        <c:v>537</c:v>
                      </c:pt>
                      <c:pt idx="7">
                        <c:v>614</c:v>
                      </c:pt>
                      <c:pt idx="8">
                        <c:v>708</c:v>
                      </c:pt>
                      <c:pt idx="9">
                        <c:v>827</c:v>
                      </c:pt>
                      <c:pt idx="10">
                        <c:v>817</c:v>
                      </c:pt>
                      <c:pt idx="11">
                        <c:v>992</c:v>
                      </c:pt>
                      <c:pt idx="12">
                        <c:v>799</c:v>
                      </c:pt>
                      <c:pt idx="13">
                        <c:v>1017</c:v>
                      </c:pt>
                      <c:pt idx="14">
                        <c:v>804</c:v>
                      </c:pt>
                      <c:pt idx="15">
                        <c:v>995</c:v>
                      </c:pt>
                      <c:pt idx="16">
                        <c:v>918</c:v>
                      </c:pt>
                      <c:pt idx="17">
                        <c:v>863</c:v>
                      </c:pt>
                      <c:pt idx="18">
                        <c:v>894</c:v>
                      </c:pt>
                      <c:pt idx="19">
                        <c:v>869</c:v>
                      </c:pt>
                      <c:pt idx="20">
                        <c:v>802</c:v>
                      </c:pt>
                      <c:pt idx="21">
                        <c:v>733</c:v>
                      </c:pt>
                      <c:pt idx="22">
                        <c:v>647</c:v>
                      </c:pt>
                      <c:pt idx="23">
                        <c:v>689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Net!$F$11</c15:sqref>
                        </c15:formulaRef>
                      </c:ext>
                    </c:extLst>
                    <c:strCache>
                      <c:ptCount val="1"/>
                      <c:pt idx="0">
                        <c:v>MLlib PFP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9"/>
                  <c:spPr>
                    <a:noFill/>
                    <a:ln w="31750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Net!$A$12:$A$35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Net!$F$12:$F$35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147</c:v>
                      </c:pt>
                      <c:pt idx="1">
                        <c:v>169</c:v>
                      </c:pt>
                      <c:pt idx="2">
                        <c:v>159</c:v>
                      </c:pt>
                      <c:pt idx="3">
                        <c:v>154</c:v>
                      </c:pt>
                      <c:pt idx="4">
                        <c:v>144</c:v>
                      </c:pt>
                      <c:pt idx="5">
                        <c:v>157</c:v>
                      </c:pt>
                      <c:pt idx="6">
                        <c:v>133</c:v>
                      </c:pt>
                      <c:pt idx="7">
                        <c:v>155</c:v>
                      </c:pt>
                      <c:pt idx="8">
                        <c:v>165</c:v>
                      </c:pt>
                      <c:pt idx="9">
                        <c:v>154</c:v>
                      </c:pt>
                      <c:pt idx="10">
                        <c:v>175</c:v>
                      </c:pt>
                      <c:pt idx="11">
                        <c:v>150</c:v>
                      </c:pt>
                      <c:pt idx="12">
                        <c:v>147</c:v>
                      </c:pt>
                      <c:pt idx="13">
                        <c:v>151</c:v>
                      </c:pt>
                      <c:pt idx="14">
                        <c:v>150</c:v>
                      </c:pt>
                      <c:pt idx="15">
                        <c:v>152</c:v>
                      </c:pt>
                      <c:pt idx="16">
                        <c:v>165</c:v>
                      </c:pt>
                      <c:pt idx="17">
                        <c:v>154</c:v>
                      </c:pt>
                      <c:pt idx="18">
                        <c:v>150</c:v>
                      </c:pt>
                      <c:pt idx="19">
                        <c:v>165</c:v>
                      </c:pt>
                      <c:pt idx="20">
                        <c:v>147</c:v>
                      </c:pt>
                      <c:pt idx="21">
                        <c:v>150</c:v>
                      </c:pt>
                      <c:pt idx="22">
                        <c:v>161</c:v>
                      </c:pt>
                      <c:pt idx="23">
                        <c:v>148</c:v>
                      </c:pt>
                    </c:numCache>
                  </c:numRef>
                </c:val>
                <c:smooth val="1"/>
              </c15:ser>
            </c15:filteredLineSeries>
          </c:ext>
        </c:extLst>
      </c:lineChart>
      <c:catAx>
        <c:axId val="147729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Analyzed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GB" sz="1100">
                    <a:solidFill>
                      <a:sysClr val="windowText" lastClr="000000"/>
                    </a:solidFill>
                  </a:rPr>
                  <a:t>Net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Log (hours)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7288880"/>
        <c:crosses val="autoZero"/>
        <c:auto val="1"/>
        <c:lblAlgn val="ctr"/>
        <c:lblOffset val="100"/>
        <c:tickMarkSkip val="1"/>
        <c:noMultiLvlLbl val="1"/>
      </c:catAx>
      <c:valAx>
        <c:axId val="147728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Thousands of Flows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72975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Net!$E$11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Net!$E$12:$E$35</c:f>
              <c:numCache>
                <c:formatCode>General</c:formatCode>
                <c:ptCount val="24"/>
                <c:pt idx="0">
                  <c:v>753</c:v>
                </c:pt>
                <c:pt idx="1">
                  <c:v>775</c:v>
                </c:pt>
                <c:pt idx="2">
                  <c:v>699</c:v>
                </c:pt>
                <c:pt idx="3">
                  <c:v>591</c:v>
                </c:pt>
                <c:pt idx="4">
                  <c:v>714</c:v>
                </c:pt>
                <c:pt idx="5">
                  <c:v>640</c:v>
                </c:pt>
                <c:pt idx="6">
                  <c:v>537</c:v>
                </c:pt>
                <c:pt idx="7">
                  <c:v>614</c:v>
                </c:pt>
                <c:pt idx="8">
                  <c:v>708</c:v>
                </c:pt>
                <c:pt idx="9">
                  <c:v>827</c:v>
                </c:pt>
                <c:pt idx="10">
                  <c:v>817</c:v>
                </c:pt>
                <c:pt idx="11">
                  <c:v>992</c:v>
                </c:pt>
                <c:pt idx="12">
                  <c:v>799</c:v>
                </c:pt>
                <c:pt idx="13">
                  <c:v>1017</c:v>
                </c:pt>
                <c:pt idx="14">
                  <c:v>804</c:v>
                </c:pt>
                <c:pt idx="15">
                  <c:v>995</c:v>
                </c:pt>
                <c:pt idx="16">
                  <c:v>918</c:v>
                </c:pt>
                <c:pt idx="17">
                  <c:v>863</c:v>
                </c:pt>
                <c:pt idx="18">
                  <c:v>894</c:v>
                </c:pt>
                <c:pt idx="19">
                  <c:v>869</c:v>
                </c:pt>
                <c:pt idx="20">
                  <c:v>802</c:v>
                </c:pt>
                <c:pt idx="21">
                  <c:v>733</c:v>
                </c:pt>
                <c:pt idx="22">
                  <c:v>647</c:v>
                </c:pt>
                <c:pt idx="23">
                  <c:v>689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Net!$F$11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Net!$F$12:$F$35</c:f>
              <c:numCache>
                <c:formatCode>General</c:formatCode>
                <c:ptCount val="24"/>
                <c:pt idx="0">
                  <c:v>147</c:v>
                </c:pt>
                <c:pt idx="1">
                  <c:v>169</c:v>
                </c:pt>
                <c:pt idx="2">
                  <c:v>159</c:v>
                </c:pt>
                <c:pt idx="3">
                  <c:v>154</c:v>
                </c:pt>
                <c:pt idx="4">
                  <c:v>144</c:v>
                </c:pt>
                <c:pt idx="5">
                  <c:v>157</c:v>
                </c:pt>
                <c:pt idx="6">
                  <c:v>133</c:v>
                </c:pt>
                <c:pt idx="7">
                  <c:v>155</c:v>
                </c:pt>
                <c:pt idx="8">
                  <c:v>165</c:v>
                </c:pt>
                <c:pt idx="9">
                  <c:v>154</c:v>
                </c:pt>
                <c:pt idx="10">
                  <c:v>175</c:v>
                </c:pt>
                <c:pt idx="11">
                  <c:v>150</c:v>
                </c:pt>
                <c:pt idx="12">
                  <c:v>147</c:v>
                </c:pt>
                <c:pt idx="13">
                  <c:v>151</c:v>
                </c:pt>
                <c:pt idx="14">
                  <c:v>150</c:v>
                </c:pt>
                <c:pt idx="15">
                  <c:v>152</c:v>
                </c:pt>
                <c:pt idx="16">
                  <c:v>165</c:v>
                </c:pt>
                <c:pt idx="17">
                  <c:v>154</c:v>
                </c:pt>
                <c:pt idx="18">
                  <c:v>150</c:v>
                </c:pt>
                <c:pt idx="19">
                  <c:v>165</c:v>
                </c:pt>
                <c:pt idx="20">
                  <c:v>147</c:v>
                </c:pt>
                <c:pt idx="21">
                  <c:v>150</c:v>
                </c:pt>
                <c:pt idx="22">
                  <c:v>161</c:v>
                </c:pt>
                <c:pt idx="23">
                  <c:v>148</c:v>
                </c:pt>
              </c:numCache>
            </c:numRef>
          </c:val>
          <c:smooth val="1"/>
        </c:ser>
        <c:ser>
          <c:idx val="1"/>
          <c:order val="2"/>
          <c:tx>
            <c:strRef>
              <c:f>Net!$D$11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diamond"/>
            <c:size val="9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Net!$D$12:$D$35</c:f>
              <c:numCache>
                <c:formatCode>General</c:formatCode>
                <c:ptCount val="24"/>
                <c:pt idx="0">
                  <c:v>117</c:v>
                </c:pt>
                <c:pt idx="1">
                  <c:v>115</c:v>
                </c:pt>
                <c:pt idx="2">
                  <c:v>120</c:v>
                </c:pt>
                <c:pt idx="3">
                  <c:v>113</c:v>
                </c:pt>
                <c:pt idx="4">
                  <c:v>105</c:v>
                </c:pt>
                <c:pt idx="5">
                  <c:v>114</c:v>
                </c:pt>
                <c:pt idx="6">
                  <c:v>116</c:v>
                </c:pt>
                <c:pt idx="7">
                  <c:v>119</c:v>
                </c:pt>
                <c:pt idx="8">
                  <c:v>110</c:v>
                </c:pt>
                <c:pt idx="9">
                  <c:v>121</c:v>
                </c:pt>
                <c:pt idx="10">
                  <c:v>126</c:v>
                </c:pt>
                <c:pt idx="11">
                  <c:v>125</c:v>
                </c:pt>
                <c:pt idx="12">
                  <c:v>136</c:v>
                </c:pt>
                <c:pt idx="13">
                  <c:v>124</c:v>
                </c:pt>
                <c:pt idx="14">
                  <c:v>125</c:v>
                </c:pt>
                <c:pt idx="15">
                  <c:v>130</c:v>
                </c:pt>
                <c:pt idx="16">
                  <c:v>125</c:v>
                </c:pt>
                <c:pt idx="17">
                  <c:v>122</c:v>
                </c:pt>
                <c:pt idx="18">
                  <c:v>132</c:v>
                </c:pt>
                <c:pt idx="19">
                  <c:v>130</c:v>
                </c:pt>
                <c:pt idx="20">
                  <c:v>118</c:v>
                </c:pt>
                <c:pt idx="21">
                  <c:v>117</c:v>
                </c:pt>
                <c:pt idx="22">
                  <c:v>119</c:v>
                </c:pt>
                <c:pt idx="23">
                  <c:v>121</c:v>
                </c:pt>
              </c:numCache>
            </c:numRef>
          </c:val>
          <c:smooth val="1"/>
        </c:ser>
        <c:ser>
          <c:idx val="0"/>
          <c:order val="3"/>
          <c:tx>
            <c:strRef>
              <c:f>Net!$B$11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Net!$B$12:$B$35</c:f>
              <c:numCache>
                <c:formatCode>General</c:formatCode>
                <c:ptCount val="24"/>
                <c:pt idx="0">
                  <c:v>199</c:v>
                </c:pt>
                <c:pt idx="1">
                  <c:v>182</c:v>
                </c:pt>
                <c:pt idx="2">
                  <c:v>172</c:v>
                </c:pt>
                <c:pt idx="3">
                  <c:v>162</c:v>
                </c:pt>
                <c:pt idx="4">
                  <c:v>171</c:v>
                </c:pt>
                <c:pt idx="5">
                  <c:v>163</c:v>
                </c:pt>
                <c:pt idx="6">
                  <c:v>169</c:v>
                </c:pt>
                <c:pt idx="7">
                  <c:v>168</c:v>
                </c:pt>
                <c:pt idx="8">
                  <c:v>172</c:v>
                </c:pt>
                <c:pt idx="9">
                  <c:v>179</c:v>
                </c:pt>
                <c:pt idx="10">
                  <c:v>209</c:v>
                </c:pt>
                <c:pt idx="11">
                  <c:v>213</c:v>
                </c:pt>
                <c:pt idx="12">
                  <c:v>219</c:v>
                </c:pt>
                <c:pt idx="13">
                  <c:v>218</c:v>
                </c:pt>
                <c:pt idx="14">
                  <c:v>212</c:v>
                </c:pt>
                <c:pt idx="15">
                  <c:v>229</c:v>
                </c:pt>
                <c:pt idx="16">
                  <c:v>229</c:v>
                </c:pt>
                <c:pt idx="17">
                  <c:v>209</c:v>
                </c:pt>
                <c:pt idx="18">
                  <c:v>227</c:v>
                </c:pt>
                <c:pt idx="19">
                  <c:v>206</c:v>
                </c:pt>
                <c:pt idx="20">
                  <c:v>213</c:v>
                </c:pt>
                <c:pt idx="21">
                  <c:v>201</c:v>
                </c:pt>
                <c:pt idx="22">
                  <c:v>208</c:v>
                </c:pt>
                <c:pt idx="23">
                  <c:v>203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298672"/>
        <c:axId val="1477285072"/>
      </c:lineChart>
      <c:catAx>
        <c:axId val="14772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Analyzed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GB" sz="1100">
                    <a:solidFill>
                      <a:sysClr val="windowText" lastClr="000000"/>
                    </a:solidFill>
                  </a:rPr>
                  <a:t>Net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Log (hours)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7285072"/>
        <c:crosses val="autoZero"/>
        <c:auto val="1"/>
        <c:lblAlgn val="ctr"/>
        <c:lblOffset val="100"/>
        <c:tickMarkSkip val="1"/>
        <c:noMultiLvlLbl val="1"/>
      </c:catAx>
      <c:valAx>
        <c:axId val="1477285072"/>
        <c:scaling>
          <c:logBase val="10"/>
          <c:orientation val="minMax"/>
          <c:max val="12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Exectution time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(seconds)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729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minsup_nuovo!$D$30:$D$38</c:f>
              <c:numCache>
                <c:formatCode>General</c:formatCode>
                <c:ptCount val="9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3734</c:v>
                </c:pt>
                <c:pt idx="7">
                  <c:v>6918</c:v>
                </c:pt>
                <c:pt idx="8">
                  <c:v>25140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minsup_nuovo!$E$30:$E$38</c:f>
              <c:numCache>
                <c:formatCode>General</c:formatCode>
                <c:ptCount val="9"/>
                <c:pt idx="0">
                  <c:v>179</c:v>
                </c:pt>
                <c:pt idx="1">
                  <c:v>179</c:v>
                </c:pt>
                <c:pt idx="2">
                  <c:v>218</c:v>
                </c:pt>
                <c:pt idx="3">
                  <c:v>248</c:v>
                </c:pt>
                <c:pt idx="4">
                  <c:v>460</c:v>
                </c:pt>
                <c:pt idx="5">
                  <c:v>614</c:v>
                </c:pt>
                <c:pt idx="6">
                  <c:v>1860</c:v>
                </c:pt>
                <c:pt idx="7">
                  <c:v>1975</c:v>
                </c:pt>
                <c:pt idx="8">
                  <c:v>2840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minsup_nuovo!$F$30:$F$38</c:f>
              <c:numCache>
                <c:formatCode>General</c:formatCode>
                <c:ptCount val="9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881</c:v>
                </c:pt>
                <c:pt idx="7">
                  <c:v>930</c:v>
                </c:pt>
                <c:pt idx="8">
                  <c:v>973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minsup_nuovo!$C$30:$C$38</c:f>
              <c:numCache>
                <c:formatCode>General</c:formatCode>
                <c:ptCount val="9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114864"/>
        <c:axId val="1471111600"/>
      </c:scatterChart>
      <c:valAx>
        <c:axId val="1471114864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111600"/>
        <c:crosses val="autoZero"/>
        <c:crossBetween val="midCat"/>
      </c:valAx>
      <c:valAx>
        <c:axId val="14711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11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815470380252057E-2"/>
          <c:y val="3.4267912772585667E-2"/>
          <c:w val="0.82401787379883296"/>
          <c:h val="0.827404027767557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'load_balancing_diversi graf.'!$B$2</c:f>
              <c:strCache>
                <c:ptCount val="1"/>
                <c:pt idx="0">
                  <c:v>Mahout PFP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'load_balancing_diversi graf.'!$A$3:$A$32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graf.'!$B$3:$B$32</c:f>
              <c:numCache>
                <c:formatCode>General</c:formatCode>
                <c:ptCount val="30"/>
                <c:pt idx="0">
                  <c:v>195</c:v>
                </c:pt>
                <c:pt idx="1">
                  <c:v>191</c:v>
                </c:pt>
                <c:pt idx="2">
                  <c:v>191</c:v>
                </c:pt>
                <c:pt idx="3">
                  <c:v>191</c:v>
                </c:pt>
                <c:pt idx="4">
                  <c:v>154</c:v>
                </c:pt>
                <c:pt idx="5">
                  <c:v>153</c:v>
                </c:pt>
                <c:pt idx="6">
                  <c:v>153</c:v>
                </c:pt>
                <c:pt idx="7">
                  <c:v>153</c:v>
                </c:pt>
                <c:pt idx="8">
                  <c:v>152</c:v>
                </c:pt>
                <c:pt idx="9">
                  <c:v>151</c:v>
                </c:pt>
                <c:pt idx="10">
                  <c:v>147</c:v>
                </c:pt>
                <c:pt idx="11">
                  <c:v>144</c:v>
                </c:pt>
                <c:pt idx="12">
                  <c:v>140</c:v>
                </c:pt>
                <c:pt idx="13">
                  <c:v>135</c:v>
                </c:pt>
                <c:pt idx="14">
                  <c:v>135</c:v>
                </c:pt>
                <c:pt idx="15">
                  <c:v>134</c:v>
                </c:pt>
                <c:pt idx="16">
                  <c:v>132</c:v>
                </c:pt>
                <c:pt idx="17">
                  <c:v>131</c:v>
                </c:pt>
                <c:pt idx="18">
                  <c:v>129</c:v>
                </c:pt>
                <c:pt idx="19">
                  <c:v>129</c:v>
                </c:pt>
                <c:pt idx="20">
                  <c:v>112</c:v>
                </c:pt>
                <c:pt idx="21">
                  <c:v>107</c:v>
                </c:pt>
                <c:pt idx="22">
                  <c:v>106</c:v>
                </c:pt>
                <c:pt idx="23">
                  <c:v>104</c:v>
                </c:pt>
                <c:pt idx="24">
                  <c:v>102</c:v>
                </c:pt>
                <c:pt idx="25">
                  <c:v>100</c:v>
                </c:pt>
                <c:pt idx="26">
                  <c:v>84</c:v>
                </c:pt>
                <c:pt idx="27">
                  <c:v>82</c:v>
                </c:pt>
                <c:pt idx="28">
                  <c:v>72</c:v>
                </c:pt>
                <c:pt idx="29">
                  <c:v>71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graf.'!$C$2</c:f>
              <c:strCache>
                <c:ptCount val="1"/>
                <c:pt idx="0">
                  <c:v>MLlib PFP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'load_balancing_diversi graf.'!$A$3:$A$32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graf.'!$C$3:$C$32</c:f>
              <c:numCache>
                <c:formatCode>General</c:formatCode>
                <c:ptCount val="30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graf.'!$D$2</c:f>
              <c:strCache>
                <c:ptCount val="1"/>
                <c:pt idx="0">
                  <c:v>BigFIM (p=1)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  <a:tailEnd type="oval"/>
            </a:ln>
            <a:effectLst/>
          </c:spPr>
          <c:invertIfNegative val="0"/>
          <c:cat>
            <c:strRef>
              <c:f>'load_balancing_diversi graf.'!$A$3:$A$32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graf.'!$D$3:$D$32</c:f>
              <c:numCache>
                <c:formatCode>General</c:formatCode>
                <c:ptCount val="30"/>
                <c:pt idx="0">
                  <c:v>19</c:v>
                </c:pt>
                <c:pt idx="1">
                  <c:v>18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graf.'!$E$2</c:f>
              <c:strCache>
                <c:ptCount val="1"/>
                <c:pt idx="0">
                  <c:v>BigFIM (p=3)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ysDot"/>
              <a:tailEnd type="oval"/>
            </a:ln>
            <a:effectLst/>
          </c:spPr>
          <c:invertIfNegative val="0"/>
          <c:cat>
            <c:strRef>
              <c:f>'load_balancing_diversi graf.'!$A$3:$A$32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graf.'!$E$3:$E$32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7286704"/>
        <c:axId val="1477287248"/>
      </c:barChart>
      <c:catAx>
        <c:axId val="147728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minsup</a:t>
                </a:r>
                <a:r>
                  <a:rPr lang="en-GB" sz="1100" baseline="0"/>
                  <a:t> values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7287248"/>
        <c:crosses val="autoZero"/>
        <c:auto val="1"/>
        <c:lblAlgn val="ctr"/>
        <c:lblOffset val="100"/>
        <c:noMultiLvlLbl val="0"/>
      </c:catAx>
      <c:valAx>
        <c:axId val="147728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728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78744495781006"/>
          <c:y val="3.4851473005126699E-2"/>
          <c:w val="0.23436281208650572"/>
          <c:h val="0.315696519243505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54723324873645"/>
          <c:y val="3.1152647975077882E-2"/>
          <c:w val="0.82401787379883296"/>
          <c:h val="0.827404027767557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'load_balancing_diversi graf.'!$B$36</c:f>
              <c:strCache>
                <c:ptCount val="1"/>
                <c:pt idx="0">
                  <c:v>Mahout PFP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graf.'!$B$37:$B$66</c:f>
              <c:numCache>
                <c:formatCode>General</c:formatCode>
                <c:ptCount val="30"/>
                <c:pt idx="0">
                  <c:v>19.5</c:v>
                </c:pt>
                <c:pt idx="1">
                  <c:v>19.100000000000001</c:v>
                </c:pt>
                <c:pt idx="2">
                  <c:v>19.100000000000001</c:v>
                </c:pt>
                <c:pt idx="3">
                  <c:v>19.100000000000001</c:v>
                </c:pt>
                <c:pt idx="4">
                  <c:v>15.4</c:v>
                </c:pt>
                <c:pt idx="5">
                  <c:v>15.3</c:v>
                </c:pt>
                <c:pt idx="6">
                  <c:v>15.3</c:v>
                </c:pt>
                <c:pt idx="7">
                  <c:v>15.3</c:v>
                </c:pt>
                <c:pt idx="8">
                  <c:v>15.2</c:v>
                </c:pt>
                <c:pt idx="9">
                  <c:v>15.1</c:v>
                </c:pt>
                <c:pt idx="10">
                  <c:v>14.7</c:v>
                </c:pt>
                <c:pt idx="11">
                  <c:v>14.4</c:v>
                </c:pt>
                <c:pt idx="12">
                  <c:v>14</c:v>
                </c:pt>
                <c:pt idx="13">
                  <c:v>13.5</c:v>
                </c:pt>
                <c:pt idx="14">
                  <c:v>13.5</c:v>
                </c:pt>
                <c:pt idx="15">
                  <c:v>13.4</c:v>
                </c:pt>
                <c:pt idx="16">
                  <c:v>13.2</c:v>
                </c:pt>
                <c:pt idx="17">
                  <c:v>13.1</c:v>
                </c:pt>
                <c:pt idx="18">
                  <c:v>12.9</c:v>
                </c:pt>
                <c:pt idx="19">
                  <c:v>12.9</c:v>
                </c:pt>
                <c:pt idx="20">
                  <c:v>11.2</c:v>
                </c:pt>
                <c:pt idx="21">
                  <c:v>10.7</c:v>
                </c:pt>
                <c:pt idx="22">
                  <c:v>10.6</c:v>
                </c:pt>
                <c:pt idx="23">
                  <c:v>10.4</c:v>
                </c:pt>
                <c:pt idx="24">
                  <c:v>10.199999999999999</c:v>
                </c:pt>
                <c:pt idx="25">
                  <c:v>10</c:v>
                </c:pt>
                <c:pt idx="26">
                  <c:v>8.4</c:v>
                </c:pt>
                <c:pt idx="27">
                  <c:v>8.1999999999999993</c:v>
                </c:pt>
                <c:pt idx="28">
                  <c:v>7.2</c:v>
                </c:pt>
                <c:pt idx="29">
                  <c:v>7.1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graf.'!$C$36</c:f>
              <c:strCache>
                <c:ptCount val="1"/>
                <c:pt idx="0">
                  <c:v>MLlib PFP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graf.'!$C$37:$C$66</c:f>
              <c:numCache>
                <c:formatCode>General</c:formatCode>
                <c:ptCount val="3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9.1999999999999993</c:v>
                </c:pt>
                <c:pt idx="22">
                  <c:v>9.1999999999999993</c:v>
                </c:pt>
                <c:pt idx="23">
                  <c:v>9.1999999999999993</c:v>
                </c:pt>
                <c:pt idx="24">
                  <c:v>9.1999999999999993</c:v>
                </c:pt>
                <c:pt idx="25">
                  <c:v>9.1999999999999993</c:v>
                </c:pt>
                <c:pt idx="26">
                  <c:v>9.1999999999999993</c:v>
                </c:pt>
                <c:pt idx="27">
                  <c:v>9.1999999999999993</c:v>
                </c:pt>
                <c:pt idx="28">
                  <c:v>9.1999999999999993</c:v>
                </c:pt>
                <c:pt idx="29">
                  <c:v>9.1999999999999993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graf.'!$D$36</c:f>
              <c:strCache>
                <c:ptCount val="1"/>
                <c:pt idx="0">
                  <c:v>BigFIM (p=1)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graf.'!$D$37:$D$66</c:f>
              <c:numCache>
                <c:formatCode>General</c:formatCode>
                <c:ptCount val="30"/>
                <c:pt idx="0">
                  <c:v>19</c:v>
                </c:pt>
                <c:pt idx="1">
                  <c:v>18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graf.'!$E$36</c:f>
              <c:strCache>
                <c:ptCount val="1"/>
                <c:pt idx="0">
                  <c:v>BigFIM (p=3)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graf.'!$E$37:$E$66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4"/>
          <c:order val="4"/>
          <c:tx>
            <c:strRef>
              <c:f>'load_balancing_diversi graf.'!$F$36</c:f>
              <c:strCache>
                <c:ptCount val="1"/>
                <c:pt idx="0">
                  <c:v>DistEclat (p=1)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graf.'!$F$37:$F$66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</c:ser>
        <c:ser>
          <c:idx val="5"/>
          <c:order val="5"/>
          <c:tx>
            <c:strRef>
              <c:f>'load_balancing_diversi graf.'!$G$36</c:f>
              <c:strCache>
                <c:ptCount val="1"/>
                <c:pt idx="0">
                  <c:v>DistEclat (p=3)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graf.'!$G$37:$G$66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7289968"/>
        <c:axId val="1477294320"/>
      </c:barChart>
      <c:catAx>
        <c:axId val="147728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minsup</a:t>
                </a:r>
                <a:r>
                  <a:rPr lang="en-GB" sz="1100" baseline="0"/>
                  <a:t> values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7294320"/>
        <c:crosses val="autoZero"/>
        <c:auto val="1"/>
        <c:lblAlgn val="ctr"/>
        <c:lblOffset val="100"/>
        <c:noMultiLvlLbl val="0"/>
      </c:catAx>
      <c:valAx>
        <c:axId val="14772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728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893620528838853"/>
          <c:y val="3.4851473005126699E-2"/>
          <c:w val="0.5174374525498362"/>
          <c:h val="0.29597468540731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54723324873645"/>
          <c:y val="3.1152647975077882E-2"/>
          <c:w val="0.82401787379883296"/>
          <c:h val="0.827404027767557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'load_balancing_diversi graf.'!$A$37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graf.'!$B$37:$G$37</c:f>
              <c:numCache>
                <c:formatCode>General</c:formatCode>
                <c:ptCount val="6"/>
                <c:pt idx="0">
                  <c:v>19.5</c:v>
                </c:pt>
                <c:pt idx="1">
                  <c:v>9</c:v>
                </c:pt>
                <c:pt idx="2">
                  <c:v>19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graf.'!$A$38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graf.'!$B$38:$G$38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18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graf.'!$A$39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graf.'!$B$39:$G$39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graf.'!$A$40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graf.'!$B$40:$G$40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4"/>
          <c:order val="4"/>
          <c:tx>
            <c:strRef>
              <c:f>'load_balancing_diversi graf.'!$A$41</c:f>
              <c:strCache>
                <c:ptCount val="1"/>
                <c:pt idx="0">
                  <c:v>t5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graf.'!$B$41:$G$41</c:f>
              <c:numCache>
                <c:formatCode>General</c:formatCode>
                <c:ptCount val="6"/>
                <c:pt idx="0">
                  <c:v>15.4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5"/>
          <c:order val="5"/>
          <c:tx>
            <c:strRef>
              <c:f>'load_balancing_diversi graf.'!$A$42</c:f>
              <c:strCache>
                <c:ptCount val="1"/>
                <c:pt idx="0">
                  <c:v>t6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graf.'!$B$42:$G$42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6"/>
          <c:order val="6"/>
          <c:tx>
            <c:strRef>
              <c:f>'load_balancing_diversi graf.'!$A$43</c:f>
              <c:strCache>
                <c:ptCount val="1"/>
                <c:pt idx="0">
                  <c:v>t7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graf.'!$B$43:$G$43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7"/>
          <c:order val="7"/>
          <c:tx>
            <c:strRef>
              <c:f>'load_balancing_diversi graf.'!$A$44</c:f>
              <c:strCache>
                <c:ptCount val="1"/>
                <c:pt idx="0">
                  <c:v>t8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graf.'!$B$44:$G$44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8"/>
          <c:order val="8"/>
          <c:tx>
            <c:strRef>
              <c:f>'load_balancing_diversi graf.'!$A$45</c:f>
              <c:strCache>
                <c:ptCount val="1"/>
                <c:pt idx="0">
                  <c:v>t9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graf.'!$B$45:$G$45</c:f>
              <c:numCache>
                <c:formatCode>General</c:formatCode>
                <c:ptCount val="6"/>
                <c:pt idx="0">
                  <c:v>15.2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9"/>
          <c:order val="9"/>
          <c:tx>
            <c:strRef>
              <c:f>'load_balancing_diversi graf.'!$A$46</c:f>
              <c:strCache>
                <c:ptCount val="1"/>
                <c:pt idx="0">
                  <c:v>t10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graf.'!$B$46:$G$46</c:f>
              <c:numCache>
                <c:formatCode>General</c:formatCode>
                <c:ptCount val="6"/>
                <c:pt idx="0">
                  <c:v>15.1</c:v>
                </c:pt>
                <c:pt idx="1">
                  <c:v>9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10"/>
          <c:order val="10"/>
          <c:tx>
            <c:strRef>
              <c:f>'load_balancing_diversi graf.'!$A$47</c:f>
              <c:strCache>
                <c:ptCount val="1"/>
                <c:pt idx="0">
                  <c:v>t11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graf.'!$B$47:$G$47</c:f>
              <c:numCache>
                <c:formatCode>General</c:formatCode>
                <c:ptCount val="6"/>
                <c:pt idx="0">
                  <c:v>14.7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</c:ser>
        <c:ser>
          <c:idx val="11"/>
          <c:order val="11"/>
          <c:tx>
            <c:strRef>
              <c:f>'load_balancing_diversi graf.'!$A$48</c:f>
              <c:strCache>
                <c:ptCount val="1"/>
                <c:pt idx="0">
                  <c:v>t12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graf.'!$B$48:$G$48</c:f>
              <c:numCache>
                <c:formatCode>General</c:formatCode>
                <c:ptCount val="6"/>
                <c:pt idx="0">
                  <c:v>14.4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2"/>
          <c:order val="12"/>
          <c:tx>
            <c:strRef>
              <c:f>'load_balancing_diversi graf.'!$A$49</c:f>
              <c:strCache>
                <c:ptCount val="1"/>
                <c:pt idx="0">
                  <c:v>t13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graf.'!$B$49:$G$49</c:f>
              <c:numCache>
                <c:formatCode>General</c:formatCode>
                <c:ptCount val="6"/>
                <c:pt idx="0">
                  <c:v>14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3"/>
          <c:order val="13"/>
          <c:tx>
            <c:strRef>
              <c:f>'load_balancing_diversi graf.'!$A$50</c:f>
              <c:strCache>
                <c:ptCount val="1"/>
                <c:pt idx="0">
                  <c:v>t14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graf.'!$B$50:$G$50</c:f>
              <c:numCache>
                <c:formatCode>General</c:formatCode>
                <c:ptCount val="6"/>
                <c:pt idx="0">
                  <c:v>13.5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4"/>
          <c:order val="14"/>
          <c:tx>
            <c:strRef>
              <c:f>'load_balancing_diversi graf.'!$A$51</c:f>
              <c:strCache>
                <c:ptCount val="1"/>
                <c:pt idx="0">
                  <c:v>t15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graf.'!$B$51:$G$51</c:f>
              <c:numCache>
                <c:formatCode>General</c:formatCode>
                <c:ptCount val="6"/>
                <c:pt idx="0">
                  <c:v>13.5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5"/>
          <c:order val="15"/>
          <c:tx>
            <c:strRef>
              <c:f>'load_balancing_diversi graf.'!$A$52</c:f>
              <c:strCache>
                <c:ptCount val="1"/>
                <c:pt idx="0">
                  <c:v>t16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graf.'!$B$52:$G$52</c:f>
              <c:numCache>
                <c:formatCode>General</c:formatCode>
                <c:ptCount val="6"/>
                <c:pt idx="0">
                  <c:v>13.4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6"/>
          <c:order val="16"/>
          <c:tx>
            <c:strRef>
              <c:f>'load_balancing_diversi graf.'!$A$53</c:f>
              <c:strCache>
                <c:ptCount val="1"/>
                <c:pt idx="0">
                  <c:v>t17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graf.'!$B$53:$G$53</c:f>
              <c:numCache>
                <c:formatCode>General</c:formatCode>
                <c:ptCount val="6"/>
                <c:pt idx="0">
                  <c:v>13.2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7"/>
          <c:order val="17"/>
          <c:tx>
            <c:strRef>
              <c:f>'load_balancing_diversi graf.'!$A$54</c:f>
              <c:strCache>
                <c:ptCount val="1"/>
                <c:pt idx="0">
                  <c:v>t18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graf.'!$B$54:$G$54</c:f>
              <c:numCache>
                <c:formatCode>General</c:formatCode>
                <c:ptCount val="6"/>
                <c:pt idx="0">
                  <c:v>13.1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8"/>
          <c:order val="18"/>
          <c:tx>
            <c:strRef>
              <c:f>'load_balancing_diversi graf.'!$A$55</c:f>
              <c:strCache>
                <c:ptCount val="1"/>
                <c:pt idx="0">
                  <c:v>t19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graf.'!$B$55:$G$55</c:f>
              <c:numCache>
                <c:formatCode>General</c:formatCode>
                <c:ptCount val="6"/>
                <c:pt idx="0">
                  <c:v>12.9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9"/>
          <c:order val="19"/>
          <c:tx>
            <c:strRef>
              <c:f>'load_balancing_diversi graf.'!$A$56</c:f>
              <c:strCache>
                <c:ptCount val="1"/>
                <c:pt idx="0">
                  <c:v>t20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graf.'!$B$56:$G$56</c:f>
              <c:numCache>
                <c:formatCode>General</c:formatCode>
                <c:ptCount val="6"/>
                <c:pt idx="0">
                  <c:v>12.9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0"/>
          <c:order val="20"/>
          <c:tx>
            <c:strRef>
              <c:f>'load_balancing_diversi graf.'!$A$57</c:f>
              <c:strCache>
                <c:ptCount val="1"/>
                <c:pt idx="0">
                  <c:v>t21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graf.'!$B$57:$G$57</c:f>
              <c:numCache>
                <c:formatCode>General</c:formatCode>
                <c:ptCount val="6"/>
                <c:pt idx="0">
                  <c:v>11.2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1"/>
          <c:order val="21"/>
          <c:tx>
            <c:strRef>
              <c:f>'load_balancing_diversi graf.'!$A$58</c:f>
              <c:strCache>
                <c:ptCount val="1"/>
                <c:pt idx="0">
                  <c:v>t22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graf.'!$B$58:$G$58</c:f>
              <c:numCache>
                <c:formatCode>General</c:formatCode>
                <c:ptCount val="6"/>
                <c:pt idx="0">
                  <c:v>10.7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2"/>
          <c:order val="22"/>
          <c:tx>
            <c:strRef>
              <c:f>'load_balancing_diversi graf.'!$A$59</c:f>
              <c:strCache>
                <c:ptCount val="1"/>
                <c:pt idx="0">
                  <c:v>t23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graf.'!$B$59:$G$59</c:f>
              <c:numCache>
                <c:formatCode>General</c:formatCode>
                <c:ptCount val="6"/>
                <c:pt idx="0">
                  <c:v>10.6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3"/>
          <c:order val="23"/>
          <c:tx>
            <c:strRef>
              <c:f>'load_balancing_diversi graf.'!$A$60</c:f>
              <c:strCache>
                <c:ptCount val="1"/>
                <c:pt idx="0">
                  <c:v>t24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graf.'!$B$60:$G$60</c:f>
              <c:numCache>
                <c:formatCode>General</c:formatCode>
                <c:ptCount val="6"/>
                <c:pt idx="0">
                  <c:v>10.4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4"/>
          <c:order val="24"/>
          <c:tx>
            <c:strRef>
              <c:f>'load_balancing_diversi graf.'!$A$61</c:f>
              <c:strCache>
                <c:ptCount val="1"/>
                <c:pt idx="0">
                  <c:v>t25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graf.'!$B$61:$G$61</c:f>
              <c:numCache>
                <c:formatCode>General</c:formatCode>
                <c:ptCount val="6"/>
                <c:pt idx="0">
                  <c:v>10.199999999999999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5"/>
          <c:order val="25"/>
          <c:tx>
            <c:strRef>
              <c:f>'load_balancing_diversi graf.'!$A$62</c:f>
              <c:strCache>
                <c:ptCount val="1"/>
                <c:pt idx="0">
                  <c:v>t26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graf.'!$B$62:$G$62</c:f>
              <c:numCache>
                <c:formatCode>General</c:formatCode>
                <c:ptCount val="6"/>
                <c:pt idx="0">
                  <c:v>10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6"/>
          <c:order val="26"/>
          <c:tx>
            <c:strRef>
              <c:f>'load_balancing_diversi graf.'!$A$63</c:f>
              <c:strCache>
                <c:ptCount val="1"/>
                <c:pt idx="0">
                  <c:v>t27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graf.'!$B$63:$G$63</c:f>
              <c:numCache>
                <c:formatCode>General</c:formatCode>
                <c:ptCount val="6"/>
                <c:pt idx="0">
                  <c:v>8.4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7"/>
          <c:order val="27"/>
          <c:tx>
            <c:strRef>
              <c:f>'load_balancing_diversi graf.'!$A$64</c:f>
              <c:strCache>
                <c:ptCount val="1"/>
                <c:pt idx="0">
                  <c:v>t28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graf.'!$B$64:$G$64</c:f>
              <c:numCache>
                <c:formatCode>General</c:formatCode>
                <c:ptCount val="6"/>
                <c:pt idx="0">
                  <c:v>8.1999999999999993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ser>
          <c:idx val="28"/>
          <c:order val="28"/>
          <c:tx>
            <c:strRef>
              <c:f>'load_balancing_diversi graf.'!$A$65</c:f>
              <c:strCache>
                <c:ptCount val="1"/>
                <c:pt idx="0">
                  <c:v>t29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graf.'!$B$65:$G$65</c:f>
              <c:numCache>
                <c:formatCode>General</c:formatCode>
                <c:ptCount val="6"/>
                <c:pt idx="0">
                  <c:v>7.2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ser>
          <c:idx val="29"/>
          <c:order val="29"/>
          <c:tx>
            <c:strRef>
              <c:f>'load_balancing_diversi graf.'!$A$66</c:f>
              <c:strCache>
                <c:ptCount val="1"/>
                <c:pt idx="0">
                  <c:v>t30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graf.'!$B$66:$G$66</c:f>
              <c:numCache>
                <c:formatCode>General</c:formatCode>
                <c:ptCount val="6"/>
                <c:pt idx="0">
                  <c:v>7.1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7291056"/>
        <c:axId val="1502387632"/>
      </c:barChart>
      <c:catAx>
        <c:axId val="147729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minsup</a:t>
                </a:r>
                <a:r>
                  <a:rPr lang="en-GB" sz="1100" baseline="0"/>
                  <a:t> values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2387632"/>
        <c:crosses val="autoZero"/>
        <c:auto val="1"/>
        <c:lblAlgn val="ctr"/>
        <c:lblOffset val="100"/>
        <c:noMultiLvlLbl val="0"/>
      </c:catAx>
      <c:valAx>
        <c:axId val="150238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729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893620528838853"/>
          <c:y val="3.4851473005126699E-2"/>
          <c:w val="0.5174374525498362"/>
          <c:h val="0.29597468540731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30"/>
      <c:depthPercent val="17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654723324873645"/>
          <c:y val="3.1152647975077882E-2"/>
          <c:w val="0.87262893700787392"/>
          <c:h val="0.8274040277675570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'load_balancing_diversi graf.'!$A$37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graf.'!$B$37:$G$37</c:f>
              <c:numCache>
                <c:formatCode>General</c:formatCode>
                <c:ptCount val="6"/>
                <c:pt idx="0">
                  <c:v>19.5</c:v>
                </c:pt>
                <c:pt idx="1">
                  <c:v>9</c:v>
                </c:pt>
                <c:pt idx="2">
                  <c:v>19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graf.'!$A$38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graf.'!$B$38:$G$38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18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graf.'!$A$39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graf.'!$B$39:$G$39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graf.'!$A$40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graf.'!$B$40:$G$40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4"/>
          <c:order val="4"/>
          <c:tx>
            <c:strRef>
              <c:f>'load_balancing_diversi graf.'!$A$41</c:f>
              <c:strCache>
                <c:ptCount val="1"/>
                <c:pt idx="0">
                  <c:v>t5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graf.'!$B$41:$G$41</c:f>
              <c:numCache>
                <c:formatCode>General</c:formatCode>
                <c:ptCount val="6"/>
                <c:pt idx="0">
                  <c:v>15.4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5"/>
          <c:order val="5"/>
          <c:tx>
            <c:strRef>
              <c:f>'load_balancing_diversi graf.'!$A$42</c:f>
              <c:strCache>
                <c:ptCount val="1"/>
                <c:pt idx="0">
                  <c:v>t6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graf.'!$B$42:$G$42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6"/>
          <c:order val="6"/>
          <c:tx>
            <c:strRef>
              <c:f>'load_balancing_diversi graf.'!$A$43</c:f>
              <c:strCache>
                <c:ptCount val="1"/>
                <c:pt idx="0">
                  <c:v>t7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graf.'!$B$43:$G$43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7"/>
          <c:order val="7"/>
          <c:tx>
            <c:strRef>
              <c:f>'load_balancing_diversi graf.'!$A$44</c:f>
              <c:strCache>
                <c:ptCount val="1"/>
                <c:pt idx="0">
                  <c:v>t8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graf.'!$B$44:$G$44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8"/>
          <c:order val="8"/>
          <c:tx>
            <c:strRef>
              <c:f>'load_balancing_diversi graf.'!$A$45</c:f>
              <c:strCache>
                <c:ptCount val="1"/>
                <c:pt idx="0">
                  <c:v>t9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graf.'!$B$45:$G$45</c:f>
              <c:numCache>
                <c:formatCode>General</c:formatCode>
                <c:ptCount val="6"/>
                <c:pt idx="0">
                  <c:v>15.2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9"/>
          <c:order val="9"/>
          <c:tx>
            <c:strRef>
              <c:f>'load_balancing_diversi graf.'!$A$46</c:f>
              <c:strCache>
                <c:ptCount val="1"/>
                <c:pt idx="0">
                  <c:v>t10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graf.'!$B$46:$G$46</c:f>
              <c:numCache>
                <c:formatCode>General</c:formatCode>
                <c:ptCount val="6"/>
                <c:pt idx="0">
                  <c:v>15.1</c:v>
                </c:pt>
                <c:pt idx="1">
                  <c:v>9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10"/>
          <c:order val="10"/>
          <c:tx>
            <c:strRef>
              <c:f>'load_balancing_diversi graf.'!$A$47</c:f>
              <c:strCache>
                <c:ptCount val="1"/>
                <c:pt idx="0">
                  <c:v>t11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graf.'!$B$47:$G$47</c:f>
              <c:numCache>
                <c:formatCode>General</c:formatCode>
                <c:ptCount val="6"/>
                <c:pt idx="0">
                  <c:v>14.7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</c:ser>
        <c:ser>
          <c:idx val="11"/>
          <c:order val="11"/>
          <c:tx>
            <c:strRef>
              <c:f>'load_balancing_diversi graf.'!$A$48</c:f>
              <c:strCache>
                <c:ptCount val="1"/>
                <c:pt idx="0">
                  <c:v>t12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graf.'!$B$48:$G$48</c:f>
              <c:numCache>
                <c:formatCode>General</c:formatCode>
                <c:ptCount val="6"/>
                <c:pt idx="0">
                  <c:v>14.4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2"/>
          <c:order val="12"/>
          <c:tx>
            <c:strRef>
              <c:f>'load_balancing_diversi graf.'!$A$49</c:f>
              <c:strCache>
                <c:ptCount val="1"/>
                <c:pt idx="0">
                  <c:v>t13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graf.'!$B$49:$G$49</c:f>
              <c:numCache>
                <c:formatCode>General</c:formatCode>
                <c:ptCount val="6"/>
                <c:pt idx="0">
                  <c:v>14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3"/>
          <c:order val="13"/>
          <c:tx>
            <c:strRef>
              <c:f>'load_balancing_diversi graf.'!$A$50</c:f>
              <c:strCache>
                <c:ptCount val="1"/>
                <c:pt idx="0">
                  <c:v>t14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graf.'!$B$50:$G$50</c:f>
              <c:numCache>
                <c:formatCode>General</c:formatCode>
                <c:ptCount val="6"/>
                <c:pt idx="0">
                  <c:v>13.5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4"/>
          <c:order val="14"/>
          <c:tx>
            <c:strRef>
              <c:f>'load_balancing_diversi graf.'!$A$51</c:f>
              <c:strCache>
                <c:ptCount val="1"/>
                <c:pt idx="0">
                  <c:v>t15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graf.'!$B$51:$G$51</c:f>
              <c:numCache>
                <c:formatCode>General</c:formatCode>
                <c:ptCount val="6"/>
                <c:pt idx="0">
                  <c:v>13.5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5"/>
          <c:order val="15"/>
          <c:tx>
            <c:strRef>
              <c:f>'load_balancing_diversi graf.'!$A$52</c:f>
              <c:strCache>
                <c:ptCount val="1"/>
                <c:pt idx="0">
                  <c:v>t16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graf.'!$B$52:$G$52</c:f>
              <c:numCache>
                <c:formatCode>General</c:formatCode>
                <c:ptCount val="6"/>
                <c:pt idx="0">
                  <c:v>13.4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6"/>
          <c:order val="16"/>
          <c:tx>
            <c:strRef>
              <c:f>'load_balancing_diversi graf.'!$A$53</c:f>
              <c:strCache>
                <c:ptCount val="1"/>
                <c:pt idx="0">
                  <c:v>t17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graf.'!$B$53:$G$53</c:f>
              <c:numCache>
                <c:formatCode>General</c:formatCode>
                <c:ptCount val="6"/>
                <c:pt idx="0">
                  <c:v>13.2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7"/>
          <c:order val="17"/>
          <c:tx>
            <c:strRef>
              <c:f>'load_balancing_diversi graf.'!$A$54</c:f>
              <c:strCache>
                <c:ptCount val="1"/>
                <c:pt idx="0">
                  <c:v>t18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graf.'!$B$54:$G$54</c:f>
              <c:numCache>
                <c:formatCode>General</c:formatCode>
                <c:ptCount val="6"/>
                <c:pt idx="0">
                  <c:v>13.1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8"/>
          <c:order val="18"/>
          <c:tx>
            <c:strRef>
              <c:f>'load_balancing_diversi graf.'!$A$55</c:f>
              <c:strCache>
                <c:ptCount val="1"/>
                <c:pt idx="0">
                  <c:v>t19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graf.'!$B$55:$G$55</c:f>
              <c:numCache>
                <c:formatCode>General</c:formatCode>
                <c:ptCount val="6"/>
                <c:pt idx="0">
                  <c:v>12.9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9"/>
          <c:order val="19"/>
          <c:tx>
            <c:strRef>
              <c:f>'load_balancing_diversi graf.'!$A$56</c:f>
              <c:strCache>
                <c:ptCount val="1"/>
                <c:pt idx="0">
                  <c:v>t20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graf.'!$B$56:$G$56</c:f>
              <c:numCache>
                <c:formatCode>General</c:formatCode>
                <c:ptCount val="6"/>
                <c:pt idx="0">
                  <c:v>12.9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0"/>
          <c:order val="20"/>
          <c:tx>
            <c:strRef>
              <c:f>'load_balancing_diversi graf.'!$A$57</c:f>
              <c:strCache>
                <c:ptCount val="1"/>
                <c:pt idx="0">
                  <c:v>t21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graf.'!$B$57:$G$57</c:f>
              <c:numCache>
                <c:formatCode>General</c:formatCode>
                <c:ptCount val="6"/>
                <c:pt idx="0">
                  <c:v>11.2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1"/>
          <c:order val="21"/>
          <c:tx>
            <c:strRef>
              <c:f>'load_balancing_diversi graf.'!$A$58</c:f>
              <c:strCache>
                <c:ptCount val="1"/>
                <c:pt idx="0">
                  <c:v>t22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graf.'!$B$58:$G$58</c:f>
              <c:numCache>
                <c:formatCode>General</c:formatCode>
                <c:ptCount val="6"/>
                <c:pt idx="0">
                  <c:v>10.7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2"/>
          <c:order val="22"/>
          <c:tx>
            <c:strRef>
              <c:f>'load_balancing_diversi graf.'!$A$59</c:f>
              <c:strCache>
                <c:ptCount val="1"/>
                <c:pt idx="0">
                  <c:v>t23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graf.'!$B$59:$G$59</c:f>
              <c:numCache>
                <c:formatCode>General</c:formatCode>
                <c:ptCount val="6"/>
                <c:pt idx="0">
                  <c:v>10.6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3"/>
          <c:order val="23"/>
          <c:tx>
            <c:strRef>
              <c:f>'load_balancing_diversi graf.'!$A$60</c:f>
              <c:strCache>
                <c:ptCount val="1"/>
                <c:pt idx="0">
                  <c:v>t24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graf.'!$B$60:$G$60</c:f>
              <c:numCache>
                <c:formatCode>General</c:formatCode>
                <c:ptCount val="6"/>
                <c:pt idx="0">
                  <c:v>10.4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4"/>
          <c:order val="24"/>
          <c:tx>
            <c:strRef>
              <c:f>'load_balancing_diversi graf.'!$A$61</c:f>
              <c:strCache>
                <c:ptCount val="1"/>
                <c:pt idx="0">
                  <c:v>t25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graf.'!$B$61:$G$61</c:f>
              <c:numCache>
                <c:formatCode>General</c:formatCode>
                <c:ptCount val="6"/>
                <c:pt idx="0">
                  <c:v>10.199999999999999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5"/>
          <c:order val="25"/>
          <c:tx>
            <c:strRef>
              <c:f>'load_balancing_diversi graf.'!$A$62</c:f>
              <c:strCache>
                <c:ptCount val="1"/>
                <c:pt idx="0">
                  <c:v>t26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graf.'!$B$62:$G$62</c:f>
              <c:numCache>
                <c:formatCode>General</c:formatCode>
                <c:ptCount val="6"/>
                <c:pt idx="0">
                  <c:v>10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6"/>
          <c:order val="26"/>
          <c:tx>
            <c:strRef>
              <c:f>'load_balancing_diversi graf.'!$A$63</c:f>
              <c:strCache>
                <c:ptCount val="1"/>
                <c:pt idx="0">
                  <c:v>t27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graf.'!$B$63:$G$63</c:f>
              <c:numCache>
                <c:formatCode>General</c:formatCode>
                <c:ptCount val="6"/>
                <c:pt idx="0">
                  <c:v>8.4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7"/>
          <c:order val="27"/>
          <c:tx>
            <c:strRef>
              <c:f>'load_balancing_diversi graf.'!$A$64</c:f>
              <c:strCache>
                <c:ptCount val="1"/>
                <c:pt idx="0">
                  <c:v>t28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graf.'!$B$64:$G$64</c:f>
              <c:numCache>
                <c:formatCode>General</c:formatCode>
                <c:ptCount val="6"/>
                <c:pt idx="0">
                  <c:v>8.1999999999999993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ser>
          <c:idx val="28"/>
          <c:order val="28"/>
          <c:tx>
            <c:strRef>
              <c:f>'load_balancing_diversi graf.'!$A$65</c:f>
              <c:strCache>
                <c:ptCount val="1"/>
                <c:pt idx="0">
                  <c:v>t29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graf.'!$B$65:$G$65</c:f>
              <c:numCache>
                <c:formatCode>General</c:formatCode>
                <c:ptCount val="6"/>
                <c:pt idx="0">
                  <c:v>7.2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ser>
          <c:idx val="29"/>
          <c:order val="29"/>
          <c:tx>
            <c:strRef>
              <c:f>'load_balancing_diversi graf.'!$A$66</c:f>
              <c:strCache>
                <c:ptCount val="1"/>
                <c:pt idx="0">
                  <c:v>t30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graf.'!$B$66:$G$66</c:f>
              <c:numCache>
                <c:formatCode>General</c:formatCode>
                <c:ptCount val="6"/>
                <c:pt idx="0">
                  <c:v>7.1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8064880"/>
        <c:axId val="1628053456"/>
        <c:axId val="1476254544"/>
      </c:bar3DChart>
      <c:catAx>
        <c:axId val="162806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8053456"/>
        <c:crosses val="autoZero"/>
        <c:auto val="1"/>
        <c:lblAlgn val="ctr"/>
        <c:lblOffset val="100"/>
        <c:noMultiLvlLbl val="0"/>
      </c:catAx>
      <c:valAx>
        <c:axId val="162805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8064880"/>
        <c:crosses val="autoZero"/>
        <c:crossBetween val="between"/>
      </c:valAx>
      <c:serAx>
        <c:axId val="1476254544"/>
        <c:scaling>
          <c:orientation val="maxMin"/>
        </c:scaling>
        <c:delete val="0"/>
        <c:axPos val="b"/>
        <c:title>
          <c:tx>
            <c:rich>
              <a:bodyPr rot="-2280000" spcFirstLastPara="1" vertOverflow="ellipsis" wrap="square" anchor="b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Tasks</a:t>
                </a:r>
              </a:p>
            </c:rich>
          </c:tx>
          <c:layout>
            <c:manualLayout>
              <c:xMode val="edge"/>
              <c:yMode val="edge"/>
              <c:x val="0.66910670648927506"/>
              <c:y val="0.68010835061641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2280000" spcFirstLastPara="1" vertOverflow="ellipsis" wrap="square" anchor="b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8053456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7584677658455559E-2"/>
          <c:y val="3.9273790405141326E-2"/>
          <c:w val="7.1592561036885841E-2"/>
          <c:h val="0.89630571616010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54723324873645"/>
          <c:y val="3.1152647975077882E-2"/>
          <c:w val="0.82401787379883296"/>
          <c:h val="0.827404027767557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'load_balancing_diversi graf.'!$B$36</c:f>
              <c:strCache>
                <c:ptCount val="1"/>
                <c:pt idx="0">
                  <c:v>Mahout PFP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graf.'!$B$37:$B$66</c:f>
              <c:numCache>
                <c:formatCode>General</c:formatCode>
                <c:ptCount val="30"/>
                <c:pt idx="0">
                  <c:v>19.5</c:v>
                </c:pt>
                <c:pt idx="1">
                  <c:v>19.100000000000001</c:v>
                </c:pt>
                <c:pt idx="2">
                  <c:v>19.100000000000001</c:v>
                </c:pt>
                <c:pt idx="3">
                  <c:v>19.100000000000001</c:v>
                </c:pt>
                <c:pt idx="4">
                  <c:v>15.4</c:v>
                </c:pt>
                <c:pt idx="5">
                  <c:v>15.3</c:v>
                </c:pt>
                <c:pt idx="6">
                  <c:v>15.3</c:v>
                </c:pt>
                <c:pt idx="7">
                  <c:v>15.3</c:v>
                </c:pt>
                <c:pt idx="8">
                  <c:v>15.2</c:v>
                </c:pt>
                <c:pt idx="9">
                  <c:v>15.1</c:v>
                </c:pt>
                <c:pt idx="10">
                  <c:v>14.7</c:v>
                </c:pt>
                <c:pt idx="11">
                  <c:v>14.4</c:v>
                </c:pt>
                <c:pt idx="12">
                  <c:v>14</c:v>
                </c:pt>
                <c:pt idx="13">
                  <c:v>13.5</c:v>
                </c:pt>
                <c:pt idx="14">
                  <c:v>13.5</c:v>
                </c:pt>
                <c:pt idx="15">
                  <c:v>13.4</c:v>
                </c:pt>
                <c:pt idx="16">
                  <c:v>13.2</c:v>
                </c:pt>
                <c:pt idx="17">
                  <c:v>13.1</c:v>
                </c:pt>
                <c:pt idx="18">
                  <c:v>12.9</c:v>
                </c:pt>
                <c:pt idx="19">
                  <c:v>12.9</c:v>
                </c:pt>
                <c:pt idx="20">
                  <c:v>11.2</c:v>
                </c:pt>
                <c:pt idx="21">
                  <c:v>10.7</c:v>
                </c:pt>
                <c:pt idx="22">
                  <c:v>10.6</c:v>
                </c:pt>
                <c:pt idx="23">
                  <c:v>10.4</c:v>
                </c:pt>
                <c:pt idx="24">
                  <c:v>10.199999999999999</c:v>
                </c:pt>
                <c:pt idx="25">
                  <c:v>10</c:v>
                </c:pt>
                <c:pt idx="26">
                  <c:v>8.4</c:v>
                </c:pt>
                <c:pt idx="27">
                  <c:v>8.1999999999999993</c:v>
                </c:pt>
                <c:pt idx="28">
                  <c:v>7.2</c:v>
                </c:pt>
                <c:pt idx="29">
                  <c:v>7.1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graf.'!$C$36</c:f>
              <c:strCache>
                <c:ptCount val="1"/>
                <c:pt idx="0">
                  <c:v>MLlib PFP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graf.'!$C$37:$C$66</c:f>
              <c:numCache>
                <c:formatCode>General</c:formatCode>
                <c:ptCount val="3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9.1999999999999993</c:v>
                </c:pt>
                <c:pt idx="22">
                  <c:v>9.1999999999999993</c:v>
                </c:pt>
                <c:pt idx="23">
                  <c:v>9.1999999999999993</c:v>
                </c:pt>
                <c:pt idx="24">
                  <c:v>9.1999999999999993</c:v>
                </c:pt>
                <c:pt idx="25">
                  <c:v>9.1999999999999993</c:v>
                </c:pt>
                <c:pt idx="26">
                  <c:v>9.1999999999999993</c:v>
                </c:pt>
                <c:pt idx="27">
                  <c:v>9.1999999999999993</c:v>
                </c:pt>
                <c:pt idx="28">
                  <c:v>9.1999999999999993</c:v>
                </c:pt>
                <c:pt idx="29">
                  <c:v>9.1999999999999993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graf.'!$D$36</c:f>
              <c:strCache>
                <c:ptCount val="1"/>
                <c:pt idx="0">
                  <c:v>BigFIM (p=1)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graf.'!$D$37:$D$66</c:f>
              <c:numCache>
                <c:formatCode>General</c:formatCode>
                <c:ptCount val="30"/>
                <c:pt idx="0">
                  <c:v>19</c:v>
                </c:pt>
                <c:pt idx="1">
                  <c:v>18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graf.'!$E$36</c:f>
              <c:strCache>
                <c:ptCount val="1"/>
                <c:pt idx="0">
                  <c:v>BigFIM (p=3)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graf.'!$E$37:$E$66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4"/>
          <c:order val="4"/>
          <c:tx>
            <c:strRef>
              <c:f>'load_balancing_diversi graf.'!$F$36</c:f>
              <c:strCache>
                <c:ptCount val="1"/>
                <c:pt idx="0">
                  <c:v>DistEclat (p=1)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graf.'!$F$37:$F$66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</c:ser>
        <c:ser>
          <c:idx val="5"/>
          <c:order val="5"/>
          <c:tx>
            <c:strRef>
              <c:f>'load_balancing_diversi graf.'!$G$36</c:f>
              <c:strCache>
                <c:ptCount val="1"/>
                <c:pt idx="0">
                  <c:v>DistEclat (p=3)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graf.'!$G$37:$G$66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8071408"/>
        <c:axId val="1628081200"/>
      </c:barChart>
      <c:catAx>
        <c:axId val="162807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Tasks</a:t>
                </a:r>
              </a:p>
              <a:p>
                <a:pPr>
                  <a:defRPr sz="1100"/>
                </a:pP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8081200"/>
        <c:crosses val="autoZero"/>
        <c:auto val="1"/>
        <c:lblAlgn val="ctr"/>
        <c:lblOffset val="100"/>
        <c:noMultiLvlLbl val="0"/>
      </c:catAx>
      <c:valAx>
        <c:axId val="16280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807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893620528838853"/>
          <c:y val="3.4851473005126699E-2"/>
          <c:w val="0.47971202892091314"/>
          <c:h val="0.32401206858488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980130651567192E-2"/>
          <c:y val="8.7699808449054006E-2"/>
          <c:w val="0.88455988935913121"/>
          <c:h val="0.829361946496775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'load_balancing_diversi graf.'!$B$161</c:f>
              <c:strCache>
                <c:ptCount val="1"/>
                <c:pt idx="0">
                  <c:v>Mahout PFP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graf.'!$B$162:$B$172</c:f>
              <c:numCache>
                <c:formatCode>General</c:formatCode>
                <c:ptCount val="11"/>
                <c:pt idx="0">
                  <c:v>100</c:v>
                </c:pt>
                <c:pt idx="1">
                  <c:v>97.948717948717956</c:v>
                </c:pt>
                <c:pt idx="2">
                  <c:v>97.948717948717956</c:v>
                </c:pt>
                <c:pt idx="3">
                  <c:v>97.948717948717956</c:v>
                </c:pt>
                <c:pt idx="4">
                  <c:v>78.974358974358978</c:v>
                </c:pt>
                <c:pt idx="6">
                  <c:v>51.282051282051277</c:v>
                </c:pt>
                <c:pt idx="7">
                  <c:v>43.07692307692308</c:v>
                </c:pt>
                <c:pt idx="8">
                  <c:v>42.051282051282044</c:v>
                </c:pt>
                <c:pt idx="9">
                  <c:v>36.923076923076927</c:v>
                </c:pt>
                <c:pt idx="10">
                  <c:v>36.410256410256409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graf.'!$C$161</c:f>
              <c:strCache>
                <c:ptCount val="1"/>
                <c:pt idx="0">
                  <c:v>MLlib PFP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graf.'!$C$162:$C$172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6">
                  <c:v>97.826086956521749</c:v>
                </c:pt>
                <c:pt idx="7">
                  <c:v>97.826086956521749</c:v>
                </c:pt>
                <c:pt idx="8">
                  <c:v>97.826086956521749</c:v>
                </c:pt>
                <c:pt idx="9">
                  <c:v>97.826086956521749</c:v>
                </c:pt>
                <c:pt idx="10">
                  <c:v>97.826086956521749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graf.'!$D$161</c:f>
              <c:strCache>
                <c:ptCount val="1"/>
                <c:pt idx="0">
                  <c:v>BigFIM (p=1)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graf.'!$D$162:$D$172</c:f>
              <c:numCache>
                <c:formatCode>General</c:formatCode>
                <c:ptCount val="11"/>
                <c:pt idx="0">
                  <c:v>100</c:v>
                </c:pt>
                <c:pt idx="1">
                  <c:v>94.73684210526315</c:v>
                </c:pt>
                <c:pt idx="2">
                  <c:v>31.578947368421051</c:v>
                </c:pt>
                <c:pt idx="3">
                  <c:v>31.578947368421051</c:v>
                </c:pt>
                <c:pt idx="4">
                  <c:v>31.578947368421051</c:v>
                </c:pt>
                <c:pt idx="6">
                  <c:v>15.789473684210526</c:v>
                </c:pt>
                <c:pt idx="7">
                  <c:v>10.526315789473683</c:v>
                </c:pt>
                <c:pt idx="8">
                  <c:v>10.526315789473683</c:v>
                </c:pt>
                <c:pt idx="9">
                  <c:v>10.526315789473683</c:v>
                </c:pt>
                <c:pt idx="10">
                  <c:v>10.526315789473683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graf.'!$E$161</c:f>
              <c:strCache>
                <c:ptCount val="1"/>
                <c:pt idx="0">
                  <c:v>BigFIM (p=3)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graf.'!$E$162:$E$172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6">
                  <c:v>75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</c:ser>
        <c:ser>
          <c:idx val="4"/>
          <c:order val="4"/>
          <c:tx>
            <c:strRef>
              <c:f>'load_balancing_diversi graf.'!$F$161</c:f>
              <c:strCache>
                <c:ptCount val="1"/>
                <c:pt idx="0">
                  <c:v>DistEclat (p=1)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graf.'!$F$162:$F$172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83.333333333333343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</c:ser>
        <c:ser>
          <c:idx val="5"/>
          <c:order val="5"/>
          <c:tx>
            <c:strRef>
              <c:f>'load_balancing_diversi graf.'!$G$161</c:f>
              <c:strCache>
                <c:ptCount val="1"/>
                <c:pt idx="0">
                  <c:v>DistEclat (p=3)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graf.'!$G$162:$G$172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0</c:v>
                </c:pt>
                <c:pt idx="6">
                  <c:v>75</c:v>
                </c:pt>
                <c:pt idx="7">
                  <c:v>75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8067056"/>
        <c:axId val="1628081744"/>
      </c:barChart>
      <c:catAx>
        <c:axId val="162806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Tasks</a:t>
                </a:r>
              </a:p>
              <a:p>
                <a:pPr>
                  <a:defRPr sz="1100"/>
                </a:pPr>
                <a:endParaRPr lang="en-GB" sz="1100"/>
              </a:p>
            </c:rich>
          </c:tx>
          <c:layout>
            <c:manualLayout>
              <c:xMode val="edge"/>
              <c:yMode val="edge"/>
              <c:x val="0.4854515572037128"/>
              <c:y val="0.941536955457660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8081744"/>
        <c:crosses val="autoZero"/>
        <c:auto val="1"/>
        <c:lblAlgn val="ctr"/>
        <c:lblOffset val="100"/>
        <c:noMultiLvlLbl val="0"/>
      </c:catAx>
      <c:valAx>
        <c:axId val="16280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Execution time (normalized)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806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720088579212708"/>
          <c:y val="3.4851473005126699E-2"/>
          <c:w val="0.75144728345070899"/>
          <c:h val="0.13443859801884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'load_balancing_diversi graf.'!$B$180</c:f>
              <c:strCache>
                <c:ptCount val="1"/>
                <c:pt idx="0">
                  <c:v>Best task</c:v>
                </c:pt>
              </c:strCache>
            </c:strRef>
          </c:tx>
          <c:spPr>
            <a:pattFill prst="lgCheck">
              <a:fgClr>
                <a:sysClr val="windowText" lastClr="000000"/>
              </a:fgClr>
              <a:bgClr>
                <a:schemeClr val="bg1"/>
              </a:bgClr>
            </a:patt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'load_balancing_diversi graf.'!$A$181:$A$186</c:f>
              <c:strCache>
                <c:ptCount val="6"/>
                <c:pt idx="0">
                  <c:v>BigFIM P=1</c:v>
                </c:pt>
                <c:pt idx="1">
                  <c:v>BigFIM P=2</c:v>
                </c:pt>
                <c:pt idx="2">
                  <c:v>DistEclat P=1</c:v>
                </c:pt>
                <c:pt idx="3">
                  <c:v>DistEclat P=2</c:v>
                </c:pt>
                <c:pt idx="4">
                  <c:v>Mahout PFP</c:v>
                </c:pt>
                <c:pt idx="5">
                  <c:v>MLlib PFP</c:v>
                </c:pt>
              </c:strCache>
            </c:strRef>
          </c:cat>
          <c:val>
            <c:numRef>
              <c:f>'load_balancing_diversi graf.'!$B$181:$B$186</c:f>
              <c:numCache>
                <c:formatCode>General</c:formatCode>
                <c:ptCount val="6"/>
                <c:pt idx="0">
                  <c:v>33.333333333333329</c:v>
                </c:pt>
                <c:pt idx="1">
                  <c:v>58.333333333333336</c:v>
                </c:pt>
                <c:pt idx="2">
                  <c:v>50</c:v>
                </c:pt>
                <c:pt idx="3">
                  <c:v>40</c:v>
                </c:pt>
                <c:pt idx="4">
                  <c:v>6.1840120663650078</c:v>
                </c:pt>
                <c:pt idx="5">
                  <c:v>89.473684210526315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graf.'!$C$180</c:f>
              <c:strCache>
                <c:ptCount val="1"/>
                <c:pt idx="0">
                  <c:v>Worst task</c:v>
                </c:pt>
              </c:strCache>
            </c:strRef>
          </c:tx>
          <c:spPr>
            <a:pattFill prst="diagBrick">
              <a:fgClr>
                <a:sysClr val="windowText" lastClr="000000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'load_balancing_diversi graf.'!$A$181:$A$186</c:f>
              <c:strCache>
                <c:ptCount val="6"/>
                <c:pt idx="0">
                  <c:v>BigFIM P=1</c:v>
                </c:pt>
                <c:pt idx="1">
                  <c:v>BigFIM P=2</c:v>
                </c:pt>
                <c:pt idx="2">
                  <c:v>DistEclat P=1</c:v>
                </c:pt>
                <c:pt idx="3">
                  <c:v>DistEclat P=2</c:v>
                </c:pt>
                <c:pt idx="4">
                  <c:v>Mahout PFP</c:v>
                </c:pt>
                <c:pt idx="5">
                  <c:v>MLlib PFP</c:v>
                </c:pt>
              </c:strCache>
            </c:strRef>
          </c:cat>
          <c:val>
            <c:numRef>
              <c:f>'load_balancing_diversi graf.'!$C$181:$C$186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8051824"/>
        <c:axId val="1628063792"/>
      </c:barChart>
      <c:catAx>
        <c:axId val="162805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8063792"/>
        <c:crosses val="autoZero"/>
        <c:auto val="1"/>
        <c:lblAlgn val="ctr"/>
        <c:lblOffset val="100"/>
        <c:noMultiLvlLbl val="0"/>
      </c:catAx>
      <c:valAx>
        <c:axId val="16280637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Normalized 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805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'load_balancing_diversi graf.'!$C$194</c:f>
              <c:strCache>
                <c:ptCount val="1"/>
                <c:pt idx="0">
                  <c:v>Best task</c:v>
                </c:pt>
              </c:strCache>
            </c:strRef>
          </c:tx>
          <c:spPr>
            <a:pattFill prst="lg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'load_balancing_diversi graf.'!$B$195:$B$196</c:f>
              <c:strCache>
                <c:ptCount val="2"/>
                <c:pt idx="0">
                  <c:v>DistEclat - Mining Task P=1</c:v>
                </c:pt>
                <c:pt idx="1">
                  <c:v>DistEclat - Mining Task P=2</c:v>
                </c:pt>
              </c:strCache>
            </c:strRef>
          </c:cat>
          <c:val>
            <c:numRef>
              <c:f>'load_balancing_diversi graf.'!$C$195:$C$196</c:f>
              <c:numCache>
                <c:formatCode>General</c:formatCode>
                <c:ptCount val="2"/>
                <c:pt idx="0">
                  <c:v>50</c:v>
                </c:pt>
                <c:pt idx="1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graf.'!$D$194</c:f>
              <c:strCache>
                <c:ptCount val="1"/>
                <c:pt idx="0">
                  <c:v>Worst task</c:v>
                </c:pt>
              </c:strCache>
            </c:strRef>
          </c:tx>
          <c:spPr>
            <a:pattFill prst="diagBrick">
              <a:fgClr>
                <a:sysClr val="windowText" lastClr="000000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'load_balancing_diversi graf.'!$B$195:$B$196</c:f>
              <c:strCache>
                <c:ptCount val="2"/>
                <c:pt idx="0">
                  <c:v>DistEclat - Mining Task P=1</c:v>
                </c:pt>
                <c:pt idx="1">
                  <c:v>DistEclat - Mining Task P=2</c:v>
                </c:pt>
              </c:strCache>
            </c:strRef>
          </c:cat>
          <c:val>
            <c:numRef>
              <c:f>'load_balancing_diversi graf.'!$D$195:$D$196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8052912"/>
        <c:axId val="1628054000"/>
      </c:barChart>
      <c:catAx>
        <c:axId val="162805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8054000"/>
        <c:crosses val="autoZero"/>
        <c:auto val="1"/>
        <c:lblAlgn val="ctr"/>
        <c:lblOffset val="100"/>
        <c:noMultiLvlLbl val="0"/>
      </c:catAx>
      <c:valAx>
        <c:axId val="16280540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Normalized 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805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minsup!$B$4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minsup!$B$5:$B$19</c:f>
              <c:numCache>
                <c:formatCode>General</c:formatCode>
                <c:ptCount val="15"/>
                <c:pt idx="0">
                  <c:v>301</c:v>
                </c:pt>
                <c:pt idx="1">
                  <c:v>314</c:v>
                </c:pt>
                <c:pt idx="2">
                  <c:v>335</c:v>
                </c:pt>
                <c:pt idx="3">
                  <c:v>390</c:v>
                </c:pt>
                <c:pt idx="4">
                  <c:v>990</c:v>
                </c:pt>
                <c:pt idx="5">
                  <c:v>1046</c:v>
                </c:pt>
                <c:pt idx="6">
                  <c:v>1175</c:v>
                </c:pt>
                <c:pt idx="7">
                  <c:v>1297</c:v>
                </c:pt>
                <c:pt idx="8">
                  <c:v>1417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minsup!$C$4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minsup!$C$5:$C$19</c:f>
              <c:numCache>
                <c:formatCode>General</c:formatCode>
                <c:ptCount val="15"/>
                <c:pt idx="0">
                  <c:v>393</c:v>
                </c:pt>
                <c:pt idx="1">
                  <c:v>413</c:v>
                </c:pt>
                <c:pt idx="2">
                  <c:v>418</c:v>
                </c:pt>
                <c:pt idx="3">
                  <c:v>435</c:v>
                </c:pt>
                <c:pt idx="4">
                  <c:v>586</c:v>
                </c:pt>
                <c:pt idx="5">
                  <c:v>905</c:v>
                </c:pt>
                <c:pt idx="6">
                  <c:v>1138</c:v>
                </c:pt>
                <c:pt idx="7">
                  <c:v>1309</c:v>
                </c:pt>
                <c:pt idx="8">
                  <c:v>1304</c:v>
                </c:pt>
                <c:pt idx="9">
                  <c:v>1309</c:v>
                </c:pt>
                <c:pt idx="10">
                  <c:v>2880</c:v>
                </c:pt>
                <c:pt idx="11">
                  <c:v>5855</c:v>
                </c:pt>
                <c:pt idx="12">
                  <c:v>19320</c:v>
                </c:pt>
                <c:pt idx="13">
                  <c:v>48892</c:v>
                </c:pt>
                <c:pt idx="14">
                  <c:v>61320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minsup!$D$4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minsup!$D$5:$D$19</c:f>
              <c:numCache>
                <c:formatCode>General</c:formatCode>
                <c:ptCount val="15"/>
                <c:pt idx="0">
                  <c:v>415</c:v>
                </c:pt>
                <c:pt idx="1">
                  <c:v>414</c:v>
                </c:pt>
                <c:pt idx="2">
                  <c:v>449</c:v>
                </c:pt>
                <c:pt idx="3">
                  <c:v>688</c:v>
                </c:pt>
                <c:pt idx="4">
                  <c:v>805</c:v>
                </c:pt>
                <c:pt idx="5">
                  <c:v>1160</c:v>
                </c:pt>
                <c:pt idx="6">
                  <c:v>1360</c:v>
                </c:pt>
                <c:pt idx="7">
                  <c:v>1399</c:v>
                </c:pt>
                <c:pt idx="8">
                  <c:v>1416</c:v>
                </c:pt>
                <c:pt idx="9">
                  <c:v>1473</c:v>
                </c:pt>
                <c:pt idx="10">
                  <c:v>2529</c:v>
                </c:pt>
                <c:pt idx="11">
                  <c:v>3267</c:v>
                </c:pt>
                <c:pt idx="12">
                  <c:v>4443</c:v>
                </c:pt>
                <c:pt idx="13">
                  <c:v>5640</c:v>
                </c:pt>
                <c:pt idx="14">
                  <c:v>7128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068144"/>
        <c:axId val="1628063248"/>
      </c:scatterChart>
      <c:valAx>
        <c:axId val="162806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minsup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8063248"/>
        <c:crosses val="autoZero"/>
        <c:crossBetween val="midCat"/>
      </c:valAx>
      <c:valAx>
        <c:axId val="16280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(seconds)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806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minsup!$B$4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minsup!$B$23:$B$31</c:f>
              <c:numCache>
                <c:formatCode>General</c:formatCode>
                <c:ptCount val="9"/>
                <c:pt idx="0">
                  <c:v>301</c:v>
                </c:pt>
                <c:pt idx="1">
                  <c:v>314</c:v>
                </c:pt>
                <c:pt idx="2">
                  <c:v>335</c:v>
                </c:pt>
                <c:pt idx="3">
                  <c:v>390</c:v>
                </c:pt>
                <c:pt idx="4">
                  <c:v>990</c:v>
                </c:pt>
                <c:pt idx="5">
                  <c:v>1046</c:v>
                </c:pt>
                <c:pt idx="6">
                  <c:v>1175</c:v>
                </c:pt>
                <c:pt idx="7">
                  <c:v>1297</c:v>
                </c:pt>
                <c:pt idx="8">
                  <c:v>1417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minsup!$C$4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minsup!$C$23:$C$31</c:f>
              <c:numCache>
                <c:formatCode>General</c:formatCode>
                <c:ptCount val="9"/>
                <c:pt idx="0">
                  <c:v>393</c:v>
                </c:pt>
                <c:pt idx="1">
                  <c:v>413</c:v>
                </c:pt>
                <c:pt idx="2">
                  <c:v>418</c:v>
                </c:pt>
                <c:pt idx="3">
                  <c:v>435</c:v>
                </c:pt>
                <c:pt idx="4">
                  <c:v>586</c:v>
                </c:pt>
                <c:pt idx="5">
                  <c:v>905</c:v>
                </c:pt>
                <c:pt idx="6">
                  <c:v>1138</c:v>
                </c:pt>
                <c:pt idx="7">
                  <c:v>1309</c:v>
                </c:pt>
                <c:pt idx="8">
                  <c:v>1304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minsup!$D$4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minsup!$D$23:$D$31</c:f>
              <c:numCache>
                <c:formatCode>General</c:formatCode>
                <c:ptCount val="9"/>
                <c:pt idx="0">
                  <c:v>415</c:v>
                </c:pt>
                <c:pt idx="1">
                  <c:v>414</c:v>
                </c:pt>
                <c:pt idx="2">
                  <c:v>449</c:v>
                </c:pt>
                <c:pt idx="3">
                  <c:v>688</c:v>
                </c:pt>
                <c:pt idx="4">
                  <c:v>805</c:v>
                </c:pt>
                <c:pt idx="5">
                  <c:v>1160</c:v>
                </c:pt>
                <c:pt idx="6">
                  <c:v>1360</c:v>
                </c:pt>
                <c:pt idx="7">
                  <c:v>1399</c:v>
                </c:pt>
                <c:pt idx="8">
                  <c:v>1416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055632"/>
        <c:axId val="1628056176"/>
      </c:scatterChart>
      <c:valAx>
        <c:axId val="1628055632"/>
        <c:scaling>
          <c:orientation val="minMax"/>
          <c:min val="7.1000000000000008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minsup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8056176"/>
        <c:crosses val="autoZero"/>
        <c:crossBetween val="midCat"/>
      </c:valAx>
      <c:valAx>
        <c:axId val="16280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(seconds)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805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minsup_nuovo!$B$30:$B$37</c:f>
              <c:numCache>
                <c:formatCode>General</c:formatCode>
                <c:ptCount val="8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xVal>
          <c:yVal>
            <c:numRef>
              <c:f>minsup_nuovo!$D$30:$D$37</c:f>
              <c:numCache>
                <c:formatCode>General</c:formatCode>
                <c:ptCount val="8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3734</c:v>
                </c:pt>
                <c:pt idx="7">
                  <c:v>6918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minsup_nuovo!$B$30:$B$37</c:f>
              <c:numCache>
                <c:formatCode>General</c:formatCode>
                <c:ptCount val="8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xVal>
          <c:yVal>
            <c:numRef>
              <c:f>minsup_nuovo!$E$30:$E$37</c:f>
              <c:numCache>
                <c:formatCode>General</c:formatCode>
                <c:ptCount val="8"/>
                <c:pt idx="0">
                  <c:v>179</c:v>
                </c:pt>
                <c:pt idx="1">
                  <c:v>179</c:v>
                </c:pt>
                <c:pt idx="2">
                  <c:v>218</c:v>
                </c:pt>
                <c:pt idx="3">
                  <c:v>248</c:v>
                </c:pt>
                <c:pt idx="4">
                  <c:v>460</c:v>
                </c:pt>
                <c:pt idx="5">
                  <c:v>614</c:v>
                </c:pt>
                <c:pt idx="6">
                  <c:v>1860</c:v>
                </c:pt>
                <c:pt idx="7">
                  <c:v>1975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diamond"/>
            <c:size val="9"/>
            <c:spPr>
              <a:solidFill>
                <a:srgbClr val="FFFF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minsup_nuovo!$B$30:$B$37</c:f>
              <c:numCache>
                <c:formatCode>General</c:formatCode>
                <c:ptCount val="8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xVal>
          <c:yVal>
            <c:numRef>
              <c:f>minsup_nuovo!$F$30:$F$37</c:f>
              <c:numCache>
                <c:formatCode>General</c:formatCode>
                <c:ptCount val="8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881</c:v>
                </c:pt>
                <c:pt idx="7">
                  <c:v>930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minsup_nuovo!$B$30:$B$37</c:f>
              <c:numCache>
                <c:formatCode>General</c:formatCode>
                <c:ptCount val="8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xVal>
          <c:yVal>
            <c:numRef>
              <c:f>minsup_nuovo!$C$30:$C$37</c:f>
              <c:numCache>
                <c:formatCode>General</c:formatCode>
                <c:ptCount val="8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697984"/>
        <c:axId val="1470697440"/>
      </c:scatterChart>
      <c:valAx>
        <c:axId val="1470697984"/>
        <c:scaling>
          <c:orientation val="minMax"/>
          <c:max val="0.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0697440"/>
        <c:crosses val="autoZero"/>
        <c:crossBetween val="midCat"/>
      </c:valAx>
      <c:valAx>
        <c:axId val="147069744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069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dataset_size!$B$11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prstDash val="dash"/>
                <a:round/>
              </a:ln>
              <a:effectLst/>
            </c:spPr>
          </c:dPt>
          <c:xVal>
            <c:numRef>
              <c:f>dataset_size!$A$12:$A$16</c:f>
              <c:numCache>
                <c:formatCode>General</c:formatCode>
                <c:ptCount val="5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dataset_size!$B$12:$B$16</c:f>
              <c:numCache>
                <c:formatCode>General</c:formatCode>
                <c:ptCount val="5"/>
                <c:pt idx="0">
                  <c:v>990</c:v>
                </c:pt>
                <c:pt idx="1">
                  <c:v>1593</c:v>
                </c:pt>
                <c:pt idx="2">
                  <c:v>2340</c:v>
                </c:pt>
                <c:pt idx="3">
                  <c:v>8850</c:v>
                </c:pt>
                <c:pt idx="4">
                  <c:v>22863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dataset_size!$C$11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dataset_size!$A$12:$A$16</c:f>
              <c:numCache>
                <c:formatCode>General</c:formatCode>
                <c:ptCount val="5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dataset_size!$C$12:$C$16</c:f>
              <c:numCache>
                <c:formatCode>General</c:formatCode>
                <c:ptCount val="5"/>
                <c:pt idx="0">
                  <c:v>586</c:v>
                </c:pt>
                <c:pt idx="1">
                  <c:v>1020</c:v>
                </c:pt>
                <c:pt idx="2">
                  <c:v>2171</c:v>
                </c:pt>
                <c:pt idx="3">
                  <c:v>4080</c:v>
                </c:pt>
                <c:pt idx="4">
                  <c:v>8220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dataset_size!$D$11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dataset_size!$A$12:$A$16</c:f>
              <c:numCache>
                <c:formatCode>General</c:formatCode>
                <c:ptCount val="5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dataset_size!$D$12:$D$16</c:f>
              <c:numCache>
                <c:formatCode>General</c:formatCode>
                <c:ptCount val="5"/>
                <c:pt idx="0">
                  <c:v>805</c:v>
                </c:pt>
                <c:pt idx="1">
                  <c:v>1140</c:v>
                </c:pt>
                <c:pt idx="2">
                  <c:v>2460</c:v>
                </c:pt>
                <c:pt idx="3">
                  <c:v>4242</c:v>
                </c:pt>
                <c:pt idx="4">
                  <c:v>8372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074672"/>
        <c:axId val="1628064336"/>
      </c:scatterChart>
      <c:valAx>
        <c:axId val="162807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transactions (*100.000.000)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8064336"/>
        <c:crosses val="autoZero"/>
        <c:crossBetween val="midCat"/>
      </c:valAx>
      <c:valAx>
        <c:axId val="1628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baseline="0">
                    <a:effectLst/>
                  </a:rPr>
                  <a:t>Execution time </a:t>
                </a:r>
                <a:r>
                  <a:rPr lang="it-IT" sz="1000"/>
                  <a:t>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807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secondo me da eliminare</a:t>
            </a:r>
          </a:p>
          <a:p>
            <a:pPr>
              <a:defRPr/>
            </a:pPr>
            <a:r>
              <a:rPr lang="it-IT"/>
              <a:t>due valori che cambiano</a:t>
            </a:r>
          </a:p>
          <a:p>
            <a:pPr>
              <a:defRPr/>
            </a:pPr>
            <a:r>
              <a:rPr lang="it-IT"/>
              <a:t>nelle ascisse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5870516185477"/>
          <c:y val="0.16708333333333336"/>
          <c:w val="0.8521968503937007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'attributes_100M trans.'!$C$6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'attributes_100M trans.'!$A$7:$A$10</c:f>
              <c:strCache>
                <c:ptCount val="4"/>
                <c:pt idx="0">
                  <c:v>t10p8</c:v>
                </c:pt>
                <c:pt idx="1">
                  <c:v>t15 p12</c:v>
                </c:pt>
                <c:pt idx="2">
                  <c:v>t20 p15</c:v>
                </c:pt>
                <c:pt idx="3">
                  <c:v>t25 p20</c:v>
                </c:pt>
              </c:strCache>
            </c:strRef>
          </c:cat>
          <c:val>
            <c:numRef>
              <c:f>'attributes_100M trans.'!$C$7:$C$11</c:f>
              <c:numCache>
                <c:formatCode>General</c:formatCode>
                <c:ptCount val="5"/>
                <c:pt idx="0">
                  <c:v>586</c:v>
                </c:pt>
                <c:pt idx="1">
                  <c:v>1163</c:v>
                </c:pt>
                <c:pt idx="2">
                  <c:v>149235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'attributes_100M trans.'!$D$6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'attributes_100M trans.'!$A$7:$A$10</c:f>
              <c:strCache>
                <c:ptCount val="4"/>
                <c:pt idx="0">
                  <c:v>t10p8</c:v>
                </c:pt>
                <c:pt idx="1">
                  <c:v>t15 p12</c:v>
                </c:pt>
                <c:pt idx="2">
                  <c:v>t20 p15</c:v>
                </c:pt>
                <c:pt idx="3">
                  <c:v>t25 p20</c:v>
                </c:pt>
              </c:strCache>
            </c:strRef>
          </c:cat>
          <c:val>
            <c:numRef>
              <c:f>'attributes_100M trans.'!$D$7:$D$10</c:f>
              <c:numCache>
                <c:formatCode>General</c:formatCode>
                <c:ptCount val="4"/>
                <c:pt idx="0">
                  <c:v>805</c:v>
                </c:pt>
                <c:pt idx="1">
                  <c:v>2059</c:v>
                </c:pt>
                <c:pt idx="2">
                  <c:v>8460</c:v>
                </c:pt>
                <c:pt idx="3">
                  <c:v>36347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'attributes_100M trans.'!$B$6</c:f>
              <c:strCache>
                <c:ptCount val="1"/>
                <c:pt idx="0">
                  <c:v>bigfim p=2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'attributes_100M trans.'!$A$7:$A$10</c:f>
              <c:strCache>
                <c:ptCount val="4"/>
                <c:pt idx="0">
                  <c:v>t10p8</c:v>
                </c:pt>
                <c:pt idx="1">
                  <c:v>t15 p12</c:v>
                </c:pt>
                <c:pt idx="2">
                  <c:v>t20 p15</c:v>
                </c:pt>
                <c:pt idx="3">
                  <c:v>t25 p20</c:v>
                </c:pt>
              </c:strCache>
            </c:strRef>
          </c:cat>
          <c:val>
            <c:numRef>
              <c:f>'attributes_100M trans.'!$B$7:$B$10</c:f>
              <c:numCache>
                <c:formatCode>General</c:formatCode>
                <c:ptCount val="4"/>
                <c:pt idx="0">
                  <c:v>683</c:v>
                </c:pt>
                <c:pt idx="1">
                  <c:v>1953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'attributes_100M trans.'!#REF!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'attributes_100M trans.'!$A$7:$A$10</c:f>
              <c:strCache>
                <c:ptCount val="4"/>
                <c:pt idx="0">
                  <c:v>t10p8</c:v>
                </c:pt>
                <c:pt idx="1">
                  <c:v>t15 p12</c:v>
                </c:pt>
                <c:pt idx="2">
                  <c:v>t20 p15</c:v>
                </c:pt>
                <c:pt idx="3">
                  <c:v>t25 p20</c:v>
                </c:pt>
              </c:strCache>
            </c:strRef>
          </c:cat>
          <c:val>
            <c:numRef>
              <c:f>'attributes_100M trans.'!#REF!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8067600"/>
        <c:axId val="1628070864"/>
      </c:lineChart>
      <c:catAx>
        <c:axId val="162806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8070864"/>
        <c:crosses val="autoZero"/>
        <c:auto val="1"/>
        <c:lblAlgn val="ctr"/>
        <c:lblOffset val="100"/>
        <c:noMultiLvlLbl val="0"/>
      </c:catAx>
      <c:valAx>
        <c:axId val="16280708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80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delicious_old!$C$4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delicious_old!$B$5:$B$10</c:f>
              <c:numCache>
                <c:formatCode>General</c:formatCode>
                <c:ptCount val="6"/>
                <c:pt idx="0">
                  <c:v>1500</c:v>
                </c:pt>
                <c:pt idx="1">
                  <c:v>1200</c:v>
                </c:pt>
                <c:pt idx="2">
                  <c:v>900</c:v>
                </c:pt>
                <c:pt idx="3">
                  <c:v>600</c:v>
                </c:pt>
                <c:pt idx="4">
                  <c:v>300</c:v>
                </c:pt>
                <c:pt idx="5">
                  <c:v>150</c:v>
                </c:pt>
              </c:numCache>
            </c:numRef>
          </c:xVal>
          <c:yVal>
            <c:numRef>
              <c:f>delicious_old!$C$5:$C$10</c:f>
              <c:numCache>
                <c:formatCode>General</c:formatCode>
                <c:ptCount val="6"/>
                <c:pt idx="0">
                  <c:v>230</c:v>
                </c:pt>
                <c:pt idx="1">
                  <c:v>227</c:v>
                </c:pt>
                <c:pt idx="2">
                  <c:v>268</c:v>
                </c:pt>
                <c:pt idx="3">
                  <c:v>300</c:v>
                </c:pt>
                <c:pt idx="4">
                  <c:v>501</c:v>
                </c:pt>
                <c:pt idx="5">
                  <c:v>1461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delicious_old!$D$4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delicious_old!$B$5:$B$10</c:f>
              <c:numCache>
                <c:formatCode>General</c:formatCode>
                <c:ptCount val="6"/>
                <c:pt idx="0">
                  <c:v>1500</c:v>
                </c:pt>
                <c:pt idx="1">
                  <c:v>1200</c:v>
                </c:pt>
                <c:pt idx="2">
                  <c:v>900</c:v>
                </c:pt>
                <c:pt idx="3">
                  <c:v>600</c:v>
                </c:pt>
                <c:pt idx="4">
                  <c:v>300</c:v>
                </c:pt>
                <c:pt idx="5">
                  <c:v>150</c:v>
                </c:pt>
              </c:numCache>
            </c:numRef>
          </c:xVal>
          <c:yVal>
            <c:numRef>
              <c:f>delicious_old!$D$5:$D$10</c:f>
              <c:numCache>
                <c:formatCode>General</c:formatCode>
                <c:ptCount val="6"/>
                <c:pt idx="0">
                  <c:v>154</c:v>
                </c:pt>
                <c:pt idx="1">
                  <c:v>157</c:v>
                </c:pt>
                <c:pt idx="2">
                  <c:v>161</c:v>
                </c:pt>
                <c:pt idx="3">
                  <c:v>237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delicious_old!$E$4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delicious_old!$B$5:$B$10</c:f>
              <c:numCache>
                <c:formatCode>General</c:formatCode>
                <c:ptCount val="6"/>
                <c:pt idx="0">
                  <c:v>1500</c:v>
                </c:pt>
                <c:pt idx="1">
                  <c:v>1200</c:v>
                </c:pt>
                <c:pt idx="2">
                  <c:v>900</c:v>
                </c:pt>
                <c:pt idx="3">
                  <c:v>600</c:v>
                </c:pt>
                <c:pt idx="4">
                  <c:v>300</c:v>
                </c:pt>
                <c:pt idx="5">
                  <c:v>150</c:v>
                </c:pt>
              </c:numCache>
            </c:numRef>
          </c:xVal>
          <c:yVal>
            <c:numRef>
              <c:f>delicious_old!$E$5:$E$10</c:f>
              <c:numCache>
                <c:formatCode>General</c:formatCode>
                <c:ptCount val="6"/>
                <c:pt idx="0">
                  <c:v>134</c:v>
                </c:pt>
                <c:pt idx="1">
                  <c:v>134</c:v>
                </c:pt>
                <c:pt idx="2">
                  <c:v>135</c:v>
                </c:pt>
                <c:pt idx="3">
                  <c:v>145</c:v>
                </c:pt>
                <c:pt idx="4">
                  <c:v>167</c:v>
                </c:pt>
                <c:pt idx="5">
                  <c:v>214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delicious_old!$F$4</c:f>
              <c:strCache>
                <c:ptCount val="1"/>
                <c:pt idx="0">
                  <c:v>spark pfp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delicious_old!$B$5:$B$10</c:f>
              <c:numCache>
                <c:formatCode>General</c:formatCode>
                <c:ptCount val="6"/>
                <c:pt idx="0">
                  <c:v>1500</c:v>
                </c:pt>
                <c:pt idx="1">
                  <c:v>1200</c:v>
                </c:pt>
                <c:pt idx="2">
                  <c:v>900</c:v>
                </c:pt>
                <c:pt idx="3">
                  <c:v>600</c:v>
                </c:pt>
                <c:pt idx="4">
                  <c:v>300</c:v>
                </c:pt>
                <c:pt idx="5">
                  <c:v>150</c:v>
                </c:pt>
              </c:numCache>
            </c:numRef>
          </c:xVal>
          <c:yVal>
            <c:numRef>
              <c:f>delicious_old!$F$5:$F$10</c:f>
              <c:numCache>
                <c:formatCode>General</c:formatCode>
                <c:ptCount val="6"/>
                <c:pt idx="0">
                  <c:v>100</c:v>
                </c:pt>
                <c:pt idx="1">
                  <c:v>112</c:v>
                </c:pt>
                <c:pt idx="2">
                  <c:v>118</c:v>
                </c:pt>
                <c:pt idx="3">
                  <c:v>139</c:v>
                </c:pt>
                <c:pt idx="4">
                  <c:v>156</c:v>
                </c:pt>
                <c:pt idx="5">
                  <c:v>177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057264"/>
        <c:axId val="1628057808"/>
      </c:scatterChart>
      <c:valAx>
        <c:axId val="162805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8057808"/>
        <c:crosses val="autoZero"/>
        <c:crossBetween val="midCat"/>
      </c:valAx>
      <c:valAx>
        <c:axId val="16280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805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minsup_small_old!$B$4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minsup_small_old!$A$5:$A$11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minsup_small_old!$B$5:$B$11</c:f>
              <c:numCache>
                <c:formatCode>General</c:formatCode>
                <c:ptCount val="7"/>
                <c:pt idx="0">
                  <c:v>267</c:v>
                </c:pt>
                <c:pt idx="1">
                  <c:v>313</c:v>
                </c:pt>
                <c:pt idx="2">
                  <c:v>385</c:v>
                </c:pt>
                <c:pt idx="3">
                  <c:v>413</c:v>
                </c:pt>
                <c:pt idx="4">
                  <c:v>454</c:v>
                </c:pt>
                <c:pt idx="5">
                  <c:v>542</c:v>
                </c:pt>
                <c:pt idx="6">
                  <c:v>653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minsup_small_old!$C$4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minsup_small_old!$A$5:$A$11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minsup_small_old!$C$5:$C$11</c:f>
              <c:numCache>
                <c:formatCode>General</c:formatCode>
                <c:ptCount val="7"/>
                <c:pt idx="0">
                  <c:v>275</c:v>
                </c:pt>
                <c:pt idx="1">
                  <c:v>312</c:v>
                </c:pt>
                <c:pt idx="2">
                  <c:v>420</c:v>
                </c:pt>
                <c:pt idx="3">
                  <c:v>480</c:v>
                </c:pt>
                <c:pt idx="4">
                  <c:v>523</c:v>
                </c:pt>
                <c:pt idx="5">
                  <c:v>611</c:v>
                </c:pt>
                <c:pt idx="6">
                  <c:v>752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minsup_small_old!$D$4</c:f>
              <c:strCache>
                <c:ptCount val="1"/>
                <c:pt idx="0">
                  <c:v>spark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minsup_small_old!$A$5:$A$11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minsup_small_old!$D$5:$D$11</c:f>
              <c:numCache>
                <c:formatCode>General</c:formatCode>
                <c:ptCount val="7"/>
                <c:pt idx="0">
                  <c:v>346</c:v>
                </c:pt>
                <c:pt idx="1">
                  <c:v>917</c:v>
                </c:pt>
                <c:pt idx="2">
                  <c:v>2049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058896"/>
        <c:axId val="1628073584"/>
      </c:scatterChart>
      <c:valAx>
        <c:axId val="162805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8073584"/>
        <c:crosses val="autoZero"/>
        <c:crossBetween val="midCat"/>
      </c:valAx>
      <c:valAx>
        <c:axId val="162807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805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minsup_small_old!$B$21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minsup_small_old!$A$22:$A$28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minsup_small_old!$B$22:$B$28</c:f>
              <c:numCache>
                <c:formatCode>General</c:formatCode>
                <c:ptCount val="7"/>
                <c:pt idx="0">
                  <c:v>407</c:v>
                </c:pt>
                <c:pt idx="1">
                  <c:v>534</c:v>
                </c:pt>
                <c:pt idx="2">
                  <c:v>821</c:v>
                </c:pt>
                <c:pt idx="3">
                  <c:v>868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minsup_small_old!$C$21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minsup_small_old!$A$22:$A$28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minsup_small_old!$C$22:$C$28</c:f>
              <c:numCache>
                <c:formatCode>General</c:formatCode>
                <c:ptCount val="7"/>
                <c:pt idx="0">
                  <c:v>439</c:v>
                </c:pt>
                <c:pt idx="1">
                  <c:v>613</c:v>
                </c:pt>
                <c:pt idx="2">
                  <c:v>910</c:v>
                </c:pt>
                <c:pt idx="3">
                  <c:v>1113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minsup_small_old!$D$21</c:f>
              <c:strCache>
                <c:ptCount val="1"/>
                <c:pt idx="0">
                  <c:v>spark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minsup_small_old!$A$22:$A$28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minsup_small_old!$D$22:$D$28</c:f>
              <c:numCache>
                <c:formatCode>General</c:formatCode>
                <c:ptCount val="7"/>
                <c:pt idx="0">
                  <c:v>2459</c:v>
                </c:pt>
                <c:pt idx="1">
                  <c:v>5820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068688"/>
        <c:axId val="1628071952"/>
      </c:scatterChart>
      <c:valAx>
        <c:axId val="162806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8071952"/>
        <c:crosses val="autoZero"/>
        <c:crossBetween val="midCat"/>
      </c:valAx>
      <c:valAx>
        <c:axId val="16280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806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minsup_small_old!$B$34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minsup_small_old!$A$35:$A$41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60000</c:v>
                </c:pt>
                <c:pt idx="3">
                  <c:v>55000</c:v>
                </c:pt>
                <c:pt idx="4">
                  <c:v>50000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minsup_small_old!$B$35:$B$41</c:f>
              <c:numCache>
                <c:formatCode>General</c:formatCode>
                <c:ptCount val="7"/>
                <c:pt idx="0">
                  <c:v>702</c:v>
                </c:pt>
                <c:pt idx="1">
                  <c:v>1081</c:v>
                </c:pt>
                <c:pt idx="2">
                  <c:v>1393</c:v>
                </c:pt>
                <c:pt idx="3">
                  <c:v>1450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minsup_small_old!$C$34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minsup_small_old!$A$35:$A$41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60000</c:v>
                </c:pt>
                <c:pt idx="3">
                  <c:v>55000</c:v>
                </c:pt>
                <c:pt idx="4">
                  <c:v>50000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minsup_small_old!$C$35:$C$41</c:f>
              <c:numCache>
                <c:formatCode>General</c:formatCode>
                <c:ptCount val="7"/>
                <c:pt idx="0">
                  <c:v>844</c:v>
                </c:pt>
                <c:pt idx="1">
                  <c:v>1427</c:v>
                </c:pt>
                <c:pt idx="2">
                  <c:v>1860</c:v>
                </c:pt>
                <c:pt idx="3">
                  <c:v>2040</c:v>
                </c:pt>
                <c:pt idx="4">
                  <c:v>2123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069776"/>
        <c:axId val="1628061616"/>
      </c:scatterChart>
      <c:valAx>
        <c:axId val="162806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8061616"/>
        <c:crosses val="autoZero"/>
        <c:crossBetween val="midCat"/>
      </c:valAx>
      <c:valAx>
        <c:axId val="16280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806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minsup_small_old!$B$45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minsup_small_old!$A$46:$A$48</c:f>
              <c:numCache>
                <c:formatCode>General</c:formatCode>
                <c:ptCount val="3"/>
                <c:pt idx="0">
                  <c:v>100000</c:v>
                </c:pt>
                <c:pt idx="1">
                  <c:v>75000</c:v>
                </c:pt>
                <c:pt idx="2">
                  <c:v>60000</c:v>
                </c:pt>
              </c:numCache>
            </c:numRef>
          </c:xVal>
          <c:yVal>
            <c:numRef>
              <c:f>minsup_small_old!$B$46:$B$48</c:f>
              <c:numCache>
                <c:formatCode>General</c:formatCode>
                <c:ptCount val="3"/>
                <c:pt idx="0">
                  <c:v>1239</c:v>
                </c:pt>
                <c:pt idx="1">
                  <c:v>1620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minsup_small_old!$C$45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minsup_small_old!$A$46:$A$48</c:f>
              <c:numCache>
                <c:formatCode>General</c:formatCode>
                <c:ptCount val="3"/>
                <c:pt idx="0">
                  <c:v>100000</c:v>
                </c:pt>
                <c:pt idx="1">
                  <c:v>75000</c:v>
                </c:pt>
                <c:pt idx="2">
                  <c:v>60000</c:v>
                </c:pt>
              </c:numCache>
            </c:numRef>
          </c:xVal>
          <c:yVal>
            <c:numRef>
              <c:f>minsup_small_old!$C$46:$C$48</c:f>
              <c:numCache>
                <c:formatCode>General</c:formatCode>
                <c:ptCount val="3"/>
                <c:pt idx="0">
                  <c:v>1564</c:v>
                </c:pt>
                <c:pt idx="1">
                  <c:v>2520</c:v>
                </c:pt>
                <c:pt idx="2">
                  <c:v>4897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077392"/>
        <c:axId val="1628078480"/>
      </c:scatterChart>
      <c:valAx>
        <c:axId val="162807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8078480"/>
        <c:crosses val="autoZero"/>
        <c:crossBetween val="midCat"/>
      </c:valAx>
      <c:valAx>
        <c:axId val="16280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807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minsup_nuovo!$D$73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minsup_nuovo!$B$74:$B$82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0.44999999999999996</c:v>
                </c:pt>
                <c:pt idx="4">
                  <c:v>0.4</c:v>
                </c:pt>
                <c:pt idx="5">
                  <c:v>0.35000000000000003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xVal>
          <c:yVal>
            <c:numRef>
              <c:f>minsup_nuovo!$D$74:$D$82</c:f>
              <c:numCache>
                <c:formatCode>General</c:formatCode>
                <c:ptCount val="9"/>
                <c:pt idx="0">
                  <c:v>213</c:v>
                </c:pt>
                <c:pt idx="1">
                  <c:v>238</c:v>
                </c:pt>
                <c:pt idx="2">
                  <c:v>288</c:v>
                </c:pt>
                <c:pt idx="3">
                  <c:v>317</c:v>
                </c:pt>
                <c:pt idx="4">
                  <c:v>354</c:v>
                </c:pt>
                <c:pt idx="5">
                  <c:v>436</c:v>
                </c:pt>
                <c:pt idx="6">
                  <c:v>525</c:v>
                </c:pt>
                <c:pt idx="7">
                  <c:v>809</c:v>
                </c:pt>
                <c:pt idx="8">
                  <c:v>1711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minsup_nuovo!$E$73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minsup_nuovo!$B$74:$B$82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0.44999999999999996</c:v>
                </c:pt>
                <c:pt idx="4">
                  <c:v>0.4</c:v>
                </c:pt>
                <c:pt idx="5">
                  <c:v>0.35000000000000003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xVal>
          <c:yVal>
            <c:numRef>
              <c:f>minsup_nuovo!$E$74:$E$82</c:f>
              <c:numCache>
                <c:formatCode>General</c:formatCode>
                <c:ptCount val="9"/>
                <c:pt idx="0">
                  <c:v>198</c:v>
                </c:pt>
                <c:pt idx="1">
                  <c:v>344</c:v>
                </c:pt>
                <c:pt idx="2">
                  <c:v>939</c:v>
                </c:pt>
                <c:pt idx="3">
                  <c:v>1260</c:v>
                </c:pt>
                <c:pt idx="4">
                  <c:v>1620</c:v>
                </c:pt>
                <c:pt idx="5">
                  <c:v>2466</c:v>
                </c:pt>
                <c:pt idx="6">
                  <c:v>3720</c:v>
                </c:pt>
                <c:pt idx="7">
                  <c:v>5460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minsup_nuovo!$C$73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minsup_nuovo!$B$74:$B$82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0.44999999999999996</c:v>
                </c:pt>
                <c:pt idx="4">
                  <c:v>0.4</c:v>
                </c:pt>
                <c:pt idx="5">
                  <c:v>0.35000000000000003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xVal>
          <c:yVal>
            <c:numRef>
              <c:f>minsup_nuovo!$C$74:$C$82</c:f>
              <c:numCache>
                <c:formatCode>General</c:formatCode>
                <c:ptCount val="9"/>
                <c:pt idx="0">
                  <c:v>228</c:v>
                </c:pt>
                <c:pt idx="1">
                  <c:v>241</c:v>
                </c:pt>
                <c:pt idx="2">
                  <c:v>276</c:v>
                </c:pt>
                <c:pt idx="3">
                  <c:v>301</c:v>
                </c:pt>
                <c:pt idx="4">
                  <c:v>359</c:v>
                </c:pt>
                <c:pt idx="5">
                  <c:v>376</c:v>
                </c:pt>
                <c:pt idx="6">
                  <c:v>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686560"/>
        <c:axId val="1470688736"/>
      </c:scatterChart>
      <c:valAx>
        <c:axId val="1470686560"/>
        <c:scaling>
          <c:orientation val="minMax"/>
          <c:max val="1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0688736"/>
        <c:crosses val="autoZero"/>
        <c:crossBetween val="midCat"/>
      </c:valAx>
      <c:valAx>
        <c:axId val="1470688736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068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minsup_nuovo!$D$30:$D$38</c:f>
              <c:numCache>
                <c:formatCode>General</c:formatCode>
                <c:ptCount val="9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3734</c:v>
                </c:pt>
                <c:pt idx="7">
                  <c:v>6918</c:v>
                </c:pt>
                <c:pt idx="8">
                  <c:v>25140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minsup_nuovo!$E$30:$E$38</c:f>
              <c:numCache>
                <c:formatCode>General</c:formatCode>
                <c:ptCount val="9"/>
                <c:pt idx="0">
                  <c:v>179</c:v>
                </c:pt>
                <c:pt idx="1">
                  <c:v>179</c:v>
                </c:pt>
                <c:pt idx="2">
                  <c:v>218</c:v>
                </c:pt>
                <c:pt idx="3">
                  <c:v>248</c:v>
                </c:pt>
                <c:pt idx="4">
                  <c:v>460</c:v>
                </c:pt>
                <c:pt idx="5">
                  <c:v>614</c:v>
                </c:pt>
                <c:pt idx="6">
                  <c:v>1860</c:v>
                </c:pt>
                <c:pt idx="7">
                  <c:v>1975</c:v>
                </c:pt>
                <c:pt idx="8">
                  <c:v>2840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minsup_nuovo!$F$30:$F$38</c:f>
              <c:numCache>
                <c:formatCode>General</c:formatCode>
                <c:ptCount val="9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881</c:v>
                </c:pt>
                <c:pt idx="7">
                  <c:v>930</c:v>
                </c:pt>
                <c:pt idx="8">
                  <c:v>973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minsup_nuovo!$C$30:$C$38</c:f>
              <c:numCache>
                <c:formatCode>General</c:formatCode>
                <c:ptCount val="9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689280"/>
        <c:axId val="1470689824"/>
      </c:scatterChart>
      <c:valAx>
        <c:axId val="1470689280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0689824"/>
        <c:crosses val="autoZero"/>
        <c:crossBetween val="midCat"/>
      </c:valAx>
      <c:valAx>
        <c:axId val="147068982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068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communication_cost!$A$1:$A$4</c:f>
              <c:strCache>
                <c:ptCount val="4"/>
                <c:pt idx="0">
                  <c:v>BigFIM</c:v>
                </c:pt>
                <c:pt idx="1">
                  <c:v>DistEclat</c:v>
                </c:pt>
                <c:pt idx="2">
                  <c:v>Mahout PFP</c:v>
                </c:pt>
                <c:pt idx="3">
                  <c:v>MLlib PFP</c:v>
                </c:pt>
              </c:strCache>
            </c:strRef>
          </c:cat>
          <c:val>
            <c:numRef>
              <c:f>communication_cost!$B$1:$B$4</c:f>
              <c:numCache>
                <c:formatCode>General</c:formatCode>
                <c:ptCount val="4"/>
                <c:pt idx="0">
                  <c:v>2554.068304675</c:v>
                </c:pt>
                <c:pt idx="1">
                  <c:v>2221.1319999999996</c:v>
                </c:pt>
                <c:pt idx="2">
                  <c:v>564.28700000000003</c:v>
                </c:pt>
                <c:pt idx="3">
                  <c:v>2116.096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696896"/>
        <c:axId val="1470691456"/>
      </c:barChart>
      <c:catAx>
        <c:axId val="147069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0691456"/>
        <c:crosses val="autoZero"/>
        <c:auto val="1"/>
        <c:lblAlgn val="ctr"/>
        <c:lblOffset val="100"/>
        <c:noMultiLvlLbl val="0"/>
      </c:catAx>
      <c:valAx>
        <c:axId val="14706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MBytes across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the network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069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4" Type="http://schemas.openxmlformats.org/officeDocument/2006/relationships/chart" Target="../charts/chart4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4" Type="http://schemas.openxmlformats.org/officeDocument/2006/relationships/image" Target="../media/image5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7.xml"/><Relationship Id="rId3" Type="http://schemas.openxmlformats.org/officeDocument/2006/relationships/chart" Target="../charts/chart52.xml"/><Relationship Id="rId7" Type="http://schemas.openxmlformats.org/officeDocument/2006/relationships/chart" Target="../charts/chart56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4" Type="http://schemas.openxmlformats.org/officeDocument/2006/relationships/chart" Target="../charts/chart6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4" Type="http://schemas.openxmlformats.org/officeDocument/2006/relationships/chart" Target="../charts/chart3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159683</xdr:colOff>
      <xdr:row>16</xdr:row>
      <xdr:rowOff>142875</xdr:rowOff>
    </xdr:from>
    <xdr:to>
      <xdr:col>36</xdr:col>
      <xdr:colOff>97491</xdr:colOff>
      <xdr:row>36</xdr:row>
      <xdr:rowOff>39501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21</xdr:col>
      <xdr:colOff>542925</xdr:colOff>
      <xdr:row>58</xdr:row>
      <xdr:rowOff>71437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78441</xdr:colOff>
      <xdr:row>63</xdr:row>
      <xdr:rowOff>44824</xdr:rowOff>
    </xdr:from>
    <xdr:to>
      <xdr:col>17</xdr:col>
      <xdr:colOff>32382</xdr:colOff>
      <xdr:row>81</xdr:row>
      <xdr:rowOff>81353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17</xdr:col>
      <xdr:colOff>559059</xdr:colOff>
      <xdr:row>36</xdr:row>
      <xdr:rowOff>148589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302559</xdr:colOff>
      <xdr:row>17</xdr:row>
      <xdr:rowOff>100853</xdr:rowOff>
    </xdr:from>
    <xdr:to>
      <xdr:col>27</xdr:col>
      <xdr:colOff>270218</xdr:colOff>
      <xdr:row>35</xdr:row>
      <xdr:rowOff>68087</xdr:rowOff>
    </xdr:to>
    <xdr:pic>
      <xdr:nvPicPr>
        <xdr:cNvPr id="10" name="Immagine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94677" y="3462618"/>
          <a:ext cx="5413717" cy="360914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68</xdr:row>
      <xdr:rowOff>0</xdr:rowOff>
    </xdr:from>
    <xdr:to>
      <xdr:col>27</xdr:col>
      <xdr:colOff>572776</xdr:colOff>
      <xdr:row>85</xdr:row>
      <xdr:rowOff>146527</xdr:rowOff>
    </xdr:to>
    <xdr:pic>
      <xdr:nvPicPr>
        <xdr:cNvPr id="12" name="Immagin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497235" y="13323794"/>
          <a:ext cx="5413717" cy="360914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</xdr:row>
      <xdr:rowOff>138111</xdr:rowOff>
    </xdr:from>
    <xdr:to>
      <xdr:col>16</xdr:col>
      <xdr:colOff>285750</xdr:colOff>
      <xdr:row>16</xdr:row>
      <xdr:rowOff>38099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200025</xdr:colOff>
      <xdr:row>16</xdr:row>
      <xdr:rowOff>200024</xdr:rowOff>
    </xdr:from>
    <xdr:to>
      <xdr:col>17</xdr:col>
      <xdr:colOff>600075</xdr:colOff>
      <xdr:row>31</xdr:row>
      <xdr:rowOff>119062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209550</xdr:colOff>
      <xdr:row>32</xdr:row>
      <xdr:rowOff>0</xdr:rowOff>
    </xdr:from>
    <xdr:to>
      <xdr:col>18</xdr:col>
      <xdr:colOff>0</xdr:colOff>
      <xdr:row>48</xdr:row>
      <xdr:rowOff>176213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27</xdr:col>
      <xdr:colOff>400050</xdr:colOff>
      <xdr:row>51</xdr:row>
      <xdr:rowOff>176213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571499</xdr:colOff>
      <xdr:row>5</xdr:row>
      <xdr:rowOff>33336</xdr:rowOff>
    </xdr:from>
    <xdr:to>
      <xdr:col>19</xdr:col>
      <xdr:colOff>504824</xdr:colOff>
      <xdr:row>26</xdr:row>
      <xdr:rowOff>66674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23811</xdr:colOff>
      <xdr:row>32</xdr:row>
      <xdr:rowOff>42862</xdr:rowOff>
    </xdr:from>
    <xdr:to>
      <xdr:col>18</xdr:col>
      <xdr:colOff>547011</xdr:colOff>
      <xdr:row>43</xdr:row>
      <xdr:rowOff>166237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0</xdr:colOff>
      <xdr:row>36</xdr:row>
      <xdr:rowOff>0</xdr:rowOff>
    </xdr:from>
    <xdr:to>
      <xdr:col>28</xdr:col>
      <xdr:colOff>536917</xdr:colOff>
      <xdr:row>48</xdr:row>
      <xdr:rowOff>94420</xdr:rowOff>
    </xdr:to>
    <xdr:pic>
      <xdr:nvPicPr>
        <xdr:cNvPr id="4" name="Immagin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92025" y="7743825"/>
          <a:ext cx="5413717" cy="360914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571499</xdr:colOff>
      <xdr:row>5</xdr:row>
      <xdr:rowOff>33336</xdr:rowOff>
    </xdr:from>
    <xdr:to>
      <xdr:col>19</xdr:col>
      <xdr:colOff>504824</xdr:colOff>
      <xdr:row>26</xdr:row>
      <xdr:rowOff>66674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23811</xdr:colOff>
      <xdr:row>32</xdr:row>
      <xdr:rowOff>42862</xdr:rowOff>
    </xdr:from>
    <xdr:to>
      <xdr:col>23</xdr:col>
      <xdr:colOff>180974</xdr:colOff>
      <xdr:row>46</xdr:row>
      <xdr:rowOff>57150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12</xdr:row>
      <xdr:rowOff>0</xdr:rowOff>
    </xdr:from>
    <xdr:to>
      <xdr:col>21</xdr:col>
      <xdr:colOff>304800</xdr:colOff>
      <xdr:row>29</xdr:row>
      <xdr:rowOff>9525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20</xdr:col>
      <xdr:colOff>523200</xdr:colOff>
      <xdr:row>48</xdr:row>
      <xdr:rowOff>104325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10</xdr:row>
      <xdr:rowOff>0</xdr:rowOff>
    </xdr:from>
    <xdr:to>
      <xdr:col>21</xdr:col>
      <xdr:colOff>304800</xdr:colOff>
      <xdr:row>26</xdr:row>
      <xdr:rowOff>66675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0</xdr:colOff>
      <xdr:row>52</xdr:row>
      <xdr:rowOff>0</xdr:rowOff>
    </xdr:from>
    <xdr:to>
      <xdr:col>26</xdr:col>
      <xdr:colOff>536917</xdr:colOff>
      <xdr:row>70</xdr:row>
      <xdr:rowOff>46795</xdr:rowOff>
    </xdr:to>
    <xdr:pic>
      <xdr:nvPicPr>
        <xdr:cNvPr id="5" name="Immagin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25475" y="10553700"/>
          <a:ext cx="5413717" cy="360914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2</xdr:row>
      <xdr:rowOff>161925</xdr:rowOff>
    </xdr:from>
    <xdr:to>
      <xdr:col>23</xdr:col>
      <xdr:colOff>200025</xdr:colOff>
      <xdr:row>23</xdr:row>
      <xdr:rowOff>38100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40</xdr:row>
      <xdr:rowOff>0</xdr:rowOff>
    </xdr:from>
    <xdr:to>
      <xdr:col>22</xdr:col>
      <xdr:colOff>276225</xdr:colOff>
      <xdr:row>60</xdr:row>
      <xdr:rowOff>76200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64</xdr:row>
      <xdr:rowOff>0</xdr:rowOff>
    </xdr:from>
    <xdr:to>
      <xdr:col>22</xdr:col>
      <xdr:colOff>276225</xdr:colOff>
      <xdr:row>85</xdr:row>
      <xdr:rowOff>57150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142874</xdr:colOff>
      <xdr:row>87</xdr:row>
      <xdr:rowOff>95249</xdr:rowOff>
    </xdr:from>
    <xdr:to>
      <xdr:col>24</xdr:col>
      <xdr:colOff>142874</xdr:colOff>
      <xdr:row>118</xdr:row>
      <xdr:rowOff>57749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121</xdr:row>
      <xdr:rowOff>0</xdr:rowOff>
    </xdr:from>
    <xdr:to>
      <xdr:col>26</xdr:col>
      <xdr:colOff>152400</xdr:colOff>
      <xdr:row>142</xdr:row>
      <xdr:rowOff>76200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600074</xdr:colOff>
      <xdr:row>146</xdr:row>
      <xdr:rowOff>47625</xdr:rowOff>
    </xdr:from>
    <xdr:to>
      <xdr:col>23</xdr:col>
      <xdr:colOff>476249</xdr:colOff>
      <xdr:row>177</xdr:row>
      <xdr:rowOff>9525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519112</xdr:colOff>
      <xdr:row>180</xdr:row>
      <xdr:rowOff>100012</xdr:rowOff>
    </xdr:from>
    <xdr:to>
      <xdr:col>16</xdr:col>
      <xdr:colOff>214312</xdr:colOff>
      <xdr:row>190</xdr:row>
      <xdr:rowOff>23812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194</xdr:row>
      <xdr:rowOff>0</xdr:rowOff>
    </xdr:from>
    <xdr:to>
      <xdr:col>16</xdr:col>
      <xdr:colOff>304800</xdr:colOff>
      <xdr:row>205</xdr:row>
      <xdr:rowOff>19050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4</xdr:row>
      <xdr:rowOff>4762</xdr:rowOff>
    </xdr:from>
    <xdr:to>
      <xdr:col>17</xdr:col>
      <xdr:colOff>304800</xdr:colOff>
      <xdr:row>23</xdr:row>
      <xdr:rowOff>152400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17</xdr:col>
      <xdr:colOff>300038</xdr:colOff>
      <xdr:row>46</xdr:row>
      <xdr:rowOff>23813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7</xdr:row>
      <xdr:rowOff>157162</xdr:rowOff>
    </xdr:from>
    <xdr:to>
      <xdr:col>17</xdr:col>
      <xdr:colOff>295274</xdr:colOff>
      <xdr:row>27</xdr:row>
      <xdr:rowOff>38100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280986</xdr:colOff>
      <xdr:row>3</xdr:row>
      <xdr:rowOff>52387</xdr:rowOff>
    </xdr:from>
    <xdr:to>
      <xdr:col>17</xdr:col>
      <xdr:colOff>152399</xdr:colOff>
      <xdr:row>19</xdr:row>
      <xdr:rowOff>171450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342899</xdr:rowOff>
    </xdr:from>
    <xdr:to>
      <xdr:col>19</xdr:col>
      <xdr:colOff>504824</xdr:colOff>
      <xdr:row>29</xdr:row>
      <xdr:rowOff>47624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366712</xdr:colOff>
      <xdr:row>0</xdr:row>
      <xdr:rowOff>90487</xdr:rowOff>
    </xdr:from>
    <xdr:to>
      <xdr:col>13</xdr:col>
      <xdr:colOff>61912</xdr:colOff>
      <xdr:row>14</xdr:row>
      <xdr:rowOff>166687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304800</xdr:colOff>
      <xdr:row>34</xdr:row>
      <xdr:rowOff>76200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400050</xdr:colOff>
      <xdr:row>35</xdr:row>
      <xdr:rowOff>142875</xdr:rowOff>
    </xdr:from>
    <xdr:to>
      <xdr:col>14</xdr:col>
      <xdr:colOff>95250</xdr:colOff>
      <xdr:row>50</xdr:row>
      <xdr:rowOff>28575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52</xdr:row>
      <xdr:rowOff>0</xdr:rowOff>
    </xdr:from>
    <xdr:to>
      <xdr:col>14</xdr:col>
      <xdr:colOff>304800</xdr:colOff>
      <xdr:row>66</xdr:row>
      <xdr:rowOff>76200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14</xdr:row>
      <xdr:rowOff>142875</xdr:rowOff>
    </xdr:from>
    <xdr:to>
      <xdr:col>21</xdr:col>
      <xdr:colOff>590549</xdr:colOff>
      <xdr:row>34</xdr:row>
      <xdr:rowOff>61912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35</xdr:row>
      <xdr:rowOff>0</xdr:rowOff>
    </xdr:from>
    <xdr:to>
      <xdr:col>21</xdr:col>
      <xdr:colOff>542925</xdr:colOff>
      <xdr:row>57</xdr:row>
      <xdr:rowOff>71437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78441</xdr:colOff>
      <xdr:row>62</xdr:row>
      <xdr:rowOff>44824</xdr:rowOff>
    </xdr:from>
    <xdr:to>
      <xdr:col>19</xdr:col>
      <xdr:colOff>16249</xdr:colOff>
      <xdr:row>84</xdr:row>
      <xdr:rowOff>56870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19</xdr:col>
      <xdr:colOff>542926</xdr:colOff>
      <xdr:row>38</xdr:row>
      <xdr:rowOff>87126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90487</xdr:rowOff>
    </xdr:from>
    <xdr:to>
      <xdr:col>17</xdr:col>
      <xdr:colOff>409575</xdr:colOff>
      <xdr:row>14</xdr:row>
      <xdr:rowOff>166687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523874</xdr:colOff>
      <xdr:row>18</xdr:row>
      <xdr:rowOff>4762</xdr:rowOff>
    </xdr:from>
    <xdr:to>
      <xdr:col>24</xdr:col>
      <xdr:colOff>342899</xdr:colOff>
      <xdr:row>41</xdr:row>
      <xdr:rowOff>85725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15</xdr:col>
      <xdr:colOff>304800</xdr:colOff>
      <xdr:row>65</xdr:row>
      <xdr:rowOff>85725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73</xdr:row>
      <xdr:rowOff>0</xdr:rowOff>
    </xdr:from>
    <xdr:to>
      <xdr:col>14</xdr:col>
      <xdr:colOff>304800</xdr:colOff>
      <xdr:row>85</xdr:row>
      <xdr:rowOff>85725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97</xdr:row>
      <xdr:rowOff>0</xdr:rowOff>
    </xdr:from>
    <xdr:to>
      <xdr:col>14</xdr:col>
      <xdr:colOff>304800</xdr:colOff>
      <xdr:row>111</xdr:row>
      <xdr:rowOff>123825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571500</xdr:colOff>
      <xdr:row>144</xdr:row>
      <xdr:rowOff>47624</xdr:rowOff>
    </xdr:from>
    <xdr:to>
      <xdr:col>19</xdr:col>
      <xdr:colOff>180975</xdr:colOff>
      <xdr:row>152</xdr:row>
      <xdr:rowOff>33337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347662</xdr:colOff>
      <xdr:row>8</xdr:row>
      <xdr:rowOff>157162</xdr:rowOff>
    </xdr:from>
    <xdr:to>
      <xdr:col>15</xdr:col>
      <xdr:colOff>261262</xdr:colOff>
      <xdr:row>26</xdr:row>
      <xdr:rowOff>61462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6</xdr:row>
      <xdr:rowOff>0</xdr:rowOff>
    </xdr:from>
    <xdr:to>
      <xdr:col>27</xdr:col>
      <xdr:colOff>123150</xdr:colOff>
      <xdr:row>23</xdr:row>
      <xdr:rowOff>123375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18</xdr:col>
      <xdr:colOff>0</xdr:colOff>
      <xdr:row>16</xdr:row>
      <xdr:rowOff>0</xdr:rowOff>
    </xdr:from>
    <xdr:to>
      <xdr:col>26</xdr:col>
      <xdr:colOff>368896</xdr:colOff>
      <xdr:row>34</xdr:row>
      <xdr:rowOff>8695</xdr:rowOff>
    </xdr:to>
    <xdr:pic>
      <xdr:nvPicPr>
        <xdr:cNvPr id="8" name="Immagine 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506325" y="3219450"/>
          <a:ext cx="5407621" cy="36091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</xdr:row>
      <xdr:rowOff>123825</xdr:rowOff>
    </xdr:from>
    <xdr:to>
      <xdr:col>11</xdr:col>
      <xdr:colOff>352425</xdr:colOff>
      <xdr:row>11</xdr:row>
      <xdr:rowOff>90487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19</xdr:row>
      <xdr:rowOff>104775</xdr:rowOff>
    </xdr:from>
    <xdr:to>
      <xdr:col>11</xdr:col>
      <xdr:colOff>171450</xdr:colOff>
      <xdr:row>27</xdr:row>
      <xdr:rowOff>176211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495300</xdr:colOff>
      <xdr:row>4</xdr:row>
      <xdr:rowOff>142875</xdr:rowOff>
    </xdr:from>
    <xdr:to>
      <xdr:col>19</xdr:col>
      <xdr:colOff>447675</xdr:colOff>
      <xdr:row>11</xdr:row>
      <xdr:rowOff>166687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138112</xdr:rowOff>
    </xdr:from>
    <xdr:to>
      <xdr:col>26</xdr:col>
      <xdr:colOff>542925</xdr:colOff>
      <xdr:row>29</xdr:row>
      <xdr:rowOff>176212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252412</xdr:colOff>
      <xdr:row>87</xdr:row>
      <xdr:rowOff>133349</xdr:rowOff>
    </xdr:from>
    <xdr:to>
      <xdr:col>7</xdr:col>
      <xdr:colOff>314325</xdr:colOff>
      <xdr:row>95</xdr:row>
      <xdr:rowOff>166686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176212</xdr:colOff>
      <xdr:row>75</xdr:row>
      <xdr:rowOff>33337</xdr:rowOff>
    </xdr:from>
    <xdr:to>
      <xdr:col>17</xdr:col>
      <xdr:colOff>119062</xdr:colOff>
      <xdr:row>89</xdr:row>
      <xdr:rowOff>90487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219075</xdr:colOff>
      <xdr:row>76</xdr:row>
      <xdr:rowOff>133349</xdr:rowOff>
    </xdr:from>
    <xdr:to>
      <xdr:col>23</xdr:col>
      <xdr:colOff>366712</xdr:colOff>
      <xdr:row>87</xdr:row>
      <xdr:rowOff>52386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252412</xdr:colOff>
      <xdr:row>125</xdr:row>
      <xdr:rowOff>133349</xdr:rowOff>
    </xdr:from>
    <xdr:to>
      <xdr:col>7</xdr:col>
      <xdr:colOff>314325</xdr:colOff>
      <xdr:row>133</xdr:row>
      <xdr:rowOff>166686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176212</xdr:colOff>
      <xdr:row>113</xdr:row>
      <xdr:rowOff>33337</xdr:rowOff>
    </xdr:from>
    <xdr:to>
      <xdr:col>17</xdr:col>
      <xdr:colOff>119062</xdr:colOff>
      <xdr:row>127</xdr:row>
      <xdr:rowOff>90487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152399</xdr:rowOff>
    </xdr:from>
    <xdr:to>
      <xdr:col>15</xdr:col>
      <xdr:colOff>28575</xdr:colOff>
      <xdr:row>17</xdr:row>
      <xdr:rowOff>95249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608770</xdr:colOff>
      <xdr:row>31</xdr:row>
      <xdr:rowOff>65432</xdr:rowOff>
    </xdr:from>
    <xdr:to>
      <xdr:col>17</xdr:col>
      <xdr:colOff>86965</xdr:colOff>
      <xdr:row>44</xdr:row>
      <xdr:rowOff>158197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152399</xdr:rowOff>
    </xdr:from>
    <xdr:to>
      <xdr:col>15</xdr:col>
      <xdr:colOff>28575</xdr:colOff>
      <xdr:row>17</xdr:row>
      <xdr:rowOff>95249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608770</xdr:colOff>
      <xdr:row>57</xdr:row>
      <xdr:rowOff>65432</xdr:rowOff>
    </xdr:from>
    <xdr:to>
      <xdr:col>17</xdr:col>
      <xdr:colOff>86965</xdr:colOff>
      <xdr:row>70</xdr:row>
      <xdr:rowOff>158197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19</xdr:col>
      <xdr:colOff>337457</xdr:colOff>
      <xdr:row>37</xdr:row>
      <xdr:rowOff>160565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13</xdr:col>
      <xdr:colOff>583474</xdr:colOff>
      <xdr:row>18</xdr:row>
      <xdr:rowOff>119199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4</xdr:row>
      <xdr:rowOff>23811</xdr:rowOff>
    </xdr:from>
    <xdr:to>
      <xdr:col>21</xdr:col>
      <xdr:colOff>285750</xdr:colOff>
      <xdr:row>19</xdr:row>
      <xdr:rowOff>104774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18</xdr:col>
      <xdr:colOff>514350</xdr:colOff>
      <xdr:row>38</xdr:row>
      <xdr:rowOff>157163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29</xdr:row>
      <xdr:rowOff>0</xdr:rowOff>
    </xdr:from>
    <xdr:to>
      <xdr:col>29</xdr:col>
      <xdr:colOff>514350</xdr:colOff>
      <xdr:row>46</xdr:row>
      <xdr:rowOff>166688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62</xdr:row>
      <xdr:rowOff>0</xdr:rowOff>
    </xdr:from>
    <xdr:to>
      <xdr:col>29</xdr:col>
      <xdr:colOff>514350</xdr:colOff>
      <xdr:row>80</xdr:row>
      <xdr:rowOff>166688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4</xdr:row>
      <xdr:rowOff>23811</xdr:rowOff>
    </xdr:from>
    <xdr:to>
      <xdr:col>21</xdr:col>
      <xdr:colOff>285750</xdr:colOff>
      <xdr:row>19</xdr:row>
      <xdr:rowOff>104774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18</xdr:col>
      <xdr:colOff>514350</xdr:colOff>
      <xdr:row>38</xdr:row>
      <xdr:rowOff>157163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29</xdr:row>
      <xdr:rowOff>0</xdr:rowOff>
    </xdr:from>
    <xdr:to>
      <xdr:col>29</xdr:col>
      <xdr:colOff>514350</xdr:colOff>
      <xdr:row>46</xdr:row>
      <xdr:rowOff>166688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7"/>
  <sheetViews>
    <sheetView topLeftCell="N16" zoomScale="85" zoomScaleNormal="85" workbookViewId="0">
      <selection activeCell="B30" sqref="B30"/>
    </sheetView>
  </sheetViews>
  <sheetFormatPr defaultRowHeight="14.4" x14ac:dyDescent="0.55000000000000004"/>
  <sheetData>
    <row r="1" spans="1:7" ht="15.6" thickBot="1" x14ac:dyDescent="0.6">
      <c r="A1" s="138" t="s">
        <v>251</v>
      </c>
      <c r="B1" s="139"/>
      <c r="C1" s="140"/>
    </row>
    <row r="2" spans="1:7" ht="15.6" thickBot="1" x14ac:dyDescent="0.6">
      <c r="A2" s="52" t="s">
        <v>125</v>
      </c>
      <c r="B2" s="2"/>
      <c r="C2" s="2"/>
    </row>
    <row r="6" spans="1:7" ht="14.7" thickBot="1" x14ac:dyDescent="0.6"/>
    <row r="7" spans="1:7" ht="15.6" thickBot="1" x14ac:dyDescent="0.6">
      <c r="A7" s="25" t="s">
        <v>70</v>
      </c>
      <c r="B7" s="25" t="s">
        <v>18</v>
      </c>
      <c r="C7" s="25" t="s">
        <v>71</v>
      </c>
      <c r="D7" s="54" t="s">
        <v>75</v>
      </c>
      <c r="E7" s="72" t="s">
        <v>77</v>
      </c>
    </row>
    <row r="8" spans="1:7" s="18" customFormat="1" ht="15.6" thickBot="1" x14ac:dyDescent="0.6">
      <c r="A8" s="89">
        <v>100000</v>
      </c>
      <c r="B8" s="90">
        <v>228</v>
      </c>
      <c r="C8" s="90">
        <v>213</v>
      </c>
      <c r="D8" s="91">
        <v>198</v>
      </c>
      <c r="E8" s="21"/>
      <c r="G8" s="18" t="s">
        <v>323</v>
      </c>
    </row>
    <row r="9" spans="1:7" s="18" customFormat="1" ht="15.6" thickBot="1" x14ac:dyDescent="0.6">
      <c r="A9" s="89">
        <v>70000</v>
      </c>
      <c r="B9" s="89">
        <v>241</v>
      </c>
      <c r="C9" s="89">
        <v>238</v>
      </c>
      <c r="D9" s="91">
        <v>344</v>
      </c>
    </row>
    <row r="10" spans="1:7" s="18" customFormat="1" x14ac:dyDescent="0.55000000000000004">
      <c r="A10">
        <v>50000</v>
      </c>
      <c r="B10">
        <v>276</v>
      </c>
      <c r="C10">
        <v>288</v>
      </c>
      <c r="D10">
        <f>15*60+39</f>
        <v>939</v>
      </c>
    </row>
    <row r="11" spans="1:7" x14ac:dyDescent="0.55000000000000004">
      <c r="A11">
        <v>45000</v>
      </c>
      <c r="B11">
        <v>301</v>
      </c>
      <c r="C11">
        <v>317</v>
      </c>
      <c r="D11">
        <f>21*60</f>
        <v>1260</v>
      </c>
    </row>
    <row r="12" spans="1:7" x14ac:dyDescent="0.55000000000000004">
      <c r="A12">
        <v>40000</v>
      </c>
      <c r="B12">
        <v>359</v>
      </c>
      <c r="C12">
        <v>354</v>
      </c>
      <c r="D12">
        <f>27*60</f>
        <v>1620</v>
      </c>
    </row>
    <row r="13" spans="1:7" x14ac:dyDescent="0.55000000000000004">
      <c r="A13">
        <v>35000</v>
      </c>
      <c r="B13">
        <v>376</v>
      </c>
      <c r="C13">
        <v>436</v>
      </c>
      <c r="D13">
        <f>41*60+6</f>
        <v>2466</v>
      </c>
    </row>
    <row r="14" spans="1:7" x14ac:dyDescent="0.55000000000000004">
      <c r="A14">
        <v>30000</v>
      </c>
      <c r="B14">
        <v>459</v>
      </c>
      <c r="C14">
        <f>8*60+45</f>
        <v>525</v>
      </c>
      <c r="D14">
        <f>62*60</f>
        <v>3720</v>
      </c>
    </row>
    <row r="15" spans="1:7" x14ac:dyDescent="0.55000000000000004">
      <c r="A15">
        <v>20000</v>
      </c>
      <c r="B15" s="21"/>
      <c r="C15">
        <f>13*60+29</f>
        <v>809</v>
      </c>
    </row>
    <row r="16" spans="1:7" x14ac:dyDescent="0.55000000000000004">
      <c r="A16">
        <v>10000</v>
      </c>
      <c r="B16" s="21"/>
      <c r="C16">
        <f>28*60+31</f>
        <v>1711</v>
      </c>
      <c r="F16" t="s">
        <v>373</v>
      </c>
    </row>
    <row r="18" spans="1:13" x14ac:dyDescent="0.55000000000000004">
      <c r="M18" t="s">
        <v>253</v>
      </c>
    </row>
    <row r="19" spans="1:13" ht="14.7" thickBot="1" x14ac:dyDescent="0.6"/>
    <row r="20" spans="1:13" ht="15.6" thickBot="1" x14ac:dyDescent="0.6">
      <c r="A20" s="138" t="s">
        <v>251</v>
      </c>
      <c r="B20" s="139"/>
      <c r="C20" s="140"/>
    </row>
    <row r="21" spans="1:13" ht="15.6" thickBot="1" x14ac:dyDescent="0.6">
      <c r="A21" s="52" t="s">
        <v>252</v>
      </c>
      <c r="B21" s="2"/>
      <c r="C21" s="2"/>
    </row>
    <row r="25" spans="1:13" ht="14.7" thickBot="1" x14ac:dyDescent="0.6">
      <c r="H25" t="s">
        <v>383</v>
      </c>
    </row>
    <row r="26" spans="1:13" ht="15.6" thickBot="1" x14ac:dyDescent="0.6">
      <c r="A26" s="25" t="s">
        <v>70</v>
      </c>
      <c r="B26" s="25" t="s">
        <v>32</v>
      </c>
      <c r="C26" s="25" t="s">
        <v>35</v>
      </c>
      <c r="D26" s="25" t="s">
        <v>33</v>
      </c>
      <c r="E26" s="54" t="s">
        <v>34</v>
      </c>
      <c r="F26" s="92" t="s">
        <v>118</v>
      </c>
      <c r="G26" s="92" t="s">
        <v>247</v>
      </c>
    </row>
    <row r="27" spans="1:13" ht="15.6" thickBot="1" x14ac:dyDescent="0.6">
      <c r="A27" s="89">
        <v>100000</v>
      </c>
      <c r="B27" s="89">
        <f>A27/10000000*100</f>
        <v>1</v>
      </c>
      <c r="C27" s="93"/>
      <c r="D27" s="90"/>
      <c r="E27" s="91"/>
    </row>
    <row r="28" spans="1:13" ht="15.6" thickBot="1" x14ac:dyDescent="0.6">
      <c r="A28" s="89">
        <v>70000</v>
      </c>
      <c r="B28" s="89">
        <f t="shared" ref="B28:B35" si="0">A28/10000000*100</f>
        <v>0.70000000000000007</v>
      </c>
      <c r="C28" s="7"/>
      <c r="D28" s="89"/>
      <c r="E28" s="91"/>
    </row>
    <row r="29" spans="1:13" ht="14.7" thickBot="1" x14ac:dyDescent="0.6">
      <c r="A29">
        <v>50000</v>
      </c>
      <c r="B29" s="89">
        <f t="shared" si="0"/>
        <v>0.5</v>
      </c>
      <c r="C29" s="17"/>
    </row>
    <row r="30" spans="1:13" ht="14.7" thickBot="1" x14ac:dyDescent="0.6">
      <c r="A30">
        <v>40000</v>
      </c>
      <c r="B30" s="89">
        <f t="shared" si="0"/>
        <v>0.4</v>
      </c>
      <c r="C30">
        <v>165</v>
      </c>
      <c r="D30">
        <v>203</v>
      </c>
      <c r="E30">
        <v>210</v>
      </c>
      <c r="F30">
        <v>166</v>
      </c>
      <c r="G30">
        <v>222</v>
      </c>
      <c r="I30" s="29"/>
    </row>
    <row r="31" spans="1:13" ht="14.7" thickBot="1" x14ac:dyDescent="0.6">
      <c r="A31">
        <v>30000</v>
      </c>
      <c r="B31" s="89">
        <f t="shared" si="0"/>
        <v>0.3</v>
      </c>
      <c r="C31">
        <v>165</v>
      </c>
      <c r="D31">
        <v>210</v>
      </c>
      <c r="E31">
        <v>245</v>
      </c>
      <c r="F31">
        <v>169</v>
      </c>
      <c r="G31">
        <v>1044</v>
      </c>
    </row>
    <row r="32" spans="1:13" ht="14.7" thickBot="1" x14ac:dyDescent="0.6">
      <c r="A32">
        <v>25000</v>
      </c>
      <c r="B32" s="89">
        <f t="shared" si="0"/>
        <v>0.25</v>
      </c>
      <c r="C32">
        <v>175</v>
      </c>
      <c r="D32">
        <v>222</v>
      </c>
      <c r="E32">
        <v>300</v>
      </c>
      <c r="F32">
        <v>175</v>
      </c>
      <c r="G32">
        <v>1869</v>
      </c>
    </row>
    <row r="33" spans="1:23" ht="14.7" thickBot="1" x14ac:dyDescent="0.6">
      <c r="A33">
        <v>20000</v>
      </c>
      <c r="B33" s="89">
        <f t="shared" si="0"/>
        <v>0.2</v>
      </c>
      <c r="C33" s="18">
        <v>183</v>
      </c>
      <c r="D33">
        <v>237</v>
      </c>
      <c r="E33">
        <v>314</v>
      </c>
      <c r="F33">
        <v>217</v>
      </c>
      <c r="G33">
        <v>3520</v>
      </c>
    </row>
    <row r="34" spans="1:23" ht="14.7" thickBot="1" x14ac:dyDescent="0.6">
      <c r="A34">
        <v>15000</v>
      </c>
      <c r="B34" s="89">
        <f t="shared" si="0"/>
        <v>0.15</v>
      </c>
      <c r="C34" s="18">
        <v>267</v>
      </c>
      <c r="D34">
        <v>283</v>
      </c>
      <c r="E34">
        <v>418</v>
      </c>
      <c r="F34">
        <v>223</v>
      </c>
      <c r="G34">
        <v>7788</v>
      </c>
    </row>
    <row r="35" spans="1:23" ht="14.7" thickBot="1" x14ac:dyDescent="0.6">
      <c r="A35">
        <v>10000</v>
      </c>
      <c r="B35" s="89">
        <f t="shared" si="0"/>
        <v>0.1</v>
      </c>
      <c r="C35" s="18">
        <v>332</v>
      </c>
      <c r="D35">
        <v>442</v>
      </c>
      <c r="E35">
        <f>12*60+2</f>
        <v>722</v>
      </c>
      <c r="F35">
        <v>317</v>
      </c>
      <c r="G35" s="85">
        <v>24573</v>
      </c>
      <c r="W35" s="29"/>
    </row>
    <row r="36" spans="1:23" ht="14.7" thickBot="1" x14ac:dyDescent="0.6">
      <c r="A36">
        <v>5000</v>
      </c>
      <c r="B36">
        <v>0.05</v>
      </c>
      <c r="C36" s="127"/>
      <c r="D36">
        <v>972</v>
      </c>
      <c r="E36">
        <f>23*60</f>
        <v>1380</v>
      </c>
      <c r="F36">
        <v>820</v>
      </c>
      <c r="W36" s="29"/>
    </row>
    <row r="37" spans="1:23" ht="14.7" thickBot="1" x14ac:dyDescent="0.6">
      <c r="A37">
        <v>1000</v>
      </c>
      <c r="B37" s="89">
        <f>A37/10000000*100</f>
        <v>0.01</v>
      </c>
      <c r="C37" s="21"/>
      <c r="D37">
        <v>3720</v>
      </c>
      <c r="E37" s="125">
        <f>34*60+21</f>
        <v>2061</v>
      </c>
      <c r="F37">
        <f>14*60+41</f>
        <v>881</v>
      </c>
      <c r="G37" s="85">
        <v>257956</v>
      </c>
    </row>
    <row r="38" spans="1:23" ht="14.7" thickBot="1" x14ac:dyDescent="0.6">
      <c r="A38">
        <v>500</v>
      </c>
      <c r="B38" s="89">
        <f>A38/10000000*100</f>
        <v>5.0000000000000001E-3</v>
      </c>
      <c r="D38">
        <f>115*60+18</f>
        <v>6918</v>
      </c>
      <c r="E38" s="125">
        <v>2100</v>
      </c>
      <c r="F38">
        <f>15*60+30</f>
        <v>930</v>
      </c>
      <c r="G38" s="85">
        <v>343527</v>
      </c>
    </row>
    <row r="39" spans="1:23" x14ac:dyDescent="0.55000000000000004">
      <c r="A39">
        <v>200</v>
      </c>
      <c r="B39" s="94">
        <f>A39/10000000*100</f>
        <v>2E-3</v>
      </c>
      <c r="D39">
        <f>419*60</f>
        <v>25140</v>
      </c>
      <c r="E39">
        <f>49*60+58</f>
        <v>2998</v>
      </c>
      <c r="F39">
        <f>16*60+13</f>
        <v>973</v>
      </c>
      <c r="G39" s="85">
        <v>447177</v>
      </c>
    </row>
    <row r="40" spans="1:23" x14ac:dyDescent="0.55000000000000004">
      <c r="A40">
        <v>100</v>
      </c>
      <c r="B40" s="94">
        <f>A40/10000000*100</f>
        <v>1E-3</v>
      </c>
      <c r="C40" t="s">
        <v>12</v>
      </c>
      <c r="F40">
        <f>28*60+9</f>
        <v>1689</v>
      </c>
    </row>
    <row r="41" spans="1:23" x14ac:dyDescent="0.55000000000000004">
      <c r="C41" t="s">
        <v>254</v>
      </c>
    </row>
    <row r="43" spans="1:23" x14ac:dyDescent="0.55000000000000004">
      <c r="C43" t="s">
        <v>324</v>
      </c>
    </row>
    <row r="73" spans="1:8" ht="14.7" thickBot="1" x14ac:dyDescent="0.6"/>
    <row r="74" spans="1:8" ht="15.6" thickBot="1" x14ac:dyDescent="0.6">
      <c r="A74" s="25" t="s">
        <v>70</v>
      </c>
      <c r="B74" s="25" t="s">
        <v>32</v>
      </c>
      <c r="C74" s="25" t="s">
        <v>35</v>
      </c>
      <c r="D74" s="25" t="s">
        <v>33</v>
      </c>
      <c r="E74" s="54" t="s">
        <v>34</v>
      </c>
      <c r="F74" s="92" t="s">
        <v>118</v>
      </c>
    </row>
    <row r="75" spans="1:8" ht="15.6" thickBot="1" x14ac:dyDescent="0.6">
      <c r="A75" s="89">
        <v>100000</v>
      </c>
      <c r="B75" s="89">
        <f>A75/10000000*100</f>
        <v>1</v>
      </c>
      <c r="C75" s="90">
        <v>228</v>
      </c>
      <c r="D75" s="90">
        <v>213</v>
      </c>
      <c r="E75" s="91">
        <f>60*4+37</f>
        <v>277</v>
      </c>
      <c r="F75" s="21"/>
      <c r="G75" t="s">
        <v>374</v>
      </c>
      <c r="H75">
        <v>616</v>
      </c>
    </row>
    <row r="76" spans="1:8" ht="15.6" thickBot="1" x14ac:dyDescent="0.6">
      <c r="A76" s="89">
        <v>70000</v>
      </c>
      <c r="B76" s="89">
        <f t="shared" ref="B76:B79" si="1">A76/10000000*100</f>
        <v>0.70000000000000007</v>
      </c>
      <c r="C76" s="89">
        <v>241</v>
      </c>
      <c r="D76" s="89">
        <v>238</v>
      </c>
      <c r="E76" s="91">
        <v>521</v>
      </c>
      <c r="F76" s="18"/>
      <c r="H76">
        <v>617</v>
      </c>
    </row>
    <row r="77" spans="1:8" ht="14.7" thickBot="1" x14ac:dyDescent="0.6">
      <c r="A77">
        <v>50000</v>
      </c>
      <c r="B77" s="89">
        <f t="shared" si="1"/>
        <v>0.5</v>
      </c>
      <c r="C77">
        <v>276</v>
      </c>
      <c r="D77">
        <v>288</v>
      </c>
      <c r="E77">
        <f>18*60+4</f>
        <v>1084</v>
      </c>
      <c r="F77" s="18"/>
      <c r="H77">
        <v>618</v>
      </c>
    </row>
    <row r="78" spans="1:8" ht="14.7" thickBot="1" x14ac:dyDescent="0.6">
      <c r="A78">
        <v>40000</v>
      </c>
      <c r="B78" s="89">
        <f t="shared" si="1"/>
        <v>0.4</v>
      </c>
      <c r="C78">
        <v>359</v>
      </c>
      <c r="D78">
        <v>354</v>
      </c>
      <c r="E78">
        <f>30*60+31</f>
        <v>1831</v>
      </c>
      <c r="H78">
        <v>620</v>
      </c>
    </row>
    <row r="79" spans="1:8" ht="14.7" thickBot="1" x14ac:dyDescent="0.6">
      <c r="A79">
        <v>30000</v>
      </c>
      <c r="B79" s="89">
        <f t="shared" si="1"/>
        <v>0.3</v>
      </c>
      <c r="C79">
        <v>459</v>
      </c>
      <c r="D79">
        <f>8*60+45</f>
        <v>525</v>
      </c>
      <c r="E79">
        <f>52*60+37</f>
        <v>3157</v>
      </c>
      <c r="H79">
        <v>622</v>
      </c>
    </row>
    <row r="80" spans="1:8" ht="14.7" thickBot="1" x14ac:dyDescent="0.6">
      <c r="A80">
        <v>20000</v>
      </c>
      <c r="B80" s="89">
        <f t="shared" ref="B80:B87" si="2">A80/10000000*100</f>
        <v>0.2</v>
      </c>
      <c r="C80" s="21"/>
      <c r="D80">
        <f>13*60+29</f>
        <v>809</v>
      </c>
      <c r="E80">
        <f>80*60</f>
        <v>4800</v>
      </c>
    </row>
    <row r="81" spans="1:8" ht="14.7" thickBot="1" x14ac:dyDescent="0.6">
      <c r="A81">
        <v>10000</v>
      </c>
      <c r="B81" s="89">
        <f t="shared" si="2"/>
        <v>0.1</v>
      </c>
      <c r="C81" s="21"/>
      <c r="D81">
        <f>28*60+31</f>
        <v>1711</v>
      </c>
      <c r="E81">
        <v>8747</v>
      </c>
    </row>
    <row r="82" spans="1:8" ht="15.6" thickBot="1" x14ac:dyDescent="0.6">
      <c r="A82">
        <v>5000</v>
      </c>
      <c r="B82" s="89">
        <f t="shared" si="2"/>
        <v>0.05</v>
      </c>
      <c r="D82" s="26">
        <f>71*60+30</f>
        <v>4290</v>
      </c>
      <c r="E82" s="26">
        <f>149*60</f>
        <v>8940</v>
      </c>
      <c r="H82">
        <v>623</v>
      </c>
    </row>
    <row r="83" spans="1:8" ht="15.6" thickBot="1" x14ac:dyDescent="0.6">
      <c r="A83">
        <v>1000</v>
      </c>
      <c r="B83" s="89">
        <f t="shared" si="2"/>
        <v>0.01</v>
      </c>
      <c r="D83" s="26">
        <f>1190*60</f>
        <v>71400</v>
      </c>
      <c r="E83">
        <f>171*60+41</f>
        <v>10301</v>
      </c>
    </row>
    <row r="84" spans="1:8" ht="15.6" thickBot="1" x14ac:dyDescent="0.6">
      <c r="B84" s="89"/>
      <c r="D84" s="26"/>
      <c r="E84" s="26"/>
    </row>
    <row r="85" spans="1:8" ht="15.6" thickBot="1" x14ac:dyDescent="0.6">
      <c r="B85" s="89"/>
      <c r="D85" s="26"/>
    </row>
    <row r="86" spans="1:8" x14ac:dyDescent="0.55000000000000004">
      <c r="B86" s="94">
        <f t="shared" si="2"/>
        <v>0</v>
      </c>
    </row>
    <row r="87" spans="1:8" x14ac:dyDescent="0.55000000000000004">
      <c r="B87" s="94">
        <f t="shared" si="2"/>
        <v>0</v>
      </c>
    </row>
  </sheetData>
  <mergeCells count="2">
    <mergeCell ref="A1:C1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workbookViewId="0">
      <selection activeCell="G14" sqref="G14"/>
    </sheetView>
  </sheetViews>
  <sheetFormatPr defaultRowHeight="14.4" x14ac:dyDescent="0.55000000000000004"/>
  <cols>
    <col min="19" max="19" width="16" bestFit="1" customWidth="1"/>
  </cols>
  <sheetData>
    <row r="1" spans="1:27" ht="14.7" thickBot="1" x14ac:dyDescent="0.6">
      <c r="A1" s="2"/>
      <c r="B1" s="2"/>
      <c r="C1" s="2"/>
      <c r="D1" s="2"/>
      <c r="E1" s="2"/>
    </row>
    <row r="2" spans="1:27" ht="25.8" thickBot="1" x14ac:dyDescent="0.6">
      <c r="A2" s="2" t="s">
        <v>92</v>
      </c>
      <c r="B2" s="4"/>
      <c r="C2" s="2" t="s">
        <v>93</v>
      </c>
      <c r="D2" s="4"/>
      <c r="E2" s="4"/>
    </row>
    <row r="3" spans="1:27" ht="14.7" thickBot="1" x14ac:dyDescent="0.6">
      <c r="A3" s="2" t="s">
        <v>94</v>
      </c>
      <c r="B3" s="4"/>
      <c r="C3" s="4"/>
      <c r="D3" s="4"/>
      <c r="E3" s="4"/>
    </row>
    <row r="4" spans="1:27" ht="14.7" thickBot="1" x14ac:dyDescent="0.6">
      <c r="A4" s="2" t="s">
        <v>95</v>
      </c>
      <c r="B4" s="4"/>
      <c r="C4" s="4"/>
      <c r="D4" s="4"/>
      <c r="E4" s="4"/>
    </row>
    <row r="5" spans="1:27" ht="25.8" thickBot="1" x14ac:dyDescent="0.6">
      <c r="A5" s="2" t="s">
        <v>96</v>
      </c>
      <c r="B5" s="4"/>
      <c r="C5" s="2" t="s">
        <v>35</v>
      </c>
      <c r="D5" s="2" t="s">
        <v>33</v>
      </c>
      <c r="E5" s="2" t="s">
        <v>34</v>
      </c>
      <c r="F5" s="73" t="s">
        <v>118</v>
      </c>
      <c r="V5" t="s">
        <v>234</v>
      </c>
    </row>
    <row r="6" spans="1:27" ht="15.6" thickBot="1" x14ac:dyDescent="0.6">
      <c r="A6" s="2" t="s">
        <v>99</v>
      </c>
      <c r="B6" s="3">
        <v>2</v>
      </c>
      <c r="C6" s="3">
        <v>296</v>
      </c>
      <c r="D6" s="3">
        <v>368</v>
      </c>
      <c r="E6" s="3">
        <v>2881</v>
      </c>
      <c r="F6" s="26">
        <v>959</v>
      </c>
      <c r="T6" t="s">
        <v>243</v>
      </c>
      <c r="U6" t="s">
        <v>242</v>
      </c>
      <c r="V6" t="s">
        <v>235</v>
      </c>
      <c r="W6" t="s">
        <v>236</v>
      </c>
      <c r="X6" t="s">
        <v>237</v>
      </c>
      <c r="Y6" t="s">
        <v>244</v>
      </c>
      <c r="Z6" t="s">
        <v>245</v>
      </c>
      <c r="AA6" t="s">
        <v>246</v>
      </c>
    </row>
    <row r="7" spans="1:27" ht="15.6" thickBot="1" x14ac:dyDescent="0.6">
      <c r="A7" s="2"/>
      <c r="B7" s="3">
        <v>4</v>
      </c>
      <c r="C7" s="3">
        <v>303</v>
      </c>
      <c r="D7" s="3">
        <v>364</v>
      </c>
      <c r="E7" s="3">
        <v>1540</v>
      </c>
      <c r="F7" s="26">
        <v>895</v>
      </c>
      <c r="S7" t="s">
        <v>238</v>
      </c>
      <c r="T7">
        <v>5170</v>
      </c>
      <c r="U7" s="85">
        <v>9336</v>
      </c>
      <c r="V7">
        <v>18892</v>
      </c>
      <c r="W7" s="85">
        <v>12967</v>
      </c>
      <c r="X7">
        <v>10030</v>
      </c>
      <c r="Y7" s="85">
        <v>4150</v>
      </c>
      <c r="Z7">
        <v>42284</v>
      </c>
      <c r="AA7" s="85">
        <v>9180</v>
      </c>
    </row>
    <row r="8" spans="1:27" ht="15.6" thickBot="1" x14ac:dyDescent="0.6">
      <c r="A8" s="2"/>
      <c r="B8" s="3">
        <v>6</v>
      </c>
      <c r="C8" s="3">
        <v>288</v>
      </c>
      <c r="D8" s="3">
        <v>436</v>
      </c>
      <c r="E8" s="3">
        <v>856</v>
      </c>
      <c r="F8" s="26">
        <v>729</v>
      </c>
      <c r="S8" t="s">
        <v>239</v>
      </c>
      <c r="T8">
        <v>5170</v>
      </c>
      <c r="U8" s="85">
        <v>9336</v>
      </c>
      <c r="V8">
        <v>18892</v>
      </c>
      <c r="W8">
        <v>12967</v>
      </c>
      <c r="X8">
        <v>10030</v>
      </c>
      <c r="Y8">
        <v>4150</v>
      </c>
      <c r="Z8">
        <v>42284</v>
      </c>
      <c r="AA8" s="85">
        <v>9180</v>
      </c>
    </row>
    <row r="9" spans="1:27" ht="14.7" thickBot="1" x14ac:dyDescent="0.6">
      <c r="A9" s="2"/>
      <c r="B9" s="27">
        <v>8</v>
      </c>
      <c r="C9" s="27">
        <v>250</v>
      </c>
      <c r="D9" s="27">
        <v>336</v>
      </c>
      <c r="E9" s="27">
        <v>468</v>
      </c>
      <c r="F9" s="8">
        <v>620</v>
      </c>
      <c r="S9" t="s">
        <v>294</v>
      </c>
      <c r="T9">
        <v>1.8</v>
      </c>
      <c r="U9">
        <v>2.39</v>
      </c>
      <c r="W9">
        <v>3.92</v>
      </c>
      <c r="X9">
        <v>3.64</v>
      </c>
      <c r="Y9">
        <v>3.0649999999999999</v>
      </c>
      <c r="Z9">
        <v>6.0209999999999999</v>
      </c>
      <c r="AA9">
        <v>3.97</v>
      </c>
    </row>
    <row r="10" spans="1:27" ht="15.6" thickBot="1" x14ac:dyDescent="0.6">
      <c r="A10" s="2"/>
      <c r="B10" s="3">
        <v>10</v>
      </c>
      <c r="C10" s="3">
        <v>233</v>
      </c>
      <c r="D10" s="3">
        <v>326</v>
      </c>
      <c r="E10" s="3">
        <v>416</v>
      </c>
      <c r="F10" s="26">
        <v>540</v>
      </c>
    </row>
    <row r="11" spans="1:27" ht="14.7" thickBot="1" x14ac:dyDescent="0.6">
      <c r="A11" s="2"/>
      <c r="B11" s="3">
        <v>12</v>
      </c>
      <c r="C11" s="3">
        <v>217</v>
      </c>
      <c r="D11" s="3">
        <v>241</v>
      </c>
      <c r="E11" s="3">
        <v>254</v>
      </c>
      <c r="F11" s="3">
        <v>530</v>
      </c>
    </row>
    <row r="12" spans="1:27" ht="14.7" thickBot="1" x14ac:dyDescent="0.6">
      <c r="A12" s="2"/>
      <c r="B12" s="3">
        <v>14</v>
      </c>
      <c r="C12" s="3">
        <v>228</v>
      </c>
      <c r="D12" s="3">
        <v>597</v>
      </c>
      <c r="E12" s="3">
        <v>230</v>
      </c>
      <c r="F12" s="3">
        <v>914</v>
      </c>
    </row>
    <row r="13" spans="1:27" ht="14.7" thickBot="1" x14ac:dyDescent="0.6">
      <c r="A13" s="2"/>
      <c r="B13" s="3">
        <v>16</v>
      </c>
      <c r="C13" s="3">
        <v>225</v>
      </c>
      <c r="D13" s="3">
        <v>257</v>
      </c>
      <c r="E13" s="3">
        <v>213</v>
      </c>
      <c r="F13" s="21"/>
      <c r="U13" t="s">
        <v>240</v>
      </c>
      <c r="V13" t="s">
        <v>241</v>
      </c>
    </row>
    <row r="14" spans="1:27" ht="14.7" thickBot="1" x14ac:dyDescent="0.6">
      <c r="A14" s="2"/>
      <c r="B14" s="3">
        <v>20</v>
      </c>
      <c r="C14" s="3">
        <v>116</v>
      </c>
      <c r="D14" s="3">
        <v>304</v>
      </c>
      <c r="E14" s="3">
        <v>201</v>
      </c>
      <c r="F14" s="21"/>
      <c r="U14" s="85"/>
      <c r="V14" s="85">
        <v>10030</v>
      </c>
    </row>
    <row r="15" spans="1:27" ht="14.7" thickBot="1" x14ac:dyDescent="0.6">
      <c r="A15" s="2"/>
      <c r="B15" s="2"/>
      <c r="C15" s="4"/>
      <c r="D15" s="4"/>
      <c r="E15" s="4"/>
      <c r="U15" s="85"/>
      <c r="V15" s="85"/>
    </row>
    <row r="16" spans="1:27" ht="14.7" thickBot="1" x14ac:dyDescent="0.6">
      <c r="A16" s="2"/>
      <c r="B16" s="2"/>
      <c r="C16" s="4"/>
      <c r="D16" s="4"/>
      <c r="E16" s="4"/>
      <c r="U16" s="85"/>
      <c r="V16" s="85"/>
    </row>
    <row r="17" spans="1:25" ht="25.8" thickBot="1" x14ac:dyDescent="0.6">
      <c r="A17" s="2" t="s">
        <v>100</v>
      </c>
      <c r="B17" s="4"/>
      <c r="C17" s="2" t="s">
        <v>101</v>
      </c>
      <c r="D17" s="4"/>
      <c r="E17" s="4"/>
      <c r="U17" s="85"/>
      <c r="V17" s="85"/>
    </row>
    <row r="18" spans="1:25" ht="14.7" thickBot="1" x14ac:dyDescent="0.6">
      <c r="A18" s="2" t="s">
        <v>94</v>
      </c>
      <c r="B18" s="4"/>
      <c r="C18" s="4"/>
      <c r="D18" s="4"/>
      <c r="E18" s="4"/>
      <c r="U18" s="85"/>
      <c r="V18" s="85"/>
    </row>
    <row r="19" spans="1:25" ht="14.7" thickBot="1" x14ac:dyDescent="0.6">
      <c r="A19" s="2" t="s">
        <v>95</v>
      </c>
      <c r="B19" s="4"/>
      <c r="C19" s="4"/>
      <c r="D19" s="4"/>
      <c r="E19" s="4"/>
      <c r="U19" s="85"/>
      <c r="V19" s="85"/>
    </row>
    <row r="20" spans="1:25" ht="25.8" thickBot="1" x14ac:dyDescent="0.6">
      <c r="A20" s="2" t="s">
        <v>96</v>
      </c>
      <c r="B20" s="4"/>
      <c r="C20" s="2" t="s">
        <v>35</v>
      </c>
      <c r="D20" s="2" t="s">
        <v>97</v>
      </c>
      <c r="E20" s="2" t="s">
        <v>98</v>
      </c>
      <c r="F20" s="73" t="s">
        <v>77</v>
      </c>
      <c r="T20" s="4"/>
      <c r="U20" s="2" t="s">
        <v>35</v>
      </c>
      <c r="V20" s="2" t="s">
        <v>33</v>
      </c>
      <c r="W20" s="2" t="s">
        <v>34</v>
      </c>
      <c r="X20" s="73" t="s">
        <v>118</v>
      </c>
    </row>
    <row r="21" spans="1:25" ht="14.7" thickBot="1" x14ac:dyDescent="0.6">
      <c r="A21" s="2" t="s">
        <v>99</v>
      </c>
      <c r="B21" s="3">
        <v>2</v>
      </c>
      <c r="C21" s="3">
        <v>465</v>
      </c>
      <c r="D21" s="3">
        <v>1014</v>
      </c>
      <c r="E21" s="20"/>
      <c r="U21" s="85"/>
      <c r="V21" s="85"/>
    </row>
    <row r="22" spans="1:25" ht="14.7" thickBot="1" x14ac:dyDescent="0.6">
      <c r="A22" s="7"/>
      <c r="B22" s="3">
        <v>4</v>
      </c>
      <c r="C22" s="3">
        <v>516</v>
      </c>
      <c r="D22" s="3">
        <v>623</v>
      </c>
      <c r="E22" s="20"/>
      <c r="U22" s="85"/>
      <c r="V22" s="85"/>
    </row>
    <row r="23" spans="1:25" ht="14.7" thickBot="1" x14ac:dyDescent="0.6">
      <c r="A23" s="7"/>
      <c r="B23" s="3">
        <v>6</v>
      </c>
      <c r="C23" s="3">
        <v>530</v>
      </c>
      <c r="D23" s="3">
        <v>713</v>
      </c>
      <c r="E23" s="3">
        <v>3930</v>
      </c>
    </row>
    <row r="24" spans="1:25" ht="15.6" thickBot="1" x14ac:dyDescent="0.6">
      <c r="A24" s="7"/>
      <c r="B24" s="27">
        <v>8</v>
      </c>
      <c r="C24" s="27">
        <v>484</v>
      </c>
      <c r="D24" s="27">
        <v>527</v>
      </c>
      <c r="E24" s="27">
        <v>2274</v>
      </c>
      <c r="S24">
        <v>1.8</v>
      </c>
      <c r="T24" s="3">
        <v>2</v>
      </c>
      <c r="U24" s="3">
        <v>296</v>
      </c>
      <c r="V24" s="3">
        <v>368</v>
      </c>
      <c r="W24" s="3">
        <v>2881</v>
      </c>
      <c r="X24" s="26">
        <v>959</v>
      </c>
    </row>
    <row r="25" spans="1:25" ht="15.6" thickBot="1" x14ac:dyDescent="0.6">
      <c r="A25" s="7"/>
      <c r="B25" s="3">
        <v>10</v>
      </c>
      <c r="C25" s="3">
        <v>440</v>
      </c>
      <c r="D25" s="3">
        <v>635</v>
      </c>
      <c r="E25" s="3">
        <v>1446</v>
      </c>
      <c r="S25">
        <v>2.39</v>
      </c>
      <c r="T25" s="3">
        <v>4</v>
      </c>
      <c r="U25" s="3">
        <v>303</v>
      </c>
      <c r="V25" s="3">
        <v>364</v>
      </c>
      <c r="W25" s="3">
        <v>1540</v>
      </c>
      <c r="X25" s="26">
        <v>895</v>
      </c>
    </row>
    <row r="26" spans="1:25" ht="14.7" thickBot="1" x14ac:dyDescent="0.6">
      <c r="A26" s="7"/>
      <c r="B26" s="27">
        <v>12</v>
      </c>
      <c r="C26" s="3">
        <v>324</v>
      </c>
      <c r="D26" s="3">
        <v>503</v>
      </c>
      <c r="E26" s="3">
        <v>840</v>
      </c>
      <c r="S26">
        <v>3.0649999999999999</v>
      </c>
      <c r="T26" s="3">
        <v>12</v>
      </c>
      <c r="U26" s="3">
        <v>217</v>
      </c>
      <c r="V26" s="3">
        <v>241</v>
      </c>
      <c r="W26" s="3">
        <v>254</v>
      </c>
      <c r="X26" s="3">
        <v>530</v>
      </c>
    </row>
    <row r="27" spans="1:25" ht="15.6" thickBot="1" x14ac:dyDescent="0.6">
      <c r="A27" s="7"/>
      <c r="B27" s="74">
        <v>14</v>
      </c>
      <c r="C27" s="3">
        <v>337</v>
      </c>
      <c r="D27" s="3">
        <v>2880</v>
      </c>
      <c r="E27" s="3">
        <v>587</v>
      </c>
      <c r="S27">
        <v>3.64</v>
      </c>
      <c r="T27" s="3">
        <v>10</v>
      </c>
      <c r="U27" s="3">
        <v>233</v>
      </c>
      <c r="V27" s="3">
        <v>326</v>
      </c>
      <c r="W27" s="3">
        <v>416</v>
      </c>
      <c r="X27" s="26">
        <v>540</v>
      </c>
    </row>
    <row r="28" spans="1:25" ht="14.7" thickBot="1" x14ac:dyDescent="0.6">
      <c r="A28" s="2"/>
      <c r="B28" s="3">
        <v>16</v>
      </c>
      <c r="C28" s="3">
        <v>302</v>
      </c>
      <c r="D28" s="3">
        <v>411</v>
      </c>
      <c r="E28" s="3">
        <v>349</v>
      </c>
      <c r="S28">
        <v>3.92</v>
      </c>
      <c r="T28" s="27">
        <v>8</v>
      </c>
      <c r="U28" s="27">
        <v>250</v>
      </c>
      <c r="V28" s="27">
        <v>336</v>
      </c>
      <c r="W28" s="27">
        <v>468</v>
      </c>
      <c r="X28" s="8">
        <v>620</v>
      </c>
    </row>
    <row r="29" spans="1:25" ht="14.7" thickBot="1" x14ac:dyDescent="0.6">
      <c r="A29" s="2"/>
      <c r="B29" s="3">
        <v>20</v>
      </c>
      <c r="C29" s="3">
        <v>276</v>
      </c>
      <c r="D29" s="3">
        <v>777</v>
      </c>
      <c r="E29" s="3">
        <v>282</v>
      </c>
      <c r="S29">
        <v>3.97</v>
      </c>
      <c r="T29" s="3">
        <v>16</v>
      </c>
      <c r="U29" s="3">
        <v>225</v>
      </c>
      <c r="V29" s="3">
        <v>257</v>
      </c>
      <c r="W29" s="3">
        <v>213</v>
      </c>
      <c r="X29" s="21"/>
      <c r="Y29" s="21"/>
    </row>
    <row r="30" spans="1:25" ht="14.7" thickBot="1" x14ac:dyDescent="0.6">
      <c r="S30">
        <v>6.0209999999999999</v>
      </c>
      <c r="T30" s="3">
        <v>14</v>
      </c>
      <c r="U30" s="3">
        <v>228</v>
      </c>
      <c r="V30" s="3">
        <v>597</v>
      </c>
      <c r="W30" s="3">
        <v>230</v>
      </c>
      <c r="X30" s="3">
        <v>914</v>
      </c>
    </row>
    <row r="34" spans="21:21" x14ac:dyDescent="0.55000000000000004">
      <c r="U34">
        <v>0</v>
      </c>
    </row>
    <row r="61" spans="11:11" x14ac:dyDescent="0.55000000000000004">
      <c r="K61" s="85"/>
    </row>
    <row r="63" spans="11:11" x14ac:dyDescent="0.55000000000000004">
      <c r="K63" s="85"/>
    </row>
    <row r="65" spans="11:17" x14ac:dyDescent="0.55000000000000004">
      <c r="K65" s="85"/>
    </row>
    <row r="66" spans="11:17" x14ac:dyDescent="0.55000000000000004">
      <c r="O66" s="85"/>
      <c r="Q66" s="85"/>
    </row>
    <row r="67" spans="11:17" x14ac:dyDescent="0.55000000000000004">
      <c r="K67" s="85"/>
      <c r="Q67" s="85"/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A40" workbookViewId="0">
      <selection activeCell="J32" sqref="J32"/>
    </sheetView>
  </sheetViews>
  <sheetFormatPr defaultRowHeight="14.4" x14ac:dyDescent="0.55000000000000004"/>
  <cols>
    <col min="6" max="6" width="12.15625" customWidth="1"/>
  </cols>
  <sheetData>
    <row r="1" spans="1:23" ht="25.8" thickBot="1" x14ac:dyDescent="0.6">
      <c r="A1" s="2"/>
      <c r="B1" s="2" t="s">
        <v>35</v>
      </c>
      <c r="C1" s="2" t="s">
        <v>118</v>
      </c>
      <c r="D1" s="2" t="s">
        <v>33</v>
      </c>
      <c r="E1" s="2" t="s">
        <v>120</v>
      </c>
      <c r="F1" s="2" t="s">
        <v>70</v>
      </c>
      <c r="G1" s="2"/>
      <c r="H1" s="2"/>
    </row>
    <row r="2" spans="1:23" ht="14.7" thickBot="1" x14ac:dyDescent="0.6">
      <c r="A2" s="3">
        <v>2003</v>
      </c>
      <c r="B2" s="3">
        <v>178</v>
      </c>
      <c r="C2" s="3">
        <v>108</v>
      </c>
      <c r="D2" s="3">
        <v>231</v>
      </c>
      <c r="E2" s="3">
        <v>129</v>
      </c>
      <c r="F2">
        <v>15.3375</v>
      </c>
      <c r="G2" s="2" t="s">
        <v>102</v>
      </c>
      <c r="H2" s="2">
        <v>7197</v>
      </c>
      <c r="I2" t="s">
        <v>116</v>
      </c>
    </row>
    <row r="3" spans="1:23" ht="14.7" thickBot="1" x14ac:dyDescent="0.6">
      <c r="A3" s="2" t="s">
        <v>103</v>
      </c>
      <c r="B3" s="3"/>
      <c r="C3" s="2"/>
      <c r="D3" s="4"/>
      <c r="E3" s="4"/>
      <c r="F3">
        <v>48.955599999999997</v>
      </c>
      <c r="G3" s="2" t="s">
        <v>102</v>
      </c>
      <c r="H3" s="4"/>
    </row>
    <row r="4" spans="1:23" ht="14.7" thickBot="1" x14ac:dyDescent="0.6">
      <c r="A4" s="2" t="s">
        <v>104</v>
      </c>
      <c r="B4" s="3"/>
      <c r="C4" s="2"/>
      <c r="D4" s="4"/>
      <c r="E4" s="4"/>
      <c r="F4">
        <v>97.751499999999993</v>
      </c>
      <c r="G4" s="2" t="s">
        <v>102</v>
      </c>
      <c r="H4" s="4"/>
    </row>
    <row r="5" spans="1:23" ht="14.7" thickBot="1" x14ac:dyDescent="0.6">
      <c r="A5" s="2" t="s">
        <v>105</v>
      </c>
      <c r="B5" s="3"/>
      <c r="C5" s="2"/>
      <c r="D5" s="4"/>
      <c r="E5" s="4"/>
      <c r="F5">
        <v>202.12610000000001</v>
      </c>
      <c r="G5" s="2" t="s">
        <v>102</v>
      </c>
      <c r="H5" s="4"/>
    </row>
    <row r="6" spans="1:23" ht="14.7" thickBot="1" x14ac:dyDescent="0.6">
      <c r="A6" s="2" t="s">
        <v>106</v>
      </c>
      <c r="B6" s="3">
        <v>225</v>
      </c>
      <c r="C6" s="3">
        <v>136</v>
      </c>
      <c r="D6" s="3">
        <v>301</v>
      </c>
      <c r="E6" s="3">
        <v>195</v>
      </c>
      <c r="F6">
        <v>434.92090000000002</v>
      </c>
      <c r="G6" s="2" t="s">
        <v>102</v>
      </c>
      <c r="H6" s="2">
        <v>4714</v>
      </c>
    </row>
    <row r="7" spans="1:23" ht="14.7" thickBot="1" x14ac:dyDescent="0.6">
      <c r="A7" s="2" t="s">
        <v>107</v>
      </c>
      <c r="B7" s="3"/>
      <c r="C7" s="70"/>
      <c r="D7" s="4"/>
      <c r="E7" s="4"/>
      <c r="F7">
        <v>911.01949999999999</v>
      </c>
      <c r="G7" s="2" t="s">
        <v>102</v>
      </c>
      <c r="H7" s="4"/>
    </row>
    <row r="8" spans="1:23" ht="14.7" thickBot="1" x14ac:dyDescent="0.6">
      <c r="A8" s="2" t="s">
        <v>108</v>
      </c>
      <c r="B8" s="3"/>
      <c r="C8" s="70"/>
      <c r="D8" s="4"/>
      <c r="E8" s="4"/>
      <c r="F8">
        <v>1538.8516</v>
      </c>
      <c r="G8" s="2" t="s">
        <v>102</v>
      </c>
      <c r="H8" s="4"/>
    </row>
    <row r="9" spans="1:23" ht="14.7" thickBot="1" x14ac:dyDescent="0.6">
      <c r="A9" s="2" t="s">
        <v>109</v>
      </c>
      <c r="B9" s="3"/>
      <c r="C9" s="70">
        <v>242</v>
      </c>
      <c r="D9" s="4"/>
      <c r="E9" s="4"/>
      <c r="F9">
        <v>2497.4688999999998</v>
      </c>
      <c r="G9" s="2" t="s">
        <v>102</v>
      </c>
      <c r="H9" s="4"/>
    </row>
    <row r="10" spans="1:23" ht="14.7" thickBot="1" x14ac:dyDescent="0.6">
      <c r="A10" s="2" t="s">
        <v>110</v>
      </c>
      <c r="B10" s="3">
        <v>320</v>
      </c>
      <c r="C10" s="71"/>
      <c r="D10" s="3">
        <v>255</v>
      </c>
      <c r="E10" s="3">
        <v>211</v>
      </c>
      <c r="F10">
        <v>4194.9956000000002</v>
      </c>
      <c r="G10" s="2" t="s">
        <v>102</v>
      </c>
      <c r="H10" s="2">
        <v>3090</v>
      </c>
    </row>
    <row r="11" spans="1:23" ht="14.7" thickBot="1" x14ac:dyDescent="0.6">
      <c r="A11" s="2" t="s">
        <v>111</v>
      </c>
      <c r="B11" s="3"/>
      <c r="C11" s="70"/>
      <c r="D11" s="4"/>
      <c r="E11" s="4"/>
      <c r="F11">
        <v>6791.6486000000004</v>
      </c>
      <c r="G11" s="2" t="s">
        <v>102</v>
      </c>
      <c r="H11" s="4"/>
      <c r="W11" s="2">
        <f>0.001/10*100</f>
        <v>0.01</v>
      </c>
    </row>
    <row r="12" spans="1:23" ht="14.7" thickBot="1" x14ac:dyDescent="0.6">
      <c r="A12" s="2" t="s">
        <v>112</v>
      </c>
      <c r="B12" s="3"/>
      <c r="C12" s="70"/>
      <c r="D12" s="4"/>
      <c r="E12" s="4"/>
      <c r="F12">
        <v>9878.7247000000007</v>
      </c>
      <c r="G12" s="2" t="s">
        <v>102</v>
      </c>
      <c r="H12" s="4"/>
      <c r="W12" s="2">
        <f>0.001/20*100</f>
        <v>5.0000000000000001E-3</v>
      </c>
    </row>
    <row r="13" spans="1:23" ht="14.7" thickBot="1" x14ac:dyDescent="0.6">
      <c r="A13" s="2" t="s">
        <v>113</v>
      </c>
      <c r="B13" s="3"/>
      <c r="C13" s="70"/>
      <c r="D13" s="4"/>
      <c r="E13" s="4"/>
      <c r="F13">
        <v>12921.753699999999</v>
      </c>
      <c r="G13" s="2" t="s">
        <v>119</v>
      </c>
      <c r="H13" s="4"/>
    </row>
    <row r="14" spans="1:23" ht="14.7" thickBot="1" x14ac:dyDescent="0.6">
      <c r="A14" s="2" t="s">
        <v>114</v>
      </c>
      <c r="B14" s="3">
        <v>486</v>
      </c>
      <c r="C14" s="69"/>
      <c r="D14" s="3">
        <v>521</v>
      </c>
      <c r="E14" s="3">
        <v>245</v>
      </c>
      <c r="F14">
        <v>8637.4614999999994</v>
      </c>
      <c r="G14" s="2" t="s">
        <v>115</v>
      </c>
      <c r="H14" s="2">
        <v>5321</v>
      </c>
    </row>
    <row r="16" spans="1:23" ht="14.7" thickBot="1" x14ac:dyDescent="0.6"/>
    <row r="17" spans="1:8" ht="25.8" thickBot="1" x14ac:dyDescent="0.6">
      <c r="A17" s="2"/>
      <c r="B17" s="2" t="s">
        <v>35</v>
      </c>
      <c r="C17" s="2" t="s">
        <v>118</v>
      </c>
      <c r="D17" s="2" t="s">
        <v>33</v>
      </c>
      <c r="E17" s="2" t="s">
        <v>120</v>
      </c>
      <c r="F17" s="2" t="s">
        <v>70</v>
      </c>
      <c r="G17" s="2"/>
      <c r="H17" s="2"/>
    </row>
    <row r="18" spans="1:8" ht="14.7" thickBot="1" x14ac:dyDescent="0.6">
      <c r="A18" s="3">
        <v>2003</v>
      </c>
      <c r="B18" s="3">
        <v>178</v>
      </c>
      <c r="C18" s="3">
        <v>108</v>
      </c>
      <c r="D18" s="3">
        <v>231</v>
      </c>
      <c r="E18" s="3">
        <v>129</v>
      </c>
      <c r="F18">
        <v>15.3375</v>
      </c>
      <c r="G18" s="2" t="s">
        <v>102</v>
      </c>
      <c r="H18" s="2">
        <v>7197</v>
      </c>
    </row>
    <row r="19" spans="1:8" ht="14.7" thickBot="1" x14ac:dyDescent="0.6">
      <c r="A19" s="2" t="s">
        <v>103</v>
      </c>
      <c r="B19" s="3">
        <v>172</v>
      </c>
      <c r="C19" s="2">
        <v>122</v>
      </c>
      <c r="D19" s="4">
        <f>3*60+58</f>
        <v>238</v>
      </c>
      <c r="E19" s="4">
        <v>102</v>
      </c>
      <c r="F19">
        <v>48.955599999999997</v>
      </c>
      <c r="G19" s="2" t="s">
        <v>102</v>
      </c>
      <c r="H19" s="4"/>
    </row>
    <row r="20" spans="1:8" ht="14.7" thickBot="1" x14ac:dyDescent="0.6">
      <c r="A20" s="2" t="s">
        <v>104</v>
      </c>
      <c r="B20" s="3">
        <v>171</v>
      </c>
      <c r="C20" s="2">
        <v>114</v>
      </c>
      <c r="D20" s="4">
        <f>3*60+58</f>
        <v>238</v>
      </c>
      <c r="E20" s="4">
        <v>96</v>
      </c>
      <c r="F20">
        <v>97.751499999999993</v>
      </c>
      <c r="G20" s="2" t="s">
        <v>102</v>
      </c>
      <c r="H20" s="4"/>
    </row>
    <row r="21" spans="1:8" ht="14.7" thickBot="1" x14ac:dyDescent="0.6">
      <c r="A21" s="2" t="s">
        <v>105</v>
      </c>
      <c r="B21" s="3">
        <v>213</v>
      </c>
      <c r="C21" s="2">
        <v>121</v>
      </c>
      <c r="D21" s="4">
        <v>242</v>
      </c>
      <c r="E21" s="4">
        <v>109</v>
      </c>
      <c r="F21">
        <v>202.12610000000001</v>
      </c>
      <c r="G21" s="2" t="s">
        <v>102</v>
      </c>
      <c r="H21" s="4"/>
    </row>
    <row r="22" spans="1:8" ht="14.7" thickBot="1" x14ac:dyDescent="0.6">
      <c r="A22" s="2" t="s">
        <v>106</v>
      </c>
      <c r="B22" s="3">
        <v>225</v>
      </c>
      <c r="C22" s="3">
        <v>136</v>
      </c>
      <c r="D22" s="3">
        <v>301</v>
      </c>
      <c r="E22" s="3">
        <v>122</v>
      </c>
      <c r="F22">
        <v>434.92090000000002</v>
      </c>
      <c r="G22" s="2" t="s">
        <v>102</v>
      </c>
      <c r="H22" s="2">
        <v>4714</v>
      </c>
    </row>
    <row r="23" spans="1:8" ht="14.7" thickBot="1" x14ac:dyDescent="0.6">
      <c r="A23" s="2" t="s">
        <v>107</v>
      </c>
      <c r="B23" s="3">
        <v>193</v>
      </c>
      <c r="C23" s="70">
        <v>157</v>
      </c>
      <c r="D23" s="4">
        <v>281</v>
      </c>
      <c r="E23" s="4">
        <v>135</v>
      </c>
      <c r="F23">
        <v>911.01949999999999</v>
      </c>
      <c r="G23" s="2" t="s">
        <v>102</v>
      </c>
      <c r="H23" s="4"/>
    </row>
    <row r="24" spans="1:8" ht="14.7" thickBot="1" x14ac:dyDescent="0.6">
      <c r="A24" s="2" t="s">
        <v>108</v>
      </c>
      <c r="B24" s="3">
        <v>195</v>
      </c>
      <c r="C24" s="70">
        <v>193</v>
      </c>
      <c r="D24" s="4">
        <v>276</v>
      </c>
      <c r="E24" s="4">
        <v>134</v>
      </c>
      <c r="F24">
        <v>1538.8516</v>
      </c>
      <c r="G24" s="2" t="s">
        <v>102</v>
      </c>
      <c r="H24" s="4"/>
    </row>
    <row r="25" spans="1:8" ht="14.7" thickBot="1" x14ac:dyDescent="0.6">
      <c r="A25" s="2" t="s">
        <v>109</v>
      </c>
      <c r="B25" s="3">
        <v>188</v>
      </c>
      <c r="C25" s="70">
        <v>242</v>
      </c>
      <c r="D25" s="4"/>
      <c r="E25" s="4">
        <v>137</v>
      </c>
      <c r="F25">
        <v>2497.4688999999998</v>
      </c>
      <c r="G25" s="2" t="s">
        <v>102</v>
      </c>
      <c r="H25" s="4"/>
    </row>
    <row r="26" spans="1:8" ht="14.7" thickBot="1" x14ac:dyDescent="0.6">
      <c r="A26" s="2" t="s">
        <v>110</v>
      </c>
      <c r="B26" s="3">
        <v>243</v>
      </c>
      <c r="C26" s="71"/>
      <c r="D26" s="3">
        <v>255</v>
      </c>
      <c r="E26" s="3">
        <v>127</v>
      </c>
      <c r="F26">
        <v>4194.9956000000002</v>
      </c>
      <c r="G26" s="2" t="s">
        <v>102</v>
      </c>
      <c r="H26" s="2">
        <v>3090</v>
      </c>
    </row>
    <row r="27" spans="1:8" ht="14.7" thickBot="1" x14ac:dyDescent="0.6">
      <c r="A27" s="2" t="s">
        <v>111</v>
      </c>
      <c r="B27" s="3">
        <v>275</v>
      </c>
      <c r="C27" s="70"/>
      <c r="D27" s="4"/>
      <c r="E27" s="4"/>
      <c r="F27">
        <v>6791.6486000000004</v>
      </c>
      <c r="G27" s="2" t="s">
        <v>102</v>
      </c>
      <c r="H27" s="4"/>
    </row>
    <row r="28" spans="1:8" ht="14.7" thickBot="1" x14ac:dyDescent="0.6">
      <c r="A28" s="2" t="s">
        <v>112</v>
      </c>
      <c r="B28" s="3">
        <v>281</v>
      </c>
      <c r="C28" s="70"/>
      <c r="D28" s="4"/>
      <c r="E28" s="4"/>
      <c r="F28">
        <v>9878.7247000000007</v>
      </c>
      <c r="G28" s="2" t="s">
        <v>102</v>
      </c>
      <c r="H28" s="4"/>
    </row>
    <row r="29" spans="1:8" ht="14.7" thickBot="1" x14ac:dyDescent="0.6">
      <c r="A29" s="2" t="s">
        <v>113</v>
      </c>
      <c r="B29" s="3">
        <v>344</v>
      </c>
      <c r="C29" s="70"/>
      <c r="D29" s="4"/>
      <c r="E29" s="4"/>
      <c r="F29">
        <v>12921.753699999999</v>
      </c>
      <c r="G29" s="2" t="s">
        <v>119</v>
      </c>
      <c r="H29" s="4"/>
    </row>
    <row r="30" spans="1:8" ht="14.7" thickBot="1" x14ac:dyDescent="0.6">
      <c r="A30" s="2" t="s">
        <v>114</v>
      </c>
      <c r="B30" s="3">
        <v>486</v>
      </c>
      <c r="C30" s="69"/>
      <c r="D30" s="3">
        <v>521</v>
      </c>
      <c r="E30" s="3">
        <v>245</v>
      </c>
      <c r="F30">
        <v>8637.4614999999994</v>
      </c>
      <c r="G30" s="2" t="s">
        <v>115</v>
      </c>
      <c r="H30" s="2">
        <v>5321</v>
      </c>
    </row>
    <row r="31" spans="1:8" ht="14.7" thickBot="1" x14ac:dyDescent="0.6">
      <c r="F31" s="28"/>
    </row>
    <row r="34" spans="1:8" ht="14.7" thickBot="1" x14ac:dyDescent="0.6"/>
    <row r="35" spans="1:8" ht="25.8" thickBot="1" x14ac:dyDescent="0.6">
      <c r="A35" s="2"/>
      <c r="B35" s="2" t="s">
        <v>35</v>
      </c>
      <c r="C35" s="2" t="s">
        <v>118</v>
      </c>
      <c r="D35" s="2" t="s">
        <v>33</v>
      </c>
      <c r="E35" s="2" t="s">
        <v>120</v>
      </c>
      <c r="F35" s="2" t="s">
        <v>70</v>
      </c>
      <c r="G35" s="2"/>
      <c r="H35" s="2"/>
    </row>
    <row r="36" spans="1:8" ht="25.8" thickBot="1" x14ac:dyDescent="0.6">
      <c r="A36" s="3" t="s">
        <v>365</v>
      </c>
      <c r="B36" s="3">
        <v>178</v>
      </c>
      <c r="C36" s="3">
        <v>108</v>
      </c>
      <c r="D36" s="3">
        <v>231</v>
      </c>
      <c r="E36" s="3">
        <v>129</v>
      </c>
      <c r="F36">
        <v>15.3375</v>
      </c>
      <c r="G36" s="2" t="s">
        <v>102</v>
      </c>
      <c r="H36" s="2">
        <v>7197</v>
      </c>
    </row>
    <row r="37" spans="1:8" ht="25.8" thickBot="1" x14ac:dyDescent="0.6">
      <c r="A37" s="3" t="s">
        <v>357</v>
      </c>
      <c r="B37" s="3">
        <v>172</v>
      </c>
      <c r="C37" s="2">
        <v>122</v>
      </c>
      <c r="D37" s="4">
        <f>3*60+58</f>
        <v>238</v>
      </c>
      <c r="E37" s="4">
        <v>102</v>
      </c>
      <c r="F37">
        <v>48.955599999999997</v>
      </c>
      <c r="G37" s="2"/>
      <c r="H37" s="2">
        <v>6013</v>
      </c>
    </row>
    <row r="38" spans="1:8" ht="14.7" thickBot="1" x14ac:dyDescent="0.6">
      <c r="A38" s="3" t="s">
        <v>358</v>
      </c>
      <c r="B38" s="3">
        <v>171</v>
      </c>
      <c r="C38" s="2">
        <v>114</v>
      </c>
      <c r="D38" s="4">
        <f>3*60+58</f>
        <v>238</v>
      </c>
      <c r="E38" s="4">
        <v>96</v>
      </c>
      <c r="F38">
        <v>97.751499999999993</v>
      </c>
      <c r="G38" s="2"/>
      <c r="H38" s="2">
        <v>5268</v>
      </c>
    </row>
    <row r="39" spans="1:8" ht="25.8" thickBot="1" x14ac:dyDescent="0.6">
      <c r="A39" s="3" t="s">
        <v>359</v>
      </c>
      <c r="B39" s="3">
        <v>213</v>
      </c>
      <c r="C39" s="2">
        <v>121</v>
      </c>
      <c r="D39" s="4">
        <v>242</v>
      </c>
      <c r="E39" s="4">
        <v>109</v>
      </c>
      <c r="F39">
        <v>202.12610000000001</v>
      </c>
      <c r="G39" s="2"/>
      <c r="H39" s="2">
        <v>5084</v>
      </c>
    </row>
    <row r="40" spans="1:8" ht="25.8" thickBot="1" x14ac:dyDescent="0.6">
      <c r="A40" s="2" t="s">
        <v>360</v>
      </c>
      <c r="B40" s="3">
        <v>225</v>
      </c>
      <c r="C40" s="3">
        <v>136</v>
      </c>
      <c r="D40" s="3">
        <v>301</v>
      </c>
      <c r="E40" s="3">
        <v>122</v>
      </c>
      <c r="F40">
        <v>434.92090000000002</v>
      </c>
      <c r="G40" s="2" t="s">
        <v>102</v>
      </c>
      <c r="H40" s="2">
        <v>4714</v>
      </c>
    </row>
    <row r="41" spans="1:8" ht="25.8" thickBot="1" x14ac:dyDescent="0.6">
      <c r="A41" s="3" t="s">
        <v>361</v>
      </c>
      <c r="B41" s="3">
        <v>193</v>
      </c>
      <c r="C41" s="70">
        <v>157</v>
      </c>
      <c r="D41" s="4">
        <v>281</v>
      </c>
      <c r="E41" s="4">
        <v>135</v>
      </c>
      <c r="F41">
        <v>911.01949999999999</v>
      </c>
      <c r="G41" s="2"/>
      <c r="H41" s="2">
        <v>4099</v>
      </c>
    </row>
    <row r="42" spans="1:8" ht="14.7" thickBot="1" x14ac:dyDescent="0.6">
      <c r="A42" s="3" t="s">
        <v>362</v>
      </c>
      <c r="B42" s="3">
        <v>195</v>
      </c>
      <c r="C42" s="70">
        <v>193</v>
      </c>
      <c r="D42" s="4">
        <v>276</v>
      </c>
      <c r="E42" s="4">
        <v>134</v>
      </c>
      <c r="F42">
        <v>1538.8516</v>
      </c>
      <c r="G42" s="2"/>
      <c r="H42" s="2">
        <v>3766</v>
      </c>
    </row>
    <row r="43" spans="1:8" ht="25.8" thickBot="1" x14ac:dyDescent="0.6">
      <c r="A43" s="3" t="s">
        <v>363</v>
      </c>
      <c r="B43" s="3">
        <v>188</v>
      </c>
      <c r="C43" s="70">
        <v>242</v>
      </c>
      <c r="D43" s="4">
        <v>275</v>
      </c>
      <c r="E43" s="4">
        <v>137</v>
      </c>
      <c r="F43">
        <v>2497.4688999999998</v>
      </c>
      <c r="G43" s="2" t="s">
        <v>102</v>
      </c>
      <c r="H43" s="4">
        <v>3402</v>
      </c>
    </row>
    <row r="44" spans="1:8" ht="25.8" thickBot="1" x14ac:dyDescent="0.6">
      <c r="A44" s="2" t="s">
        <v>364</v>
      </c>
      <c r="B44" s="3">
        <v>243</v>
      </c>
      <c r="C44" s="71"/>
      <c r="D44" s="3">
        <v>255</v>
      </c>
      <c r="E44" s="3">
        <v>127</v>
      </c>
      <c r="F44">
        <v>4194.9956000000002</v>
      </c>
      <c r="G44" s="2" t="s">
        <v>102</v>
      </c>
      <c r="H44" s="2">
        <v>3090</v>
      </c>
    </row>
    <row r="45" spans="1:8" ht="14.7" thickBot="1" x14ac:dyDescent="0.6">
      <c r="A45" s="2"/>
      <c r="B45" s="3"/>
      <c r="C45" s="69"/>
      <c r="D45" s="3"/>
      <c r="E45" s="3"/>
      <c r="G45" s="2"/>
      <c r="H45" s="2"/>
    </row>
    <row r="47" spans="1:8" x14ac:dyDescent="0.55000000000000004">
      <c r="C47" t="s">
        <v>321</v>
      </c>
    </row>
    <row r="48" spans="1:8" x14ac:dyDescent="0.55000000000000004">
      <c r="C48" t="s">
        <v>322</v>
      </c>
    </row>
    <row r="49" spans="1:8" ht="14.7" thickBot="1" x14ac:dyDescent="0.6"/>
    <row r="50" spans="1:8" ht="25.8" thickBot="1" x14ac:dyDescent="0.6">
      <c r="A50" s="2"/>
      <c r="B50" s="2" t="s">
        <v>35</v>
      </c>
      <c r="C50" s="2" t="s">
        <v>118</v>
      </c>
      <c r="D50" s="2" t="s">
        <v>33</v>
      </c>
      <c r="E50" s="2" t="s">
        <v>120</v>
      </c>
      <c r="F50" s="2" t="s">
        <v>70</v>
      </c>
      <c r="G50" s="2"/>
      <c r="H50" s="2"/>
    </row>
    <row r="51" spans="1:8" ht="14.7" thickBot="1" x14ac:dyDescent="0.6">
      <c r="A51" s="3">
        <v>2003</v>
      </c>
      <c r="B51" s="3">
        <v>178</v>
      </c>
      <c r="C51" s="3">
        <v>108</v>
      </c>
      <c r="D51" s="3">
        <v>231</v>
      </c>
      <c r="E51" s="3">
        <v>129</v>
      </c>
      <c r="F51">
        <v>15.3375</v>
      </c>
      <c r="G51" s="2" t="s">
        <v>102</v>
      </c>
      <c r="H51" s="2">
        <v>7197</v>
      </c>
    </row>
    <row r="52" spans="1:8" ht="14.7" thickBot="1" x14ac:dyDescent="0.6">
      <c r="A52" s="2">
        <v>2004</v>
      </c>
      <c r="B52" s="3">
        <v>225</v>
      </c>
      <c r="C52" s="3">
        <v>136</v>
      </c>
      <c r="D52" s="3">
        <v>301</v>
      </c>
      <c r="E52" s="3">
        <v>195</v>
      </c>
      <c r="F52">
        <v>434.92090000000002</v>
      </c>
      <c r="G52" s="2" t="s">
        <v>102</v>
      </c>
      <c r="H52" s="2">
        <v>4714</v>
      </c>
    </row>
    <row r="53" spans="1:8" ht="14.7" thickBot="1" x14ac:dyDescent="0.6">
      <c r="A53" s="2">
        <v>2004.5</v>
      </c>
      <c r="B53" s="3">
        <v>225</v>
      </c>
      <c r="C53" s="3">
        <v>136</v>
      </c>
      <c r="D53" s="3">
        <v>301</v>
      </c>
      <c r="E53" s="3">
        <v>195</v>
      </c>
      <c r="F53">
        <v>434.92090000000002</v>
      </c>
      <c r="G53" s="2" t="s">
        <v>102</v>
      </c>
      <c r="H53" s="2">
        <v>4714</v>
      </c>
    </row>
    <row r="54" spans="1:8" ht="14.7" thickBot="1" x14ac:dyDescent="0.6">
      <c r="A54" s="2">
        <v>2004.75</v>
      </c>
      <c r="B54" s="3"/>
      <c r="C54" s="70">
        <v>242</v>
      </c>
      <c r="D54" s="4"/>
      <c r="E54" s="4"/>
      <c r="F54">
        <v>2497.4688999999998</v>
      </c>
      <c r="G54" s="2" t="s">
        <v>102</v>
      </c>
      <c r="H54" s="4"/>
    </row>
    <row r="55" spans="1:8" ht="14.7" thickBot="1" x14ac:dyDescent="0.6">
      <c r="A55" s="2">
        <v>2005</v>
      </c>
      <c r="B55" s="3">
        <v>320</v>
      </c>
      <c r="C55" s="71"/>
      <c r="D55" s="3">
        <v>255</v>
      </c>
      <c r="E55" s="3">
        <v>211</v>
      </c>
      <c r="F55">
        <v>4194.9956000000002</v>
      </c>
      <c r="G55" s="2" t="s">
        <v>102</v>
      </c>
      <c r="H55" s="2">
        <v>3090</v>
      </c>
    </row>
    <row r="56" spans="1:8" ht="14.7" thickBot="1" x14ac:dyDescent="0.6">
      <c r="A56" s="2"/>
      <c r="B56" s="3"/>
      <c r="C56" s="69"/>
      <c r="D56" s="3"/>
      <c r="E56" s="3"/>
      <c r="G56" s="2"/>
      <c r="H56" s="2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workbookViewId="0">
      <selection activeCell="H57" sqref="H57"/>
    </sheetView>
  </sheetViews>
  <sheetFormatPr defaultRowHeight="14.4" x14ac:dyDescent="0.55000000000000004"/>
  <cols>
    <col min="6" max="6" width="12.15625" customWidth="1"/>
  </cols>
  <sheetData>
    <row r="1" spans="1:23" ht="25.8" thickBot="1" x14ac:dyDescent="0.6">
      <c r="A1" s="2"/>
      <c r="B1" s="2" t="s">
        <v>35</v>
      </c>
      <c r="C1" s="2" t="s">
        <v>118</v>
      </c>
      <c r="D1" s="2" t="s">
        <v>33</v>
      </c>
      <c r="E1" s="2" t="s">
        <v>120</v>
      </c>
      <c r="F1" s="2" t="s">
        <v>70</v>
      </c>
      <c r="G1" s="2"/>
      <c r="H1" s="2"/>
    </row>
    <row r="2" spans="1:23" ht="14.7" thickBot="1" x14ac:dyDescent="0.6">
      <c r="A2" s="3">
        <v>2003</v>
      </c>
      <c r="B2" s="3">
        <v>178</v>
      </c>
      <c r="C2" s="3">
        <v>108</v>
      </c>
      <c r="D2" s="3">
        <v>231</v>
      </c>
      <c r="E2" s="3">
        <v>129</v>
      </c>
      <c r="F2">
        <v>15.3375</v>
      </c>
      <c r="G2" s="2" t="s">
        <v>102</v>
      </c>
      <c r="H2" s="2">
        <v>7197</v>
      </c>
      <c r="I2" t="s">
        <v>116</v>
      </c>
    </row>
    <row r="3" spans="1:23" ht="14.7" thickBot="1" x14ac:dyDescent="0.6">
      <c r="A3" s="2" t="s">
        <v>103</v>
      </c>
      <c r="B3" s="3"/>
      <c r="C3" s="2"/>
      <c r="D3" s="4"/>
      <c r="E3" s="4"/>
      <c r="F3">
        <v>48.955599999999997</v>
      </c>
      <c r="G3" s="2" t="s">
        <v>102</v>
      </c>
      <c r="H3" s="4"/>
    </row>
    <row r="4" spans="1:23" ht="14.7" thickBot="1" x14ac:dyDescent="0.6">
      <c r="A4" s="2" t="s">
        <v>104</v>
      </c>
      <c r="B4" s="3"/>
      <c r="C4" s="2"/>
      <c r="D4" s="4"/>
      <c r="E4" s="4"/>
      <c r="F4">
        <v>97.751499999999993</v>
      </c>
      <c r="G4" s="2" t="s">
        <v>102</v>
      </c>
      <c r="H4" s="4"/>
    </row>
    <row r="5" spans="1:23" ht="14.7" thickBot="1" x14ac:dyDescent="0.6">
      <c r="A5" s="2" t="s">
        <v>105</v>
      </c>
      <c r="B5" s="3"/>
      <c r="C5" s="2"/>
      <c r="D5" s="4"/>
      <c r="E5" s="4"/>
      <c r="F5">
        <v>202.12610000000001</v>
      </c>
      <c r="G5" s="2" t="s">
        <v>102</v>
      </c>
      <c r="H5" s="4"/>
    </row>
    <row r="6" spans="1:23" ht="14.7" thickBot="1" x14ac:dyDescent="0.6">
      <c r="A6" s="2" t="s">
        <v>106</v>
      </c>
      <c r="B6" s="3">
        <v>225</v>
      </c>
      <c r="C6" s="3">
        <v>136</v>
      </c>
      <c r="D6" s="3">
        <v>301</v>
      </c>
      <c r="E6" s="3">
        <v>195</v>
      </c>
      <c r="F6">
        <v>434.92090000000002</v>
      </c>
      <c r="G6" s="2" t="s">
        <v>102</v>
      </c>
      <c r="H6" s="2">
        <v>4714</v>
      </c>
    </row>
    <row r="7" spans="1:23" ht="14.7" thickBot="1" x14ac:dyDescent="0.6">
      <c r="A7" s="2" t="s">
        <v>107</v>
      </c>
      <c r="B7" s="3"/>
      <c r="C7" s="70"/>
      <c r="D7" s="4"/>
      <c r="E7" s="4"/>
      <c r="F7">
        <v>911.01949999999999</v>
      </c>
      <c r="G7" s="2" t="s">
        <v>102</v>
      </c>
      <c r="H7" s="4"/>
    </row>
    <row r="8" spans="1:23" ht="14.7" thickBot="1" x14ac:dyDescent="0.6">
      <c r="A8" s="2" t="s">
        <v>108</v>
      </c>
      <c r="B8" s="3"/>
      <c r="C8" s="70"/>
      <c r="D8" s="4"/>
      <c r="E8" s="4"/>
      <c r="F8">
        <v>1538.8516</v>
      </c>
      <c r="G8" s="2" t="s">
        <v>102</v>
      </c>
      <c r="H8" s="4"/>
    </row>
    <row r="9" spans="1:23" ht="14.7" thickBot="1" x14ac:dyDescent="0.6">
      <c r="A9" s="2" t="s">
        <v>109</v>
      </c>
      <c r="B9" s="3"/>
      <c r="C9" s="70">
        <v>242</v>
      </c>
      <c r="D9" s="4"/>
      <c r="E9" s="4"/>
      <c r="F9">
        <v>2497.4688999999998</v>
      </c>
      <c r="G9" s="2" t="s">
        <v>102</v>
      </c>
      <c r="H9" s="4"/>
    </row>
    <row r="10" spans="1:23" ht="14.7" thickBot="1" x14ac:dyDescent="0.6">
      <c r="A10" s="2" t="s">
        <v>110</v>
      </c>
      <c r="B10" s="3">
        <v>320</v>
      </c>
      <c r="C10" s="71"/>
      <c r="D10" s="3">
        <v>255</v>
      </c>
      <c r="E10" s="3">
        <v>211</v>
      </c>
      <c r="F10">
        <v>4194.9956000000002</v>
      </c>
      <c r="G10" s="2" t="s">
        <v>102</v>
      </c>
      <c r="H10" s="2">
        <v>3090</v>
      </c>
    </row>
    <row r="11" spans="1:23" ht="14.7" thickBot="1" x14ac:dyDescent="0.6">
      <c r="A11" s="2" t="s">
        <v>111</v>
      </c>
      <c r="B11" s="3"/>
      <c r="C11" s="70"/>
      <c r="D11" s="4"/>
      <c r="E11" s="4"/>
      <c r="F11">
        <v>6791.6486000000004</v>
      </c>
      <c r="G11" s="2" t="s">
        <v>102</v>
      </c>
      <c r="H11" s="4"/>
      <c r="W11" s="2">
        <f>0.001/10*100</f>
        <v>0.01</v>
      </c>
    </row>
    <row r="12" spans="1:23" ht="14.7" thickBot="1" x14ac:dyDescent="0.6">
      <c r="A12" s="2" t="s">
        <v>112</v>
      </c>
      <c r="B12" s="3"/>
      <c r="C12" s="70"/>
      <c r="D12" s="4"/>
      <c r="E12" s="4"/>
      <c r="F12">
        <v>9878.7247000000007</v>
      </c>
      <c r="G12" s="2" t="s">
        <v>102</v>
      </c>
      <c r="H12" s="4"/>
      <c r="W12" s="2">
        <f>0.001/20*100</f>
        <v>5.0000000000000001E-3</v>
      </c>
    </row>
    <row r="13" spans="1:23" ht="14.7" thickBot="1" x14ac:dyDescent="0.6">
      <c r="A13" s="2" t="s">
        <v>113</v>
      </c>
      <c r="B13" s="3"/>
      <c r="C13" s="70"/>
      <c r="D13" s="4"/>
      <c r="E13" s="4"/>
      <c r="F13">
        <v>12921.753699999999</v>
      </c>
      <c r="G13" s="2" t="s">
        <v>119</v>
      </c>
      <c r="H13" s="4"/>
    </row>
    <row r="14" spans="1:23" ht="14.7" thickBot="1" x14ac:dyDescent="0.6">
      <c r="A14" s="2" t="s">
        <v>114</v>
      </c>
      <c r="B14" s="3">
        <v>486</v>
      </c>
      <c r="C14" s="69"/>
      <c r="D14" s="3">
        <v>521</v>
      </c>
      <c r="E14" s="3">
        <v>245</v>
      </c>
      <c r="F14">
        <v>8637.4614999999994</v>
      </c>
      <c r="G14" s="2" t="s">
        <v>115</v>
      </c>
      <c r="H14" s="2">
        <v>5321</v>
      </c>
    </row>
    <row r="16" spans="1:23" ht="14.7" thickBot="1" x14ac:dyDescent="0.6"/>
    <row r="17" spans="1:8" ht="25.8" thickBot="1" x14ac:dyDescent="0.6">
      <c r="A17" s="2"/>
      <c r="B17" s="2" t="s">
        <v>35</v>
      </c>
      <c r="C17" s="2" t="s">
        <v>118</v>
      </c>
      <c r="D17" s="2" t="s">
        <v>33</v>
      </c>
      <c r="E17" s="2" t="s">
        <v>120</v>
      </c>
      <c r="F17" s="2" t="s">
        <v>70</v>
      </c>
      <c r="G17" s="2"/>
      <c r="H17" s="2"/>
    </row>
    <row r="18" spans="1:8" ht="14.7" thickBot="1" x14ac:dyDescent="0.6">
      <c r="A18" s="3">
        <v>2003</v>
      </c>
      <c r="B18" s="3">
        <v>178</v>
      </c>
      <c r="C18" s="3">
        <v>108</v>
      </c>
      <c r="D18" s="3">
        <v>231</v>
      </c>
      <c r="E18" s="3">
        <v>129</v>
      </c>
      <c r="F18">
        <v>15.3375</v>
      </c>
      <c r="G18" s="2" t="s">
        <v>102</v>
      </c>
      <c r="H18" s="2">
        <v>7197</v>
      </c>
    </row>
    <row r="19" spans="1:8" ht="14.7" thickBot="1" x14ac:dyDescent="0.6">
      <c r="A19" s="2" t="s">
        <v>103</v>
      </c>
      <c r="B19" s="3">
        <v>172</v>
      </c>
      <c r="C19" s="2">
        <v>122</v>
      </c>
      <c r="D19" s="4">
        <f>3*60+58</f>
        <v>238</v>
      </c>
      <c r="E19" s="4">
        <v>102</v>
      </c>
      <c r="F19">
        <v>48.955599999999997</v>
      </c>
      <c r="G19" s="2" t="s">
        <v>102</v>
      </c>
      <c r="H19" s="4"/>
    </row>
    <row r="20" spans="1:8" ht="14.7" thickBot="1" x14ac:dyDescent="0.6">
      <c r="A20" s="2" t="s">
        <v>104</v>
      </c>
      <c r="B20" s="3">
        <v>171</v>
      </c>
      <c r="C20" s="2">
        <v>114</v>
      </c>
      <c r="D20" s="4">
        <f>3*60+58</f>
        <v>238</v>
      </c>
      <c r="E20" s="4">
        <v>96</v>
      </c>
      <c r="F20">
        <v>97.751499999999993</v>
      </c>
      <c r="G20" s="2" t="s">
        <v>102</v>
      </c>
      <c r="H20" s="4"/>
    </row>
    <row r="21" spans="1:8" ht="14.7" thickBot="1" x14ac:dyDescent="0.6">
      <c r="A21" s="2" t="s">
        <v>105</v>
      </c>
      <c r="B21" s="3">
        <v>213</v>
      </c>
      <c r="C21" s="2">
        <v>121</v>
      </c>
      <c r="D21" s="4">
        <v>242</v>
      </c>
      <c r="E21" s="4">
        <v>109</v>
      </c>
      <c r="F21">
        <v>202.12610000000001</v>
      </c>
      <c r="G21" s="2" t="s">
        <v>102</v>
      </c>
      <c r="H21" s="4"/>
    </row>
    <row r="22" spans="1:8" ht="14.7" thickBot="1" x14ac:dyDescent="0.6">
      <c r="A22" s="2" t="s">
        <v>106</v>
      </c>
      <c r="B22" s="3">
        <v>225</v>
      </c>
      <c r="C22" s="3">
        <v>136</v>
      </c>
      <c r="D22" s="3">
        <v>301</v>
      </c>
      <c r="E22" s="3">
        <v>122</v>
      </c>
      <c r="F22">
        <v>434.92090000000002</v>
      </c>
      <c r="G22" s="2" t="s">
        <v>102</v>
      </c>
      <c r="H22" s="2">
        <v>4714</v>
      </c>
    </row>
    <row r="23" spans="1:8" ht="14.7" thickBot="1" x14ac:dyDescent="0.6">
      <c r="A23" s="2" t="s">
        <v>107</v>
      </c>
      <c r="B23" s="3">
        <v>193</v>
      </c>
      <c r="C23" s="70">
        <v>157</v>
      </c>
      <c r="D23" s="4">
        <v>281</v>
      </c>
      <c r="E23" s="4">
        <v>135</v>
      </c>
      <c r="F23">
        <v>911.01949999999999</v>
      </c>
      <c r="G23" s="2" t="s">
        <v>102</v>
      </c>
      <c r="H23" s="4"/>
    </row>
    <row r="24" spans="1:8" ht="14.7" thickBot="1" x14ac:dyDescent="0.6">
      <c r="A24" s="2" t="s">
        <v>108</v>
      </c>
      <c r="B24" s="3">
        <v>195</v>
      </c>
      <c r="C24" s="70">
        <v>193</v>
      </c>
      <c r="D24" s="4">
        <v>276</v>
      </c>
      <c r="E24" s="4">
        <v>134</v>
      </c>
      <c r="F24">
        <v>1538.8516</v>
      </c>
      <c r="G24" s="2" t="s">
        <v>102</v>
      </c>
      <c r="H24" s="4"/>
    </row>
    <row r="25" spans="1:8" ht="14.7" thickBot="1" x14ac:dyDescent="0.6">
      <c r="A25" s="2" t="s">
        <v>109</v>
      </c>
      <c r="B25" s="3">
        <v>188</v>
      </c>
      <c r="C25" s="70">
        <v>242</v>
      </c>
      <c r="D25" s="4"/>
      <c r="E25" s="4">
        <v>137</v>
      </c>
      <c r="F25">
        <v>2497.4688999999998</v>
      </c>
      <c r="G25" s="2" t="s">
        <v>102</v>
      </c>
      <c r="H25" s="4"/>
    </row>
    <row r="26" spans="1:8" ht="14.7" thickBot="1" x14ac:dyDescent="0.6">
      <c r="A26" s="2" t="s">
        <v>110</v>
      </c>
      <c r="B26" s="3">
        <v>243</v>
      </c>
      <c r="C26" s="71"/>
      <c r="D26" s="3">
        <v>255</v>
      </c>
      <c r="E26" s="3">
        <v>127</v>
      </c>
      <c r="F26">
        <v>4194.9956000000002</v>
      </c>
      <c r="G26" s="2" t="s">
        <v>102</v>
      </c>
      <c r="H26" s="2">
        <v>3090</v>
      </c>
    </row>
    <row r="27" spans="1:8" ht="14.7" thickBot="1" x14ac:dyDescent="0.6">
      <c r="A27" s="2" t="s">
        <v>111</v>
      </c>
      <c r="B27" s="3">
        <v>275</v>
      </c>
      <c r="C27" s="70"/>
      <c r="D27" s="4"/>
      <c r="E27" s="4"/>
      <c r="F27">
        <v>6791.6486000000004</v>
      </c>
      <c r="G27" s="2" t="s">
        <v>102</v>
      </c>
      <c r="H27" s="4"/>
    </row>
    <row r="28" spans="1:8" ht="14.7" thickBot="1" x14ac:dyDescent="0.6">
      <c r="A28" s="2" t="s">
        <v>112</v>
      </c>
      <c r="B28" s="3">
        <v>281</v>
      </c>
      <c r="C28" s="70"/>
      <c r="D28" s="4"/>
      <c r="E28" s="4"/>
      <c r="F28">
        <v>9878.7247000000007</v>
      </c>
      <c r="G28" s="2" t="s">
        <v>102</v>
      </c>
      <c r="H28" s="4"/>
    </row>
    <row r="29" spans="1:8" ht="14.7" thickBot="1" x14ac:dyDescent="0.6">
      <c r="A29" s="2" t="s">
        <v>113</v>
      </c>
      <c r="B29" s="3">
        <v>344</v>
      </c>
      <c r="C29" s="70"/>
      <c r="D29" s="4"/>
      <c r="E29" s="4"/>
      <c r="F29">
        <v>12921.753699999999</v>
      </c>
      <c r="G29" s="2" t="s">
        <v>119</v>
      </c>
      <c r="H29" s="4"/>
    </row>
    <row r="30" spans="1:8" ht="14.7" thickBot="1" x14ac:dyDescent="0.6">
      <c r="A30" s="2" t="s">
        <v>114</v>
      </c>
      <c r="B30" s="3">
        <v>486</v>
      </c>
      <c r="C30" s="69"/>
      <c r="D30" s="3">
        <v>521</v>
      </c>
      <c r="E30" s="3">
        <v>245</v>
      </c>
      <c r="F30">
        <v>8637.4614999999994</v>
      </c>
      <c r="G30" s="2" t="s">
        <v>115</v>
      </c>
      <c r="H30" s="2">
        <v>5321</v>
      </c>
    </row>
    <row r="31" spans="1:8" ht="14.7" thickBot="1" x14ac:dyDescent="0.6">
      <c r="F31" s="28"/>
    </row>
    <row r="34" spans="1:8" ht="14.7" thickBot="1" x14ac:dyDescent="0.6"/>
    <row r="35" spans="1:8" ht="25.8" thickBot="1" x14ac:dyDescent="0.6">
      <c r="A35" s="2"/>
      <c r="B35" s="2" t="s">
        <v>35</v>
      </c>
      <c r="C35" s="2" t="s">
        <v>118</v>
      </c>
      <c r="D35" s="2" t="s">
        <v>33</v>
      </c>
      <c r="E35" s="2" t="s">
        <v>120</v>
      </c>
      <c r="F35" s="2" t="s">
        <v>70</v>
      </c>
      <c r="G35" s="2"/>
      <c r="H35" s="2"/>
    </row>
    <row r="36" spans="1:8" ht="25.8" thickBot="1" x14ac:dyDescent="0.6">
      <c r="A36" s="3" t="s">
        <v>365</v>
      </c>
      <c r="B36" s="3">
        <v>178</v>
      </c>
      <c r="C36" s="3">
        <v>108</v>
      </c>
      <c r="D36" s="3">
        <v>231</v>
      </c>
      <c r="E36" s="3">
        <v>129</v>
      </c>
      <c r="F36">
        <v>15.3375</v>
      </c>
      <c r="G36" s="2" t="s">
        <v>102</v>
      </c>
      <c r="H36" s="2">
        <v>7197</v>
      </c>
    </row>
    <row r="37" spans="1:8" ht="25.8" thickBot="1" x14ac:dyDescent="0.6">
      <c r="A37" s="3" t="s">
        <v>357</v>
      </c>
      <c r="B37" s="3">
        <v>172</v>
      </c>
      <c r="C37" s="2">
        <v>122</v>
      </c>
      <c r="D37" s="4">
        <f>3*60+58</f>
        <v>238</v>
      </c>
      <c r="E37" s="4">
        <v>102</v>
      </c>
      <c r="G37" s="2"/>
      <c r="H37" s="2"/>
    </row>
    <row r="38" spans="1:8" ht="14.7" thickBot="1" x14ac:dyDescent="0.6">
      <c r="A38" s="3" t="s">
        <v>358</v>
      </c>
      <c r="B38" s="3">
        <v>171</v>
      </c>
      <c r="C38" s="2">
        <v>114</v>
      </c>
      <c r="D38" s="4">
        <f>3*60+58</f>
        <v>238</v>
      </c>
      <c r="E38" s="4">
        <v>96</v>
      </c>
      <c r="G38" s="2"/>
      <c r="H38" s="2"/>
    </row>
    <row r="39" spans="1:8" ht="25.8" thickBot="1" x14ac:dyDescent="0.6">
      <c r="A39" s="3" t="s">
        <v>359</v>
      </c>
      <c r="B39" s="3">
        <v>213</v>
      </c>
      <c r="C39" s="2">
        <v>121</v>
      </c>
      <c r="D39" s="4">
        <v>242</v>
      </c>
      <c r="E39" s="4">
        <v>109</v>
      </c>
      <c r="G39" s="2"/>
      <c r="H39" s="2"/>
    </row>
    <row r="40" spans="1:8" ht="25.8" thickBot="1" x14ac:dyDescent="0.6">
      <c r="A40" s="2" t="s">
        <v>360</v>
      </c>
      <c r="B40" s="3">
        <v>225</v>
      </c>
      <c r="C40" s="3">
        <v>136</v>
      </c>
      <c r="D40" s="3">
        <v>301</v>
      </c>
      <c r="E40" s="3">
        <v>122</v>
      </c>
      <c r="F40">
        <v>434.92090000000002</v>
      </c>
      <c r="G40" s="2" t="s">
        <v>102</v>
      </c>
      <c r="H40" s="2">
        <v>4714</v>
      </c>
    </row>
    <row r="41" spans="1:8" ht="25.8" thickBot="1" x14ac:dyDescent="0.6">
      <c r="A41" s="3" t="s">
        <v>361</v>
      </c>
      <c r="B41" s="3">
        <v>193</v>
      </c>
      <c r="C41" s="70">
        <v>157</v>
      </c>
      <c r="D41" s="4">
        <v>281</v>
      </c>
      <c r="E41" s="4">
        <v>135</v>
      </c>
      <c r="G41" s="2"/>
      <c r="H41" s="2"/>
    </row>
    <row r="42" spans="1:8" ht="14.7" thickBot="1" x14ac:dyDescent="0.6">
      <c r="A42" s="3" t="s">
        <v>362</v>
      </c>
      <c r="B42" s="3">
        <v>195</v>
      </c>
      <c r="C42" s="70">
        <v>193</v>
      </c>
      <c r="D42" s="4">
        <v>276</v>
      </c>
      <c r="E42" s="4">
        <v>134</v>
      </c>
      <c r="G42" s="2"/>
      <c r="H42" s="2"/>
    </row>
    <row r="43" spans="1:8" ht="25.8" thickBot="1" x14ac:dyDescent="0.6">
      <c r="A43" s="3" t="s">
        <v>363</v>
      </c>
      <c r="B43" s="3">
        <v>188</v>
      </c>
      <c r="C43" s="70">
        <v>242</v>
      </c>
      <c r="D43" s="4">
        <v>275</v>
      </c>
      <c r="E43" s="4">
        <v>137</v>
      </c>
      <c r="F43">
        <v>2497.4688999999998</v>
      </c>
      <c r="G43" s="2" t="s">
        <v>102</v>
      </c>
      <c r="H43" s="4"/>
    </row>
    <row r="44" spans="1:8" ht="25.8" thickBot="1" x14ac:dyDescent="0.6">
      <c r="A44" s="2" t="s">
        <v>364</v>
      </c>
      <c r="B44" s="3">
        <v>243</v>
      </c>
      <c r="C44" s="71"/>
      <c r="D44" s="3">
        <v>255</v>
      </c>
      <c r="E44" s="3">
        <v>127</v>
      </c>
      <c r="F44">
        <v>4194.9956000000002</v>
      </c>
      <c r="G44" s="2" t="s">
        <v>102</v>
      </c>
      <c r="H44" s="2">
        <v>3090</v>
      </c>
    </row>
    <row r="45" spans="1:8" ht="14.7" thickBot="1" x14ac:dyDescent="0.6">
      <c r="A45" s="2"/>
      <c r="B45" s="3"/>
      <c r="C45" s="69"/>
      <c r="D45" s="3"/>
      <c r="E45" s="3"/>
      <c r="G45" s="2"/>
      <c r="H45" s="2"/>
    </row>
    <row r="47" spans="1:8" x14ac:dyDescent="0.55000000000000004">
      <c r="C47" t="s">
        <v>321</v>
      </c>
    </row>
    <row r="48" spans="1:8" x14ac:dyDescent="0.55000000000000004">
      <c r="C48" t="s">
        <v>322</v>
      </c>
    </row>
    <row r="49" spans="1:8" ht="14.7" thickBot="1" x14ac:dyDescent="0.6"/>
    <row r="50" spans="1:8" ht="25.8" thickBot="1" x14ac:dyDescent="0.6">
      <c r="A50" s="2"/>
      <c r="B50" s="2" t="s">
        <v>35</v>
      </c>
      <c r="C50" s="2" t="s">
        <v>118</v>
      </c>
      <c r="D50" s="2" t="s">
        <v>33</v>
      </c>
      <c r="E50" s="2" t="s">
        <v>120</v>
      </c>
      <c r="F50" s="2" t="s">
        <v>70</v>
      </c>
      <c r="G50" s="2"/>
      <c r="H50" s="2"/>
    </row>
    <row r="51" spans="1:8" ht="14.7" thickBot="1" x14ac:dyDescent="0.6">
      <c r="A51" s="3">
        <v>2003</v>
      </c>
      <c r="B51" s="3">
        <v>178</v>
      </c>
      <c r="C51" s="3">
        <v>108</v>
      </c>
      <c r="D51" s="3">
        <v>231</v>
      </c>
      <c r="E51" s="3">
        <v>129</v>
      </c>
      <c r="F51">
        <v>15.3375</v>
      </c>
      <c r="G51" s="2" t="s">
        <v>102</v>
      </c>
      <c r="H51" s="2">
        <v>7197</v>
      </c>
    </row>
    <row r="52" spans="1:8" ht="14.7" thickBot="1" x14ac:dyDescent="0.6">
      <c r="A52" s="2">
        <v>2004</v>
      </c>
      <c r="B52" s="3">
        <v>225</v>
      </c>
      <c r="C52" s="3">
        <v>136</v>
      </c>
      <c r="D52" s="3">
        <v>301</v>
      </c>
      <c r="E52" s="3">
        <v>195</v>
      </c>
      <c r="F52">
        <v>434.92090000000002</v>
      </c>
      <c r="G52" s="2" t="s">
        <v>102</v>
      </c>
      <c r="H52" s="2">
        <v>4714</v>
      </c>
    </row>
    <row r="53" spans="1:8" ht="14.7" thickBot="1" x14ac:dyDescent="0.6">
      <c r="A53" s="2">
        <v>2004.5</v>
      </c>
      <c r="B53" s="3">
        <v>225</v>
      </c>
      <c r="C53" s="3">
        <v>136</v>
      </c>
      <c r="D53" s="3">
        <v>301</v>
      </c>
      <c r="E53" s="3">
        <v>195</v>
      </c>
      <c r="F53">
        <v>434.92090000000002</v>
      </c>
      <c r="G53" s="2" t="s">
        <v>102</v>
      </c>
      <c r="H53" s="2">
        <v>4714</v>
      </c>
    </row>
    <row r="54" spans="1:8" ht="14.7" thickBot="1" x14ac:dyDescent="0.6">
      <c r="A54" s="2">
        <v>2004.75</v>
      </c>
      <c r="B54" s="3"/>
      <c r="C54" s="70">
        <v>242</v>
      </c>
      <c r="D54" s="4"/>
      <c r="E54" s="4"/>
      <c r="F54">
        <v>2497.4688999999998</v>
      </c>
      <c r="G54" s="2" t="s">
        <v>102</v>
      </c>
      <c r="H54" s="4"/>
    </row>
    <row r="55" spans="1:8" ht="14.7" thickBot="1" x14ac:dyDescent="0.6">
      <c r="A55" s="2">
        <v>2005</v>
      </c>
      <c r="B55" s="3">
        <v>320</v>
      </c>
      <c r="C55" s="71"/>
      <c r="D55" s="3">
        <v>255</v>
      </c>
      <c r="E55" s="3">
        <v>211</v>
      </c>
      <c r="F55">
        <v>4194.9956000000002</v>
      </c>
      <c r="G55" s="2" t="s">
        <v>102</v>
      </c>
      <c r="H55" s="2">
        <v>3090</v>
      </c>
    </row>
    <row r="56" spans="1:8" ht="14.7" thickBot="1" x14ac:dyDescent="0.6">
      <c r="A56" s="2"/>
      <c r="B56" s="3"/>
      <c r="C56" s="69"/>
      <c r="D56" s="3"/>
      <c r="E56" s="3"/>
      <c r="G56" s="2"/>
      <c r="H56" s="2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topLeftCell="E52" zoomScaleNormal="100" workbookViewId="0">
      <selection activeCell="S53" sqref="S53"/>
    </sheetView>
  </sheetViews>
  <sheetFormatPr defaultRowHeight="14.4" x14ac:dyDescent="0.55000000000000004"/>
  <cols>
    <col min="1" max="1" width="32.83984375" customWidth="1"/>
    <col min="2" max="2" width="16.41796875" bestFit="1" customWidth="1"/>
    <col min="3" max="4" width="11.26171875" bestFit="1" customWidth="1"/>
  </cols>
  <sheetData>
    <row r="1" spans="1:10" x14ac:dyDescent="0.55000000000000004">
      <c r="A1" s="85" t="s">
        <v>258</v>
      </c>
    </row>
    <row r="2" spans="1:10" x14ac:dyDescent="0.55000000000000004">
      <c r="A2" s="99">
        <v>1334354355763.1201</v>
      </c>
    </row>
    <row r="3" spans="1:10" x14ac:dyDescent="0.55000000000000004">
      <c r="A3" s="85" t="s">
        <v>259</v>
      </c>
    </row>
    <row r="4" spans="1:10" x14ac:dyDescent="0.55000000000000004">
      <c r="A4" s="99">
        <v>1335825623045.1001</v>
      </c>
    </row>
    <row r="7" spans="1:10" x14ac:dyDescent="0.55000000000000004">
      <c r="A7" s="82">
        <f>A4-A2</f>
        <v>1471267281.9799805</v>
      </c>
    </row>
    <row r="9" spans="1:10" x14ac:dyDescent="0.55000000000000004">
      <c r="E9">
        <f>60*60*1000</f>
        <v>3600000</v>
      </c>
      <c r="G9">
        <v>3600000</v>
      </c>
    </row>
    <row r="10" spans="1:10" ht="14.7" thickBot="1" x14ac:dyDescent="0.6"/>
    <row r="11" spans="1:10" ht="25.8" thickBot="1" x14ac:dyDescent="0.6">
      <c r="A11" s="2"/>
      <c r="B11" s="2" t="s">
        <v>35</v>
      </c>
      <c r="C11" s="2"/>
      <c r="D11" s="2" t="s">
        <v>118</v>
      </c>
      <c r="E11" s="2" t="s">
        <v>33</v>
      </c>
      <c r="F11" s="2" t="s">
        <v>34</v>
      </c>
      <c r="G11" s="2" t="s">
        <v>267</v>
      </c>
      <c r="H11" s="102">
        <v>0.01</v>
      </c>
      <c r="I11" s="2" t="s">
        <v>268</v>
      </c>
      <c r="J11" s="73" t="s">
        <v>293</v>
      </c>
    </row>
    <row r="12" spans="1:10" ht="14.7" thickBot="1" x14ac:dyDescent="0.6">
      <c r="A12" s="3">
        <v>1</v>
      </c>
      <c r="B12" s="3">
        <v>199</v>
      </c>
      <c r="C12" s="4">
        <v>8</v>
      </c>
      <c r="D12" s="3">
        <v>117</v>
      </c>
      <c r="E12" s="3">
        <v>753</v>
      </c>
      <c r="F12" s="3">
        <v>147</v>
      </c>
      <c r="G12" s="3">
        <v>437417</v>
      </c>
      <c r="H12" s="3" t="s">
        <v>276</v>
      </c>
      <c r="I12" s="4"/>
      <c r="J12" s="3">
        <v>437417</v>
      </c>
    </row>
    <row r="13" spans="1:10" ht="14.7" thickBot="1" x14ac:dyDescent="0.6">
      <c r="A13" s="3">
        <v>2</v>
      </c>
      <c r="B13" s="3">
        <v>182</v>
      </c>
      <c r="C13" s="2">
        <v>9</v>
      </c>
      <c r="D13" s="3">
        <v>115</v>
      </c>
      <c r="E13" s="3">
        <v>775</v>
      </c>
      <c r="F13" s="3">
        <v>169</v>
      </c>
      <c r="G13" s="3">
        <v>318289</v>
      </c>
      <c r="H13" s="3" t="s">
        <v>277</v>
      </c>
      <c r="I13" s="4"/>
      <c r="J13" s="3">
        <v>318289</v>
      </c>
    </row>
    <row r="14" spans="1:10" ht="14.7" thickBot="1" x14ac:dyDescent="0.6">
      <c r="A14" s="3">
        <v>3</v>
      </c>
      <c r="B14" s="3">
        <v>172</v>
      </c>
      <c r="C14" s="4">
        <v>10</v>
      </c>
      <c r="D14" s="3">
        <v>120</v>
      </c>
      <c r="E14" s="3">
        <v>699</v>
      </c>
      <c r="F14" s="3">
        <v>159</v>
      </c>
      <c r="G14" s="3">
        <v>205930</v>
      </c>
      <c r="H14" s="3" t="s">
        <v>278</v>
      </c>
      <c r="I14" s="4"/>
      <c r="J14" s="3">
        <v>205930</v>
      </c>
    </row>
    <row r="15" spans="1:10" ht="14.7" thickBot="1" x14ac:dyDescent="0.6">
      <c r="A15" s="3">
        <v>4</v>
      </c>
      <c r="B15" s="3">
        <v>162</v>
      </c>
      <c r="C15" s="2">
        <v>11</v>
      </c>
      <c r="D15" s="3">
        <v>113</v>
      </c>
      <c r="E15" s="3">
        <v>591</v>
      </c>
      <c r="F15" s="3">
        <v>154</v>
      </c>
      <c r="G15" s="3">
        <v>162593</v>
      </c>
      <c r="H15" s="3" t="s">
        <v>279</v>
      </c>
      <c r="I15" s="4"/>
      <c r="J15" s="3">
        <v>162593</v>
      </c>
    </row>
    <row r="16" spans="1:10" ht="14.7" thickBot="1" x14ac:dyDescent="0.6">
      <c r="A16" s="3">
        <v>5</v>
      </c>
      <c r="B16" s="3">
        <v>171</v>
      </c>
      <c r="C16" s="4">
        <v>12</v>
      </c>
      <c r="D16" s="3">
        <v>105</v>
      </c>
      <c r="E16" s="3">
        <v>714</v>
      </c>
      <c r="F16" s="3">
        <v>144</v>
      </c>
      <c r="G16" s="3">
        <v>122102</v>
      </c>
      <c r="H16" s="3" t="s">
        <v>280</v>
      </c>
      <c r="I16" s="8">
        <v>157069</v>
      </c>
      <c r="J16" s="3">
        <v>122102</v>
      </c>
    </row>
    <row r="17" spans="1:10" ht="14.7" thickBot="1" x14ac:dyDescent="0.6">
      <c r="A17" s="3">
        <v>6</v>
      </c>
      <c r="B17" s="3">
        <v>163</v>
      </c>
      <c r="C17" s="2">
        <v>13</v>
      </c>
      <c r="D17" s="3">
        <v>114</v>
      </c>
      <c r="E17" s="3">
        <v>640</v>
      </c>
      <c r="F17" s="3">
        <v>157</v>
      </c>
      <c r="G17" s="3">
        <v>123683</v>
      </c>
      <c r="H17" s="3" t="s">
        <v>281</v>
      </c>
      <c r="I17" s="4"/>
      <c r="J17" s="3">
        <v>123683</v>
      </c>
    </row>
    <row r="18" spans="1:10" ht="14.7" thickBot="1" x14ac:dyDescent="0.6">
      <c r="A18" s="3">
        <v>7</v>
      </c>
      <c r="B18" s="3">
        <v>169</v>
      </c>
      <c r="C18" s="4">
        <v>14</v>
      </c>
      <c r="D18" s="3">
        <v>116</v>
      </c>
      <c r="E18" s="3">
        <v>537</v>
      </c>
      <c r="F18" s="3">
        <v>133</v>
      </c>
      <c r="G18" s="3">
        <v>121346</v>
      </c>
      <c r="H18" s="3" t="s">
        <v>282</v>
      </c>
      <c r="I18" s="4"/>
      <c r="J18" s="3">
        <v>121346</v>
      </c>
    </row>
    <row r="19" spans="1:10" ht="14.7" thickBot="1" x14ac:dyDescent="0.6">
      <c r="A19" s="3">
        <v>8</v>
      </c>
      <c r="B19" s="3">
        <v>168</v>
      </c>
      <c r="C19" s="2">
        <v>15</v>
      </c>
      <c r="D19" s="3">
        <v>119</v>
      </c>
      <c r="E19" s="3">
        <v>614</v>
      </c>
      <c r="F19" s="3">
        <v>155</v>
      </c>
      <c r="G19" s="3">
        <v>127056</v>
      </c>
      <c r="H19" s="3" t="s">
        <v>283</v>
      </c>
      <c r="I19" s="4"/>
      <c r="J19" s="3">
        <v>127056</v>
      </c>
    </row>
    <row r="20" spans="1:10" ht="14.7" thickBot="1" x14ac:dyDescent="0.6">
      <c r="A20" s="3">
        <v>9</v>
      </c>
      <c r="B20" s="3">
        <v>172</v>
      </c>
      <c r="C20" s="4">
        <v>16</v>
      </c>
      <c r="D20" s="3">
        <v>110</v>
      </c>
      <c r="E20" s="3">
        <v>708</v>
      </c>
      <c r="F20" s="3">
        <v>165</v>
      </c>
      <c r="G20" s="8">
        <v>211641</v>
      </c>
      <c r="H20" s="3" t="s">
        <v>284</v>
      </c>
      <c r="I20" s="4"/>
      <c r="J20" s="8">
        <v>211641</v>
      </c>
    </row>
    <row r="21" spans="1:10" ht="14.7" thickBot="1" x14ac:dyDescent="0.6">
      <c r="A21" s="3">
        <v>10</v>
      </c>
      <c r="B21" s="3">
        <v>179</v>
      </c>
      <c r="C21" s="2">
        <v>17</v>
      </c>
      <c r="D21" s="3">
        <v>121</v>
      </c>
      <c r="E21" s="3">
        <v>827</v>
      </c>
      <c r="F21" s="3">
        <v>154</v>
      </c>
      <c r="G21" s="8">
        <v>357838</v>
      </c>
      <c r="H21" s="3" t="s">
        <v>285</v>
      </c>
      <c r="I21" s="4"/>
      <c r="J21" s="8">
        <v>357838</v>
      </c>
    </row>
    <row r="22" spans="1:10" ht="14.7" thickBot="1" x14ac:dyDescent="0.6">
      <c r="A22" s="3">
        <v>11</v>
      </c>
      <c r="B22" s="3">
        <v>209</v>
      </c>
      <c r="C22" s="4">
        <v>18</v>
      </c>
      <c r="D22" s="3">
        <v>126</v>
      </c>
      <c r="E22" s="3">
        <v>817</v>
      </c>
      <c r="F22" s="3">
        <v>175</v>
      </c>
      <c r="G22" s="8">
        <v>644408</v>
      </c>
      <c r="H22" s="3" t="s">
        <v>286</v>
      </c>
      <c r="I22" s="8">
        <v>191867</v>
      </c>
      <c r="J22" s="8">
        <v>644408</v>
      </c>
    </row>
    <row r="23" spans="1:10" ht="14.7" thickBot="1" x14ac:dyDescent="0.6">
      <c r="A23" s="3">
        <v>12</v>
      </c>
      <c r="B23" s="3">
        <v>213</v>
      </c>
      <c r="C23" s="2">
        <v>19</v>
      </c>
      <c r="D23" s="3">
        <v>125</v>
      </c>
      <c r="E23" s="3">
        <v>992</v>
      </c>
      <c r="F23" s="3">
        <v>150</v>
      </c>
      <c r="G23" s="8">
        <v>656965</v>
      </c>
      <c r="H23" s="3" t="s">
        <v>287</v>
      </c>
      <c r="I23" s="4"/>
      <c r="J23" s="8">
        <v>656965</v>
      </c>
    </row>
    <row r="24" spans="1:10" ht="14.7" thickBot="1" x14ac:dyDescent="0.6">
      <c r="A24" s="3">
        <v>13</v>
      </c>
      <c r="B24" s="3">
        <v>219</v>
      </c>
      <c r="C24" s="4">
        <v>20</v>
      </c>
      <c r="D24" s="3">
        <v>136</v>
      </c>
      <c r="E24" s="3">
        <v>799</v>
      </c>
      <c r="F24" s="3">
        <v>147</v>
      </c>
      <c r="G24" s="8">
        <v>648206</v>
      </c>
      <c r="H24" s="3" t="s">
        <v>288</v>
      </c>
      <c r="I24" s="4"/>
      <c r="J24" s="8">
        <v>648206</v>
      </c>
    </row>
    <row r="25" spans="1:10" ht="14.7" thickBot="1" x14ac:dyDescent="0.6">
      <c r="A25" s="3">
        <v>14</v>
      </c>
      <c r="B25" s="3">
        <v>218</v>
      </c>
      <c r="C25" s="2">
        <v>21</v>
      </c>
      <c r="D25" s="3">
        <v>124</v>
      </c>
      <c r="E25" s="3">
        <v>1017</v>
      </c>
      <c r="F25" s="3">
        <v>151</v>
      </c>
      <c r="G25" s="8">
        <v>630434</v>
      </c>
      <c r="H25" s="3" t="s">
        <v>289</v>
      </c>
      <c r="I25" s="4"/>
      <c r="J25" s="8">
        <v>630434</v>
      </c>
    </row>
    <row r="26" spans="1:10" ht="14.7" thickBot="1" x14ac:dyDescent="0.6">
      <c r="A26" s="3">
        <v>15</v>
      </c>
      <c r="B26" s="3">
        <v>212</v>
      </c>
      <c r="C26" s="4">
        <v>22</v>
      </c>
      <c r="D26" s="3">
        <v>125</v>
      </c>
      <c r="E26" s="3">
        <v>804</v>
      </c>
      <c r="F26" s="3">
        <v>150</v>
      </c>
      <c r="G26" s="8">
        <v>544572</v>
      </c>
      <c r="H26" s="3" t="s">
        <v>290</v>
      </c>
      <c r="I26" s="4"/>
      <c r="J26" s="8">
        <v>544572</v>
      </c>
    </row>
    <row r="27" spans="1:10" ht="14.7" thickBot="1" x14ac:dyDescent="0.6">
      <c r="A27" s="3">
        <v>16</v>
      </c>
      <c r="B27" s="3">
        <v>229</v>
      </c>
      <c r="C27" s="2">
        <v>23</v>
      </c>
      <c r="D27" s="3">
        <v>130</v>
      </c>
      <c r="E27" s="3">
        <v>995</v>
      </c>
      <c r="F27" s="3">
        <v>152</v>
      </c>
      <c r="G27" s="8">
        <v>729518</v>
      </c>
      <c r="H27" s="3" t="s">
        <v>291</v>
      </c>
      <c r="I27" s="4"/>
      <c r="J27" s="8">
        <v>729518</v>
      </c>
    </row>
    <row r="28" spans="1:10" ht="14.7" thickBot="1" x14ac:dyDescent="0.6">
      <c r="A28" s="3">
        <v>17</v>
      </c>
      <c r="B28" s="3">
        <v>229</v>
      </c>
      <c r="C28" s="4">
        <v>24</v>
      </c>
      <c r="D28" s="3">
        <v>125</v>
      </c>
      <c r="E28" s="3">
        <v>918</v>
      </c>
      <c r="F28" s="3">
        <v>165</v>
      </c>
      <c r="G28" s="8">
        <v>735850</v>
      </c>
      <c r="H28" s="3" t="s">
        <v>292</v>
      </c>
      <c r="I28" s="8">
        <v>189160</v>
      </c>
      <c r="J28" s="8">
        <v>735850</v>
      </c>
    </row>
    <row r="29" spans="1:10" ht="14.7" thickBot="1" x14ac:dyDescent="0.6">
      <c r="A29" s="3">
        <v>18</v>
      </c>
      <c r="B29" s="3">
        <v>209</v>
      </c>
      <c r="C29" s="2">
        <v>1</v>
      </c>
      <c r="D29" s="3">
        <v>122</v>
      </c>
      <c r="E29" s="3">
        <v>863</v>
      </c>
      <c r="F29" s="3">
        <v>154</v>
      </c>
      <c r="G29" s="3">
        <v>611582</v>
      </c>
      <c r="H29" s="3" t="s">
        <v>269</v>
      </c>
      <c r="I29" s="8">
        <v>177808</v>
      </c>
      <c r="J29" s="3">
        <v>611582</v>
      </c>
    </row>
    <row r="30" spans="1:10" ht="14.7" thickBot="1" x14ac:dyDescent="0.6">
      <c r="A30" s="3">
        <v>19</v>
      </c>
      <c r="B30" s="3">
        <v>227</v>
      </c>
      <c r="C30" s="4">
        <v>2</v>
      </c>
      <c r="D30" s="3">
        <v>132</v>
      </c>
      <c r="E30" s="3">
        <v>894</v>
      </c>
      <c r="F30" s="3">
        <v>150</v>
      </c>
      <c r="G30" s="3">
        <v>719537</v>
      </c>
      <c r="H30" s="3" t="s">
        <v>270</v>
      </c>
      <c r="I30" s="4"/>
      <c r="J30" s="3">
        <v>719537</v>
      </c>
    </row>
    <row r="31" spans="1:10" ht="14.7" thickBot="1" x14ac:dyDescent="0.6">
      <c r="A31" s="3">
        <v>20</v>
      </c>
      <c r="B31" s="3">
        <v>206</v>
      </c>
      <c r="C31" s="2">
        <v>3</v>
      </c>
      <c r="D31" s="3">
        <v>130</v>
      </c>
      <c r="E31" s="3">
        <v>869</v>
      </c>
      <c r="F31" s="3">
        <v>165</v>
      </c>
      <c r="G31" s="3">
        <v>607043</v>
      </c>
      <c r="H31" s="3" t="s">
        <v>271</v>
      </c>
      <c r="I31" s="4"/>
      <c r="J31" s="3">
        <v>607043</v>
      </c>
    </row>
    <row r="32" spans="1:10" ht="14.7" thickBot="1" x14ac:dyDescent="0.6">
      <c r="A32" s="3">
        <v>21</v>
      </c>
      <c r="B32" s="3">
        <v>213</v>
      </c>
      <c r="C32" s="4">
        <v>4</v>
      </c>
      <c r="D32" s="3">
        <v>118</v>
      </c>
      <c r="E32" s="3">
        <v>802</v>
      </c>
      <c r="F32" s="3">
        <v>147</v>
      </c>
      <c r="G32" s="3">
        <v>477760</v>
      </c>
      <c r="H32" s="3" t="s">
        <v>272</v>
      </c>
      <c r="I32" s="4"/>
      <c r="J32" s="3">
        <v>477760</v>
      </c>
    </row>
    <row r="33" spans="1:10" ht="14.7" thickBot="1" x14ac:dyDescent="0.6">
      <c r="A33" s="3">
        <v>22</v>
      </c>
      <c r="B33" s="3">
        <v>201</v>
      </c>
      <c r="C33" s="2">
        <v>5</v>
      </c>
      <c r="D33" s="3">
        <v>117</v>
      </c>
      <c r="E33" s="3">
        <v>733</v>
      </c>
      <c r="F33" s="3">
        <v>150</v>
      </c>
      <c r="G33" s="3">
        <v>470291</v>
      </c>
      <c r="H33" s="3" t="s">
        <v>273</v>
      </c>
      <c r="I33" s="4"/>
      <c r="J33" s="3">
        <v>470291</v>
      </c>
    </row>
    <row r="34" spans="1:10" ht="14.7" thickBot="1" x14ac:dyDescent="0.6">
      <c r="A34" s="3">
        <v>23</v>
      </c>
      <c r="B34" s="3">
        <v>208</v>
      </c>
      <c r="C34" s="4">
        <v>6</v>
      </c>
      <c r="D34" s="3">
        <v>119</v>
      </c>
      <c r="E34" s="3">
        <v>647</v>
      </c>
      <c r="F34" s="3">
        <v>161</v>
      </c>
      <c r="G34" s="3">
        <v>534103</v>
      </c>
      <c r="H34" s="3" t="s">
        <v>274</v>
      </c>
      <c r="I34" s="8">
        <v>144212</v>
      </c>
      <c r="J34" s="3">
        <v>534103</v>
      </c>
    </row>
    <row r="35" spans="1:10" ht="14.7" thickBot="1" x14ac:dyDescent="0.6">
      <c r="A35" s="3">
        <v>24</v>
      </c>
      <c r="B35" s="3">
        <v>203</v>
      </c>
      <c r="C35" s="2">
        <v>7</v>
      </c>
      <c r="D35" s="3">
        <v>121</v>
      </c>
      <c r="E35" s="3">
        <v>689</v>
      </c>
      <c r="F35" s="3">
        <v>148</v>
      </c>
      <c r="G35" s="3">
        <v>531276</v>
      </c>
      <c r="H35" s="3" t="s">
        <v>275</v>
      </c>
      <c r="I35" s="4"/>
      <c r="J35" s="3">
        <v>531276</v>
      </c>
    </row>
    <row r="36" spans="1:10" x14ac:dyDescent="0.55000000000000004">
      <c r="A36" s="82"/>
      <c r="B36" s="82"/>
    </row>
    <row r="41" spans="1:10" ht="14.7" thickBot="1" x14ac:dyDescent="0.6"/>
    <row r="42" spans="1:10" ht="25.8" thickBot="1" x14ac:dyDescent="0.6">
      <c r="B42" s="2" t="s">
        <v>35</v>
      </c>
      <c r="C42" s="2"/>
      <c r="D42" s="2" t="s">
        <v>118</v>
      </c>
      <c r="E42" s="2" t="s">
        <v>33</v>
      </c>
      <c r="F42" s="2" t="s">
        <v>34</v>
      </c>
      <c r="G42" s="2" t="s">
        <v>267</v>
      </c>
      <c r="H42" s="102">
        <v>0.01</v>
      </c>
      <c r="I42" s="2" t="s">
        <v>268</v>
      </c>
      <c r="J42" s="73" t="s">
        <v>293</v>
      </c>
    </row>
    <row r="43" spans="1:10" ht="14.7" thickBot="1" x14ac:dyDescent="0.6">
      <c r="A43">
        <v>166217</v>
      </c>
      <c r="B43" s="3">
        <v>199</v>
      </c>
      <c r="C43" s="4">
        <v>8</v>
      </c>
      <c r="D43" s="3">
        <v>117</v>
      </c>
      <c r="E43" s="3">
        <v>753</v>
      </c>
      <c r="F43" s="3">
        <v>147</v>
      </c>
      <c r="G43" s="3">
        <v>437417</v>
      </c>
      <c r="H43" s="3" t="s">
        <v>276</v>
      </c>
      <c r="I43" s="4"/>
      <c r="J43" s="3">
        <v>437417</v>
      </c>
    </row>
    <row r="44" spans="1:10" ht="14.7" thickBot="1" x14ac:dyDescent="0.6">
      <c r="A44">
        <v>173960</v>
      </c>
      <c r="B44" s="3">
        <v>182</v>
      </c>
      <c r="C44" s="2">
        <v>9</v>
      </c>
      <c r="D44" s="3">
        <v>115</v>
      </c>
      <c r="E44" s="3">
        <v>775</v>
      </c>
      <c r="F44" s="3">
        <v>169</v>
      </c>
      <c r="G44" s="3">
        <v>318289</v>
      </c>
      <c r="H44" s="3" t="s">
        <v>277</v>
      </c>
      <c r="I44" s="4"/>
      <c r="J44" s="3">
        <v>318289</v>
      </c>
    </row>
    <row r="45" spans="1:10" ht="14.7" thickBot="1" x14ac:dyDescent="0.6">
      <c r="A45">
        <v>163266</v>
      </c>
      <c r="B45" s="3">
        <v>172</v>
      </c>
      <c r="C45" s="4">
        <v>10</v>
      </c>
      <c r="D45" s="3">
        <v>120</v>
      </c>
      <c r="E45" s="3">
        <v>699</v>
      </c>
      <c r="F45" s="3">
        <v>159</v>
      </c>
      <c r="G45" s="3">
        <v>205930</v>
      </c>
      <c r="H45" s="3" t="s">
        <v>278</v>
      </c>
      <c r="I45" s="4"/>
      <c r="J45" s="3">
        <v>205930</v>
      </c>
    </row>
    <row r="46" spans="1:10" ht="14.7" thickBot="1" x14ac:dyDescent="0.6">
      <c r="A46">
        <v>166344</v>
      </c>
      <c r="B46" s="3">
        <v>162</v>
      </c>
      <c r="C46" s="2">
        <v>11</v>
      </c>
      <c r="D46" s="3">
        <v>113</v>
      </c>
      <c r="E46" s="3">
        <v>591</v>
      </c>
      <c r="F46" s="3">
        <v>154</v>
      </c>
      <c r="G46" s="3">
        <v>162593</v>
      </c>
      <c r="H46" s="3" t="s">
        <v>279</v>
      </c>
      <c r="I46" s="4"/>
      <c r="J46" s="3">
        <v>162593</v>
      </c>
    </row>
    <row r="47" spans="1:10" ht="14.7" thickBot="1" x14ac:dyDescent="0.6">
      <c r="A47">
        <v>157069</v>
      </c>
      <c r="B47" s="3">
        <v>171</v>
      </c>
      <c r="C47" s="4">
        <v>12</v>
      </c>
      <c r="D47" s="3">
        <v>105</v>
      </c>
      <c r="E47" s="3">
        <v>714</v>
      </c>
      <c r="F47" s="3">
        <v>144</v>
      </c>
      <c r="G47" s="3">
        <v>122102</v>
      </c>
      <c r="H47" s="3" t="s">
        <v>280</v>
      </c>
      <c r="I47" s="8">
        <v>157069</v>
      </c>
      <c r="J47" s="3">
        <v>122102</v>
      </c>
    </row>
    <row r="48" spans="1:10" ht="14.7" thickBot="1" x14ac:dyDescent="0.6">
      <c r="A48">
        <v>164493</v>
      </c>
      <c r="B48" s="3">
        <v>163</v>
      </c>
      <c r="C48" s="2">
        <v>13</v>
      </c>
      <c r="D48" s="3">
        <v>114</v>
      </c>
      <c r="E48" s="3">
        <v>640</v>
      </c>
      <c r="F48" s="3">
        <v>157</v>
      </c>
      <c r="G48" s="3">
        <v>123683</v>
      </c>
      <c r="H48" s="3" t="s">
        <v>281</v>
      </c>
      <c r="I48" s="4"/>
      <c r="J48" s="3">
        <v>123683</v>
      </c>
    </row>
    <row r="49" spans="1:10" ht="14.7" thickBot="1" x14ac:dyDescent="0.6">
      <c r="A49">
        <v>170129</v>
      </c>
      <c r="B49" s="3">
        <v>169</v>
      </c>
      <c r="C49" s="4">
        <v>14</v>
      </c>
      <c r="D49" s="3">
        <v>116</v>
      </c>
      <c r="E49" s="3">
        <v>537</v>
      </c>
      <c r="F49" s="3">
        <v>133</v>
      </c>
      <c r="G49" s="3">
        <v>121346</v>
      </c>
      <c r="H49" s="3" t="s">
        <v>282</v>
      </c>
      <c r="I49" s="4"/>
      <c r="J49" s="3">
        <v>121346</v>
      </c>
    </row>
    <row r="50" spans="1:10" ht="14.7" thickBot="1" x14ac:dyDescent="0.6">
      <c r="A50">
        <v>159921</v>
      </c>
      <c r="B50" s="3">
        <v>168</v>
      </c>
      <c r="C50" s="2">
        <v>15</v>
      </c>
      <c r="D50" s="3">
        <v>119</v>
      </c>
      <c r="E50" s="3">
        <v>614</v>
      </c>
      <c r="F50" s="3">
        <v>155</v>
      </c>
      <c r="G50" s="3">
        <v>127056</v>
      </c>
      <c r="H50" s="3" t="s">
        <v>283</v>
      </c>
      <c r="I50" s="4"/>
      <c r="J50" s="3">
        <v>127056</v>
      </c>
    </row>
    <row r="51" spans="1:10" ht="14.7" thickBot="1" x14ac:dyDescent="0.6">
      <c r="A51">
        <v>169751</v>
      </c>
      <c r="B51" s="3">
        <v>172</v>
      </c>
      <c r="C51" s="4">
        <v>16</v>
      </c>
      <c r="D51" s="3">
        <v>110</v>
      </c>
      <c r="E51" s="3">
        <v>708</v>
      </c>
      <c r="F51" s="3">
        <v>165</v>
      </c>
      <c r="G51" s="8">
        <v>211641</v>
      </c>
      <c r="H51" s="3" t="s">
        <v>284</v>
      </c>
      <c r="I51" s="4"/>
      <c r="J51" s="8">
        <v>211641</v>
      </c>
    </row>
    <row r="52" spans="1:10" ht="14.7" thickBot="1" x14ac:dyDescent="0.6">
      <c r="A52">
        <v>187912</v>
      </c>
      <c r="B52" s="3">
        <v>179</v>
      </c>
      <c r="C52" s="2">
        <v>17</v>
      </c>
      <c r="D52" s="3">
        <v>121</v>
      </c>
      <c r="E52" s="3">
        <v>827</v>
      </c>
      <c r="F52" s="3">
        <v>154</v>
      </c>
      <c r="G52" s="8">
        <v>357838</v>
      </c>
      <c r="H52" s="3" t="s">
        <v>285</v>
      </c>
      <c r="I52" s="4"/>
      <c r="J52" s="8">
        <v>357838</v>
      </c>
    </row>
    <row r="53" spans="1:10" ht="14.7" thickBot="1" x14ac:dyDescent="0.6">
      <c r="A53">
        <v>191867</v>
      </c>
      <c r="B53" s="3">
        <v>209</v>
      </c>
      <c r="C53" s="4">
        <v>18</v>
      </c>
      <c r="D53" s="3">
        <v>126</v>
      </c>
      <c r="E53" s="3">
        <v>817</v>
      </c>
      <c r="F53" s="3">
        <v>175</v>
      </c>
      <c r="G53" s="8">
        <v>644408</v>
      </c>
      <c r="H53" s="3" t="s">
        <v>286</v>
      </c>
      <c r="I53" s="8">
        <v>191867</v>
      </c>
      <c r="J53" s="8">
        <v>644408</v>
      </c>
    </row>
    <row r="54" spans="1:10" ht="14.7" thickBot="1" x14ac:dyDescent="0.6">
      <c r="A54">
        <v>183021</v>
      </c>
      <c r="B54" s="3">
        <v>213</v>
      </c>
      <c r="C54" s="2">
        <v>19</v>
      </c>
      <c r="D54" s="3">
        <v>125</v>
      </c>
      <c r="E54" s="3">
        <v>992</v>
      </c>
      <c r="F54" s="3">
        <v>150</v>
      </c>
      <c r="G54" s="8">
        <v>656965</v>
      </c>
      <c r="H54" s="3" t="s">
        <v>287</v>
      </c>
      <c r="I54" s="4"/>
      <c r="J54" s="8">
        <v>656965</v>
      </c>
    </row>
    <row r="55" spans="1:10" ht="14.7" thickBot="1" x14ac:dyDescent="0.6">
      <c r="A55">
        <v>184279</v>
      </c>
      <c r="B55" s="3">
        <v>219</v>
      </c>
      <c r="C55" s="4">
        <v>20</v>
      </c>
      <c r="D55" s="3">
        <v>136</v>
      </c>
      <c r="E55" s="3">
        <v>799</v>
      </c>
      <c r="F55" s="3">
        <v>147</v>
      </c>
      <c r="G55" s="8">
        <v>648206</v>
      </c>
      <c r="H55" s="3" t="s">
        <v>288</v>
      </c>
      <c r="I55" s="4"/>
      <c r="J55" s="8">
        <v>648206</v>
      </c>
    </row>
    <row r="56" spans="1:10" ht="14.7" thickBot="1" x14ac:dyDescent="0.6">
      <c r="A56">
        <v>180384</v>
      </c>
      <c r="B56" s="3">
        <v>218</v>
      </c>
      <c r="C56" s="2">
        <v>21</v>
      </c>
      <c r="D56" s="3">
        <v>124</v>
      </c>
      <c r="E56" s="3">
        <v>1017</v>
      </c>
      <c r="F56" s="3">
        <v>151</v>
      </c>
      <c r="G56" s="8">
        <v>630434</v>
      </c>
      <c r="H56" s="3" t="s">
        <v>289</v>
      </c>
      <c r="I56" s="4"/>
      <c r="J56" s="8">
        <v>630434</v>
      </c>
    </row>
    <row r="57" spans="1:10" ht="14.7" thickBot="1" x14ac:dyDescent="0.6">
      <c r="A57">
        <v>175252</v>
      </c>
      <c r="B57" s="3">
        <v>212</v>
      </c>
      <c r="C57" s="4">
        <v>22</v>
      </c>
      <c r="D57" s="3">
        <v>125</v>
      </c>
      <c r="E57" s="3">
        <v>804</v>
      </c>
      <c r="F57" s="3">
        <v>150</v>
      </c>
      <c r="G57" s="8">
        <v>544572</v>
      </c>
      <c r="H57" s="3" t="s">
        <v>290</v>
      </c>
      <c r="I57" s="4"/>
      <c r="J57" s="8">
        <v>544572</v>
      </c>
    </row>
    <row r="58" spans="1:10" ht="14.7" thickBot="1" x14ac:dyDescent="0.6">
      <c r="A58">
        <v>192992</v>
      </c>
      <c r="B58" s="3">
        <v>229</v>
      </c>
      <c r="C58" s="2">
        <v>23</v>
      </c>
      <c r="D58" s="3">
        <v>130</v>
      </c>
      <c r="E58" s="3">
        <v>995</v>
      </c>
      <c r="F58" s="3">
        <v>152</v>
      </c>
      <c r="G58" s="8">
        <v>729518</v>
      </c>
      <c r="H58" s="3" t="s">
        <v>291</v>
      </c>
      <c r="I58" s="4"/>
      <c r="J58" s="8">
        <v>729518</v>
      </c>
    </row>
    <row r="59" spans="1:10" ht="14.7" thickBot="1" x14ac:dyDescent="0.6">
      <c r="A59" s="8">
        <v>189160</v>
      </c>
      <c r="B59" s="3">
        <v>229</v>
      </c>
      <c r="C59" s="4">
        <v>24</v>
      </c>
      <c r="D59" s="3">
        <v>125</v>
      </c>
      <c r="E59" s="3">
        <v>918</v>
      </c>
      <c r="F59" s="3">
        <v>165</v>
      </c>
      <c r="G59" s="8">
        <v>735850</v>
      </c>
      <c r="H59" s="3" t="s">
        <v>292</v>
      </c>
      <c r="I59" s="8">
        <v>189160</v>
      </c>
      <c r="J59" s="8">
        <v>735850</v>
      </c>
    </row>
    <row r="60" spans="1:10" ht="14.7" thickBot="1" x14ac:dyDescent="0.6">
      <c r="A60">
        <v>177808</v>
      </c>
      <c r="B60" s="3">
        <v>209</v>
      </c>
      <c r="C60" s="2">
        <v>1</v>
      </c>
      <c r="D60" s="3">
        <v>122</v>
      </c>
      <c r="E60" s="3">
        <v>863</v>
      </c>
      <c r="F60" s="3">
        <v>154</v>
      </c>
      <c r="G60" s="3">
        <v>611582</v>
      </c>
      <c r="H60" s="3" t="s">
        <v>269</v>
      </c>
      <c r="I60" s="8">
        <v>177808</v>
      </c>
      <c r="J60" s="3">
        <v>611582</v>
      </c>
    </row>
    <row r="61" spans="1:10" ht="14.7" thickBot="1" x14ac:dyDescent="0.6">
      <c r="A61">
        <v>179228</v>
      </c>
      <c r="B61" s="3">
        <v>227</v>
      </c>
      <c r="C61" s="4">
        <v>2</v>
      </c>
      <c r="D61" s="3">
        <v>132</v>
      </c>
      <c r="E61" s="3">
        <v>894</v>
      </c>
      <c r="F61" s="3">
        <v>150</v>
      </c>
      <c r="G61" s="3">
        <v>719537</v>
      </c>
      <c r="H61" s="3" t="s">
        <v>270</v>
      </c>
      <c r="I61" s="4"/>
      <c r="J61" s="3">
        <v>719537</v>
      </c>
    </row>
    <row r="62" spans="1:10" ht="14.7" thickBot="1" x14ac:dyDescent="0.6">
      <c r="A62">
        <v>174783</v>
      </c>
      <c r="B62" s="3">
        <v>206</v>
      </c>
      <c r="C62" s="2">
        <v>3</v>
      </c>
      <c r="D62" s="3">
        <v>130</v>
      </c>
      <c r="E62" s="3">
        <v>869</v>
      </c>
      <c r="F62" s="3">
        <v>165</v>
      </c>
      <c r="G62" s="3">
        <v>607043</v>
      </c>
      <c r="H62" s="3" t="s">
        <v>271</v>
      </c>
      <c r="I62" s="4"/>
      <c r="J62" s="3">
        <v>607043</v>
      </c>
    </row>
    <row r="63" spans="1:10" ht="14.7" thickBot="1" x14ac:dyDescent="0.6">
      <c r="A63">
        <v>161153</v>
      </c>
      <c r="B63" s="3">
        <v>213</v>
      </c>
      <c r="C63" s="4">
        <v>4</v>
      </c>
      <c r="D63" s="3">
        <v>118</v>
      </c>
      <c r="E63" s="3">
        <v>802</v>
      </c>
      <c r="F63" s="3">
        <v>147</v>
      </c>
      <c r="G63" s="3">
        <v>477760</v>
      </c>
      <c r="H63" s="3" t="s">
        <v>272</v>
      </c>
      <c r="I63" s="4"/>
      <c r="J63" s="3">
        <v>477760</v>
      </c>
    </row>
    <row r="64" spans="1:10" ht="14.7" thickBot="1" x14ac:dyDescent="0.6">
      <c r="A64">
        <v>159065</v>
      </c>
      <c r="B64" s="3">
        <v>201</v>
      </c>
      <c r="C64" s="2">
        <v>5</v>
      </c>
      <c r="D64" s="3">
        <v>117</v>
      </c>
      <c r="E64" s="3">
        <v>733</v>
      </c>
      <c r="F64" s="3">
        <v>150</v>
      </c>
      <c r="G64" s="3">
        <v>470291</v>
      </c>
      <c r="H64" s="3" t="s">
        <v>273</v>
      </c>
      <c r="I64" s="4"/>
      <c r="J64" s="3">
        <v>470291</v>
      </c>
    </row>
    <row r="65" spans="1:10" ht="14.7" thickBot="1" x14ac:dyDescent="0.6">
      <c r="A65">
        <v>144212</v>
      </c>
      <c r="B65" s="3">
        <v>208</v>
      </c>
      <c r="C65" s="4">
        <v>6</v>
      </c>
      <c r="D65" s="3">
        <v>119</v>
      </c>
      <c r="E65" s="3">
        <v>647</v>
      </c>
      <c r="F65" s="3">
        <v>161</v>
      </c>
      <c r="G65" s="3">
        <v>534103</v>
      </c>
      <c r="H65" s="3" t="s">
        <v>274</v>
      </c>
      <c r="I65" s="8">
        <v>144212</v>
      </c>
      <c r="J65" s="3">
        <v>534103</v>
      </c>
    </row>
    <row r="66" spans="1:10" ht="14.7" thickBot="1" x14ac:dyDescent="0.6">
      <c r="A66">
        <v>164516</v>
      </c>
      <c r="B66" s="3">
        <v>203</v>
      </c>
      <c r="C66" s="2">
        <v>7</v>
      </c>
      <c r="D66" s="3">
        <v>121</v>
      </c>
      <c r="E66" s="3">
        <v>689</v>
      </c>
      <c r="F66" s="3">
        <v>148</v>
      </c>
      <c r="G66" s="3">
        <v>531276</v>
      </c>
      <c r="H66" s="3" t="s">
        <v>275</v>
      </c>
      <c r="I66" s="4"/>
      <c r="J66" s="3">
        <v>531276</v>
      </c>
    </row>
    <row r="72" spans="1:10" x14ac:dyDescent="0.55000000000000004">
      <c r="B72">
        <v>1</v>
      </c>
      <c r="C72">
        <v>177808</v>
      </c>
      <c r="D72">
        <v>18</v>
      </c>
    </row>
    <row r="73" spans="1:10" x14ac:dyDescent="0.55000000000000004">
      <c r="B73">
        <v>2</v>
      </c>
      <c r="C73">
        <v>179228</v>
      </c>
      <c r="D73">
        <v>19</v>
      </c>
    </row>
    <row r="74" spans="1:10" x14ac:dyDescent="0.55000000000000004">
      <c r="B74">
        <v>3</v>
      </c>
      <c r="C74">
        <v>174783</v>
      </c>
      <c r="D74">
        <v>20</v>
      </c>
    </row>
    <row r="75" spans="1:10" x14ac:dyDescent="0.55000000000000004">
      <c r="B75">
        <v>4</v>
      </c>
      <c r="C75">
        <v>161153</v>
      </c>
      <c r="D75">
        <v>21</v>
      </c>
    </row>
    <row r="76" spans="1:10" x14ac:dyDescent="0.55000000000000004">
      <c r="B76">
        <v>5</v>
      </c>
      <c r="C76">
        <v>159065</v>
      </c>
      <c r="D76">
        <v>22</v>
      </c>
    </row>
    <row r="77" spans="1:10" x14ac:dyDescent="0.55000000000000004">
      <c r="B77">
        <v>6</v>
      </c>
      <c r="C77">
        <v>144212</v>
      </c>
      <c r="D77">
        <v>23</v>
      </c>
    </row>
    <row r="78" spans="1:10" x14ac:dyDescent="0.55000000000000004">
      <c r="B78">
        <v>7</v>
      </c>
      <c r="C78">
        <v>164516</v>
      </c>
      <c r="D78">
        <v>24</v>
      </c>
    </row>
    <row r="79" spans="1:10" x14ac:dyDescent="0.55000000000000004">
      <c r="B79">
        <v>8</v>
      </c>
      <c r="C79">
        <v>166217</v>
      </c>
      <c r="D79">
        <v>1</v>
      </c>
    </row>
    <row r="80" spans="1:10" x14ac:dyDescent="0.55000000000000004">
      <c r="B80">
        <v>9</v>
      </c>
      <c r="C80">
        <v>173960</v>
      </c>
      <c r="D80">
        <v>2</v>
      </c>
    </row>
    <row r="81" spans="2:4" x14ac:dyDescent="0.55000000000000004">
      <c r="B81">
        <v>10</v>
      </c>
      <c r="C81">
        <v>163266</v>
      </c>
      <c r="D81">
        <v>3</v>
      </c>
    </row>
    <row r="82" spans="2:4" x14ac:dyDescent="0.55000000000000004">
      <c r="B82">
        <v>11</v>
      </c>
      <c r="C82">
        <v>166344</v>
      </c>
      <c r="D82">
        <v>4</v>
      </c>
    </row>
    <row r="83" spans="2:4" x14ac:dyDescent="0.55000000000000004">
      <c r="B83">
        <v>12</v>
      </c>
      <c r="C83">
        <v>157069</v>
      </c>
      <c r="D83">
        <v>5</v>
      </c>
    </row>
    <row r="84" spans="2:4" x14ac:dyDescent="0.55000000000000004">
      <c r="B84">
        <v>13</v>
      </c>
      <c r="C84">
        <v>164493</v>
      </c>
      <c r="D84">
        <v>6</v>
      </c>
    </row>
    <row r="85" spans="2:4" x14ac:dyDescent="0.55000000000000004">
      <c r="B85">
        <v>14</v>
      </c>
      <c r="C85">
        <v>170129</v>
      </c>
      <c r="D85">
        <v>7</v>
      </c>
    </row>
    <row r="86" spans="2:4" x14ac:dyDescent="0.55000000000000004">
      <c r="B86">
        <v>15</v>
      </c>
      <c r="C86">
        <v>159921</v>
      </c>
      <c r="D86">
        <v>8</v>
      </c>
    </row>
    <row r="87" spans="2:4" x14ac:dyDescent="0.55000000000000004">
      <c r="B87">
        <v>16</v>
      </c>
      <c r="C87">
        <v>169751</v>
      </c>
      <c r="D87">
        <v>9</v>
      </c>
    </row>
    <row r="88" spans="2:4" x14ac:dyDescent="0.55000000000000004">
      <c r="B88">
        <v>17</v>
      </c>
      <c r="C88">
        <v>187912</v>
      </c>
      <c r="D88">
        <v>10</v>
      </c>
    </row>
    <row r="89" spans="2:4" x14ac:dyDescent="0.55000000000000004">
      <c r="B89">
        <v>18</v>
      </c>
      <c r="C89">
        <v>191867</v>
      </c>
      <c r="D89">
        <v>11</v>
      </c>
    </row>
    <row r="90" spans="2:4" x14ac:dyDescent="0.55000000000000004">
      <c r="B90">
        <v>19</v>
      </c>
      <c r="C90">
        <v>183021</v>
      </c>
      <c r="D90">
        <v>12</v>
      </c>
    </row>
    <row r="91" spans="2:4" x14ac:dyDescent="0.55000000000000004">
      <c r="B91">
        <v>20</v>
      </c>
      <c r="C91">
        <v>184279</v>
      </c>
      <c r="D91">
        <v>13</v>
      </c>
    </row>
    <row r="92" spans="2:4" x14ac:dyDescent="0.55000000000000004">
      <c r="B92">
        <v>21</v>
      </c>
      <c r="C92">
        <v>180384</v>
      </c>
      <c r="D92">
        <v>14</v>
      </c>
    </row>
    <row r="93" spans="2:4" x14ac:dyDescent="0.55000000000000004">
      <c r="B93">
        <v>22</v>
      </c>
      <c r="C93">
        <v>175252</v>
      </c>
      <c r="D93">
        <v>15</v>
      </c>
    </row>
    <row r="94" spans="2:4" x14ac:dyDescent="0.55000000000000004">
      <c r="B94">
        <v>23</v>
      </c>
      <c r="D94">
        <v>16</v>
      </c>
    </row>
    <row r="95" spans="2:4" x14ac:dyDescent="0.55000000000000004">
      <c r="B95">
        <v>24</v>
      </c>
      <c r="D95">
        <v>17</v>
      </c>
    </row>
    <row r="97" spans="2:4" ht="14.7" thickBot="1" x14ac:dyDescent="0.6"/>
    <row r="98" spans="2:4" ht="14.7" thickBot="1" x14ac:dyDescent="0.6">
      <c r="B98">
        <v>1</v>
      </c>
      <c r="C98" s="84">
        <v>437417</v>
      </c>
      <c r="D98" s="82">
        <v>166217</v>
      </c>
    </row>
    <row r="99" spans="2:4" ht="14.7" thickBot="1" x14ac:dyDescent="0.6">
      <c r="B99">
        <v>2</v>
      </c>
      <c r="C99" s="84">
        <v>318289</v>
      </c>
      <c r="D99" s="82">
        <v>173960</v>
      </c>
    </row>
    <row r="100" spans="2:4" ht="14.7" thickBot="1" x14ac:dyDescent="0.6">
      <c r="B100">
        <v>3</v>
      </c>
      <c r="C100" s="84">
        <v>205930</v>
      </c>
      <c r="D100" s="82">
        <v>163266</v>
      </c>
    </row>
    <row r="101" spans="2:4" ht="14.7" thickBot="1" x14ac:dyDescent="0.6">
      <c r="B101">
        <v>4</v>
      </c>
      <c r="C101" s="84">
        <v>162593</v>
      </c>
      <c r="D101" s="82">
        <v>166344</v>
      </c>
    </row>
    <row r="102" spans="2:4" ht="14.7" thickBot="1" x14ac:dyDescent="0.6">
      <c r="B102">
        <v>5</v>
      </c>
      <c r="C102" s="84">
        <v>122102</v>
      </c>
      <c r="D102" s="82">
        <v>157069</v>
      </c>
    </row>
    <row r="103" spans="2:4" ht="14.7" thickBot="1" x14ac:dyDescent="0.6">
      <c r="B103">
        <v>6</v>
      </c>
      <c r="C103" s="84">
        <v>123683</v>
      </c>
      <c r="D103" s="82">
        <v>164493</v>
      </c>
    </row>
    <row r="104" spans="2:4" ht="14.7" thickBot="1" x14ac:dyDescent="0.6">
      <c r="B104">
        <v>7</v>
      </c>
      <c r="C104" s="84">
        <v>121346</v>
      </c>
      <c r="D104" s="82">
        <v>170129</v>
      </c>
    </row>
    <row r="105" spans="2:4" ht="14.7" thickBot="1" x14ac:dyDescent="0.6">
      <c r="B105">
        <v>8</v>
      </c>
      <c r="C105" s="84">
        <v>127056</v>
      </c>
      <c r="D105" s="82">
        <v>159921</v>
      </c>
    </row>
    <row r="106" spans="2:4" ht="14.7" thickBot="1" x14ac:dyDescent="0.6">
      <c r="B106">
        <v>9</v>
      </c>
      <c r="C106" s="128">
        <v>211641</v>
      </c>
      <c r="D106" s="82">
        <v>169751</v>
      </c>
    </row>
    <row r="107" spans="2:4" ht="14.7" thickBot="1" x14ac:dyDescent="0.6">
      <c r="B107">
        <v>10</v>
      </c>
      <c r="C107" s="128">
        <v>357838</v>
      </c>
      <c r="D107" s="82">
        <v>187912</v>
      </c>
    </row>
    <row r="108" spans="2:4" ht="14.7" thickBot="1" x14ac:dyDescent="0.6">
      <c r="B108">
        <v>11</v>
      </c>
      <c r="C108" s="128">
        <v>644408</v>
      </c>
      <c r="D108" s="82">
        <v>191867</v>
      </c>
    </row>
    <row r="109" spans="2:4" ht="14.7" thickBot="1" x14ac:dyDescent="0.6">
      <c r="B109">
        <v>12</v>
      </c>
      <c r="C109" s="128">
        <v>656965</v>
      </c>
      <c r="D109" s="82">
        <v>183021</v>
      </c>
    </row>
    <row r="110" spans="2:4" ht="14.7" thickBot="1" x14ac:dyDescent="0.6">
      <c r="B110">
        <v>13</v>
      </c>
      <c r="C110" s="128">
        <v>648206</v>
      </c>
      <c r="D110" s="82">
        <v>184279</v>
      </c>
    </row>
    <row r="111" spans="2:4" ht="14.7" thickBot="1" x14ac:dyDescent="0.6">
      <c r="B111">
        <v>14</v>
      </c>
      <c r="C111" s="128">
        <v>630434</v>
      </c>
      <c r="D111" s="82">
        <v>180384</v>
      </c>
    </row>
    <row r="112" spans="2:4" ht="14.7" thickBot="1" x14ac:dyDescent="0.6">
      <c r="B112">
        <v>15</v>
      </c>
      <c r="C112" s="128">
        <v>544572</v>
      </c>
      <c r="D112" s="82">
        <v>175252</v>
      </c>
    </row>
    <row r="113" spans="2:4" ht="14.7" thickBot="1" x14ac:dyDescent="0.6">
      <c r="B113">
        <v>16</v>
      </c>
      <c r="C113" s="128">
        <v>729518</v>
      </c>
      <c r="D113" s="82">
        <v>192992</v>
      </c>
    </row>
    <row r="114" spans="2:4" ht="14.7" thickBot="1" x14ac:dyDescent="0.6">
      <c r="B114">
        <v>17</v>
      </c>
      <c r="C114" s="128">
        <v>735850</v>
      </c>
      <c r="D114" s="128">
        <v>189160</v>
      </c>
    </row>
    <row r="115" spans="2:4" ht="14.7" thickBot="1" x14ac:dyDescent="0.6">
      <c r="B115">
        <v>18</v>
      </c>
      <c r="C115" s="84">
        <v>611582</v>
      </c>
      <c r="D115" s="82">
        <v>177808</v>
      </c>
    </row>
    <row r="116" spans="2:4" ht="14.7" thickBot="1" x14ac:dyDescent="0.6">
      <c r="B116">
        <v>19</v>
      </c>
      <c r="C116" s="84">
        <v>719537</v>
      </c>
      <c r="D116" s="82">
        <v>179228</v>
      </c>
    </row>
    <row r="117" spans="2:4" ht="14.7" thickBot="1" x14ac:dyDescent="0.6">
      <c r="B117">
        <v>20</v>
      </c>
      <c r="C117" s="84">
        <v>607043</v>
      </c>
      <c r="D117" s="82">
        <v>174783</v>
      </c>
    </row>
    <row r="118" spans="2:4" ht="14.7" thickBot="1" x14ac:dyDescent="0.6">
      <c r="B118">
        <v>21</v>
      </c>
      <c r="C118" s="84">
        <v>477760</v>
      </c>
      <c r="D118" s="82">
        <v>161153</v>
      </c>
    </row>
    <row r="119" spans="2:4" ht="14.7" thickBot="1" x14ac:dyDescent="0.6">
      <c r="B119">
        <v>22</v>
      </c>
      <c r="C119" s="84">
        <v>470291</v>
      </c>
      <c r="D119" s="82">
        <v>159065</v>
      </c>
    </row>
    <row r="120" spans="2:4" ht="14.7" thickBot="1" x14ac:dyDescent="0.6">
      <c r="B120">
        <v>23</v>
      </c>
      <c r="C120" s="84">
        <v>534103</v>
      </c>
      <c r="D120" s="82">
        <v>144212</v>
      </c>
    </row>
    <row r="121" spans="2:4" ht="14.7" thickBot="1" x14ac:dyDescent="0.6">
      <c r="B121">
        <v>24</v>
      </c>
      <c r="C121" s="84">
        <v>531276</v>
      </c>
      <c r="D121" s="82">
        <v>164516</v>
      </c>
    </row>
  </sheetData>
  <pageMargins left="0.7" right="0.7" top="0.75" bottom="0.75" header="0.3" footer="0.3"/>
  <pageSetup paperSize="9" orientation="portrait" horizontalDpi="4294967294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6"/>
  <sheetViews>
    <sheetView topLeftCell="H174" workbookViewId="0">
      <selection activeCell="T192" sqref="T192"/>
    </sheetView>
  </sheetViews>
  <sheetFormatPr defaultRowHeight="14.4" x14ac:dyDescent="0.55000000000000004"/>
  <sheetData>
    <row r="1" spans="1:7" ht="14.7" thickBot="1" x14ac:dyDescent="0.6"/>
    <row r="2" spans="1:7" ht="28.5" thickBot="1" x14ac:dyDescent="0.6">
      <c r="A2" s="2" t="s">
        <v>36</v>
      </c>
      <c r="B2" s="9" t="s">
        <v>33</v>
      </c>
      <c r="C2" s="2" t="s">
        <v>34</v>
      </c>
      <c r="D2" s="10" t="s">
        <v>37</v>
      </c>
      <c r="E2" s="10" t="s">
        <v>38</v>
      </c>
      <c r="F2" s="10" t="s">
        <v>79</v>
      </c>
      <c r="G2" s="10" t="s">
        <v>38</v>
      </c>
    </row>
    <row r="3" spans="1:7" ht="15.3" thickBot="1" x14ac:dyDescent="0.6">
      <c r="A3" s="11" t="s">
        <v>39</v>
      </c>
      <c r="B3" s="13">
        <v>195</v>
      </c>
      <c r="C3" s="23">
        <v>45</v>
      </c>
      <c r="D3" s="12">
        <v>19</v>
      </c>
      <c r="E3" s="13">
        <v>4</v>
      </c>
      <c r="F3" s="12">
        <v>6</v>
      </c>
      <c r="G3" s="13">
        <v>4</v>
      </c>
    </row>
    <row r="4" spans="1:7" ht="15.3" thickBot="1" x14ac:dyDescent="0.6">
      <c r="A4" s="11" t="s">
        <v>40</v>
      </c>
      <c r="B4" s="13">
        <v>191</v>
      </c>
      <c r="C4" s="23">
        <v>45</v>
      </c>
      <c r="D4" s="12">
        <v>18</v>
      </c>
      <c r="E4" s="13">
        <v>4</v>
      </c>
      <c r="F4" s="12">
        <v>6</v>
      </c>
      <c r="G4" s="13">
        <v>4</v>
      </c>
    </row>
    <row r="5" spans="1:7" ht="15.3" thickBot="1" x14ac:dyDescent="0.6">
      <c r="A5" s="11" t="s">
        <v>41</v>
      </c>
      <c r="B5" s="13">
        <v>191</v>
      </c>
      <c r="C5" s="23">
        <v>45</v>
      </c>
      <c r="D5" s="12">
        <v>6</v>
      </c>
      <c r="E5" s="13">
        <v>4</v>
      </c>
      <c r="F5" s="12">
        <v>6</v>
      </c>
      <c r="G5" s="13">
        <v>4</v>
      </c>
    </row>
    <row r="6" spans="1:7" ht="15.3" thickBot="1" x14ac:dyDescent="0.6">
      <c r="A6" s="11" t="s">
        <v>42</v>
      </c>
      <c r="B6" s="13">
        <v>191</v>
      </c>
      <c r="C6" s="23">
        <v>45</v>
      </c>
      <c r="D6" s="12">
        <v>6</v>
      </c>
      <c r="E6" s="13">
        <v>4</v>
      </c>
      <c r="F6" s="12">
        <v>6</v>
      </c>
      <c r="G6" s="13">
        <v>4</v>
      </c>
    </row>
    <row r="7" spans="1:7" ht="15.3" thickBot="1" x14ac:dyDescent="0.6">
      <c r="A7" s="11" t="s">
        <v>43</v>
      </c>
      <c r="B7" s="13">
        <v>154</v>
      </c>
      <c r="C7" s="23">
        <v>45</v>
      </c>
      <c r="D7" s="12">
        <v>6</v>
      </c>
      <c r="E7" s="13">
        <v>4</v>
      </c>
      <c r="F7" s="12">
        <v>5</v>
      </c>
      <c r="G7" s="13">
        <v>4</v>
      </c>
    </row>
    <row r="8" spans="1:7" ht="15.3" thickBot="1" x14ac:dyDescent="0.6">
      <c r="A8" s="11" t="s">
        <v>44</v>
      </c>
      <c r="B8" s="13">
        <v>153</v>
      </c>
      <c r="C8" s="23">
        <v>45</v>
      </c>
      <c r="D8" s="12">
        <v>6</v>
      </c>
      <c r="E8" s="13">
        <v>4</v>
      </c>
      <c r="F8" s="12">
        <v>5</v>
      </c>
      <c r="G8" s="13">
        <v>4</v>
      </c>
    </row>
    <row r="9" spans="1:7" ht="15.3" thickBot="1" x14ac:dyDescent="0.6">
      <c r="A9" s="11" t="s">
        <v>45</v>
      </c>
      <c r="B9" s="13">
        <v>153</v>
      </c>
      <c r="C9" s="23">
        <v>45</v>
      </c>
      <c r="D9" s="12">
        <v>6</v>
      </c>
      <c r="E9" s="13">
        <v>4</v>
      </c>
      <c r="F9" s="12">
        <v>5</v>
      </c>
      <c r="G9" s="13">
        <v>4</v>
      </c>
    </row>
    <row r="10" spans="1:7" ht="15.3" thickBot="1" x14ac:dyDescent="0.6">
      <c r="A10" s="11" t="s">
        <v>46</v>
      </c>
      <c r="B10" s="13">
        <v>153</v>
      </c>
      <c r="C10" s="23">
        <v>45</v>
      </c>
      <c r="D10" s="12">
        <v>6</v>
      </c>
      <c r="E10" s="13">
        <v>4</v>
      </c>
      <c r="F10" s="12">
        <v>5</v>
      </c>
      <c r="G10" s="13">
        <v>4</v>
      </c>
    </row>
    <row r="11" spans="1:7" ht="15.3" thickBot="1" x14ac:dyDescent="0.6">
      <c r="A11" s="11" t="s">
        <v>47</v>
      </c>
      <c r="B11" s="13">
        <v>152</v>
      </c>
      <c r="C11" s="23">
        <v>45</v>
      </c>
      <c r="D11" s="12">
        <v>6</v>
      </c>
      <c r="E11" s="13">
        <v>4</v>
      </c>
      <c r="F11" s="12">
        <v>5</v>
      </c>
      <c r="G11" s="13">
        <v>4</v>
      </c>
    </row>
    <row r="12" spans="1:7" ht="15.3" thickBot="1" x14ac:dyDescent="0.6">
      <c r="A12" s="11" t="s">
        <v>48</v>
      </c>
      <c r="B12" s="13">
        <v>151</v>
      </c>
      <c r="C12" s="23">
        <v>45</v>
      </c>
      <c r="D12" s="12">
        <v>5</v>
      </c>
      <c r="E12" s="13">
        <v>3</v>
      </c>
      <c r="F12" s="12">
        <v>5</v>
      </c>
      <c r="G12" s="13">
        <v>4</v>
      </c>
    </row>
    <row r="13" spans="1:7" ht="15.3" thickBot="1" x14ac:dyDescent="0.6">
      <c r="A13" s="11" t="s">
        <v>49</v>
      </c>
      <c r="B13" s="13">
        <v>147</v>
      </c>
      <c r="C13" s="23">
        <v>45</v>
      </c>
      <c r="D13" s="12">
        <v>4</v>
      </c>
      <c r="E13" s="13">
        <v>3</v>
      </c>
      <c r="F13" s="12">
        <v>4</v>
      </c>
      <c r="G13" s="13">
        <v>4</v>
      </c>
    </row>
    <row r="14" spans="1:7" ht="15.3" thickBot="1" x14ac:dyDescent="0.6">
      <c r="A14" s="11" t="s">
        <v>50</v>
      </c>
      <c r="B14" s="13">
        <v>144</v>
      </c>
      <c r="C14" s="23">
        <v>45</v>
      </c>
      <c r="D14" s="12">
        <v>4</v>
      </c>
      <c r="E14" s="13">
        <v>3</v>
      </c>
      <c r="F14" s="12">
        <v>4</v>
      </c>
      <c r="G14" s="13">
        <v>3</v>
      </c>
    </row>
    <row r="15" spans="1:7" ht="15.3" thickBot="1" x14ac:dyDescent="0.6">
      <c r="A15" s="11" t="s">
        <v>51</v>
      </c>
      <c r="B15" s="13">
        <v>140</v>
      </c>
      <c r="C15" s="23">
        <v>45</v>
      </c>
      <c r="D15" s="12">
        <v>4</v>
      </c>
      <c r="E15" s="13">
        <v>3</v>
      </c>
      <c r="F15" s="12">
        <v>4</v>
      </c>
      <c r="G15" s="13">
        <v>3</v>
      </c>
    </row>
    <row r="16" spans="1:7" ht="15.3" thickBot="1" x14ac:dyDescent="0.6">
      <c r="A16" s="11" t="s">
        <v>52</v>
      </c>
      <c r="B16" s="13">
        <v>135</v>
      </c>
      <c r="C16" s="23">
        <v>45</v>
      </c>
      <c r="D16" s="12">
        <v>4</v>
      </c>
      <c r="E16" s="13">
        <v>3</v>
      </c>
      <c r="F16" s="12">
        <v>4</v>
      </c>
      <c r="G16" s="13">
        <v>3</v>
      </c>
    </row>
    <row r="17" spans="1:7" ht="15.3" thickBot="1" x14ac:dyDescent="0.6">
      <c r="A17" s="11" t="s">
        <v>53</v>
      </c>
      <c r="B17" s="13">
        <v>135</v>
      </c>
      <c r="C17" s="23">
        <v>45</v>
      </c>
      <c r="D17" s="12">
        <v>4</v>
      </c>
      <c r="E17" s="13">
        <v>3</v>
      </c>
      <c r="F17" s="12">
        <v>3</v>
      </c>
      <c r="G17" s="13">
        <v>3</v>
      </c>
    </row>
    <row r="18" spans="1:7" ht="15.3" thickBot="1" x14ac:dyDescent="0.6">
      <c r="A18" s="11" t="s">
        <v>54</v>
      </c>
      <c r="B18" s="13">
        <v>134</v>
      </c>
      <c r="C18" s="23">
        <v>45</v>
      </c>
      <c r="D18" s="12">
        <v>4</v>
      </c>
      <c r="E18" s="13">
        <v>3</v>
      </c>
      <c r="F18" s="12">
        <v>3</v>
      </c>
      <c r="G18" s="13">
        <v>3</v>
      </c>
    </row>
    <row r="19" spans="1:7" ht="15.3" thickBot="1" x14ac:dyDescent="0.6">
      <c r="A19" s="11" t="s">
        <v>55</v>
      </c>
      <c r="B19" s="13">
        <v>132</v>
      </c>
      <c r="C19" s="23">
        <v>45</v>
      </c>
      <c r="D19" s="12">
        <v>4</v>
      </c>
      <c r="E19" s="13">
        <v>3</v>
      </c>
      <c r="F19" s="12">
        <v>3</v>
      </c>
      <c r="G19" s="13">
        <v>3</v>
      </c>
    </row>
    <row r="20" spans="1:7" ht="15.3" thickBot="1" x14ac:dyDescent="0.6">
      <c r="A20" s="11" t="s">
        <v>56</v>
      </c>
      <c r="B20" s="13">
        <v>131</v>
      </c>
      <c r="C20" s="23">
        <v>45</v>
      </c>
      <c r="D20" s="12">
        <v>4</v>
      </c>
      <c r="E20" s="13">
        <v>3</v>
      </c>
      <c r="F20" s="12">
        <v>3</v>
      </c>
      <c r="G20" s="13">
        <v>3</v>
      </c>
    </row>
    <row r="21" spans="1:7" ht="15.3" thickBot="1" x14ac:dyDescent="0.6">
      <c r="A21" s="11" t="s">
        <v>57</v>
      </c>
      <c r="B21" s="13">
        <v>129</v>
      </c>
      <c r="C21" s="23">
        <v>45</v>
      </c>
      <c r="D21" s="12">
        <v>3</v>
      </c>
      <c r="E21" s="13">
        <v>3</v>
      </c>
      <c r="F21" s="12">
        <v>3</v>
      </c>
      <c r="G21" s="13">
        <v>3</v>
      </c>
    </row>
    <row r="22" spans="1:7" ht="15.3" thickBot="1" x14ac:dyDescent="0.6">
      <c r="A22" s="11" t="s">
        <v>58</v>
      </c>
      <c r="B22" s="13">
        <v>129</v>
      </c>
      <c r="C22" s="23">
        <v>45</v>
      </c>
      <c r="D22" s="12">
        <v>3</v>
      </c>
      <c r="E22" s="13">
        <v>3</v>
      </c>
      <c r="F22" s="12">
        <v>3</v>
      </c>
      <c r="G22" s="13">
        <v>3</v>
      </c>
    </row>
    <row r="23" spans="1:7" ht="15.3" thickBot="1" x14ac:dyDescent="0.6">
      <c r="A23" s="11" t="s">
        <v>59</v>
      </c>
      <c r="B23" s="13">
        <v>112</v>
      </c>
      <c r="C23" s="23">
        <v>45</v>
      </c>
      <c r="D23" s="12">
        <v>3</v>
      </c>
      <c r="E23" s="13">
        <v>3</v>
      </c>
      <c r="F23" s="12">
        <v>3</v>
      </c>
      <c r="G23" s="13">
        <v>3</v>
      </c>
    </row>
    <row r="24" spans="1:7" ht="15.3" thickBot="1" x14ac:dyDescent="0.6">
      <c r="A24" s="11" t="s">
        <v>60</v>
      </c>
      <c r="B24" s="13">
        <v>107</v>
      </c>
      <c r="C24" s="23">
        <v>46</v>
      </c>
      <c r="D24" s="12">
        <v>3</v>
      </c>
      <c r="E24" s="13">
        <v>3</v>
      </c>
      <c r="F24" s="12">
        <v>3</v>
      </c>
      <c r="G24" s="13">
        <v>3</v>
      </c>
    </row>
    <row r="25" spans="1:7" ht="15.3" thickBot="1" x14ac:dyDescent="0.6">
      <c r="A25" s="11" t="s">
        <v>61</v>
      </c>
      <c r="B25" s="13">
        <v>106</v>
      </c>
      <c r="C25" s="23">
        <v>46</v>
      </c>
      <c r="D25" s="12">
        <v>3</v>
      </c>
      <c r="E25" s="13">
        <v>3</v>
      </c>
      <c r="F25" s="12">
        <v>3</v>
      </c>
      <c r="G25" s="13">
        <v>3</v>
      </c>
    </row>
    <row r="26" spans="1:7" ht="15.3" thickBot="1" x14ac:dyDescent="0.6">
      <c r="A26" s="11" t="s">
        <v>62</v>
      </c>
      <c r="B26" s="13">
        <v>104</v>
      </c>
      <c r="C26" s="23">
        <v>46</v>
      </c>
      <c r="D26" s="12">
        <v>3</v>
      </c>
      <c r="E26" s="13">
        <v>3</v>
      </c>
      <c r="F26" s="12">
        <v>3</v>
      </c>
      <c r="G26" s="13">
        <v>3</v>
      </c>
    </row>
    <row r="27" spans="1:7" ht="15.3" thickBot="1" x14ac:dyDescent="0.6">
      <c r="A27" s="11" t="s">
        <v>63</v>
      </c>
      <c r="B27" s="13">
        <v>102</v>
      </c>
      <c r="C27" s="23">
        <v>46</v>
      </c>
      <c r="D27" s="12">
        <v>3</v>
      </c>
      <c r="E27" s="13">
        <v>3</v>
      </c>
      <c r="F27" s="12">
        <v>3</v>
      </c>
      <c r="G27" s="13">
        <v>3</v>
      </c>
    </row>
    <row r="28" spans="1:7" ht="15.3" thickBot="1" x14ac:dyDescent="0.6">
      <c r="A28" s="11" t="s">
        <v>64</v>
      </c>
      <c r="B28" s="13">
        <v>100</v>
      </c>
      <c r="C28" s="23">
        <v>46</v>
      </c>
      <c r="D28" s="12">
        <v>3</v>
      </c>
      <c r="E28" s="13">
        <v>3</v>
      </c>
      <c r="F28" s="12">
        <v>3</v>
      </c>
      <c r="G28" s="13">
        <v>3</v>
      </c>
    </row>
    <row r="29" spans="1:7" ht="15.3" thickBot="1" x14ac:dyDescent="0.6">
      <c r="A29" s="11" t="s">
        <v>65</v>
      </c>
      <c r="B29" s="13">
        <v>84</v>
      </c>
      <c r="C29" s="23">
        <v>46</v>
      </c>
      <c r="D29" s="12">
        <v>2</v>
      </c>
      <c r="E29" s="13">
        <v>2</v>
      </c>
      <c r="F29" s="12">
        <v>3</v>
      </c>
      <c r="G29" s="13">
        <v>3</v>
      </c>
    </row>
    <row r="30" spans="1:7" ht="15.3" thickBot="1" x14ac:dyDescent="0.6">
      <c r="A30" s="11" t="s">
        <v>66</v>
      </c>
      <c r="B30" s="13">
        <v>82</v>
      </c>
      <c r="C30" s="23">
        <v>46</v>
      </c>
      <c r="D30" s="12">
        <v>2</v>
      </c>
      <c r="E30" s="13">
        <v>2</v>
      </c>
      <c r="F30" s="12">
        <v>3</v>
      </c>
      <c r="G30" s="13">
        <v>2</v>
      </c>
    </row>
    <row r="31" spans="1:7" ht="15.3" thickBot="1" x14ac:dyDescent="0.6">
      <c r="A31" s="11" t="s">
        <v>67</v>
      </c>
      <c r="B31" s="13">
        <v>72</v>
      </c>
      <c r="C31" s="23">
        <v>46</v>
      </c>
      <c r="D31" s="12">
        <v>2</v>
      </c>
      <c r="E31" s="13">
        <v>2</v>
      </c>
      <c r="F31" s="12">
        <v>3</v>
      </c>
      <c r="G31" s="13">
        <v>2</v>
      </c>
    </row>
    <row r="32" spans="1:7" ht="15.3" thickBot="1" x14ac:dyDescent="0.6">
      <c r="A32" s="11" t="s">
        <v>68</v>
      </c>
      <c r="B32" s="15">
        <v>71</v>
      </c>
      <c r="C32" s="24">
        <v>46</v>
      </c>
      <c r="D32" s="14">
        <v>2</v>
      </c>
      <c r="E32" s="15">
        <v>2</v>
      </c>
      <c r="F32" s="14">
        <v>3</v>
      </c>
      <c r="G32" s="15">
        <v>2</v>
      </c>
    </row>
    <row r="35" spans="1:16" ht="14.7" thickBot="1" x14ac:dyDescent="0.6"/>
    <row r="36" spans="1:16" ht="28.5" thickBot="1" x14ac:dyDescent="0.6">
      <c r="A36" s="2" t="s">
        <v>36</v>
      </c>
      <c r="B36" s="9" t="s">
        <v>33</v>
      </c>
      <c r="C36" s="2" t="s">
        <v>34</v>
      </c>
      <c r="D36" s="10" t="s">
        <v>37</v>
      </c>
      <c r="E36" s="10" t="s">
        <v>38</v>
      </c>
      <c r="F36" s="10" t="s">
        <v>79</v>
      </c>
      <c r="G36" s="10" t="s">
        <v>80</v>
      </c>
      <c r="P36" t="s">
        <v>81</v>
      </c>
    </row>
    <row r="37" spans="1:16" ht="15.3" thickBot="1" x14ac:dyDescent="0.6">
      <c r="A37" s="11" t="s">
        <v>39</v>
      </c>
      <c r="B37" s="13">
        <f>B3/10</f>
        <v>19.5</v>
      </c>
      <c r="C37" s="23">
        <f>C3/5</f>
        <v>9</v>
      </c>
      <c r="D37" s="12">
        <v>19</v>
      </c>
      <c r="E37" s="13">
        <v>4</v>
      </c>
      <c r="F37" s="12">
        <v>6</v>
      </c>
      <c r="G37" s="13">
        <v>4</v>
      </c>
    </row>
    <row r="38" spans="1:16" ht="15.3" thickBot="1" x14ac:dyDescent="0.6">
      <c r="A38" s="11" t="s">
        <v>40</v>
      </c>
      <c r="B38" s="13">
        <f t="shared" ref="B38:B66" si="0">B4/10</f>
        <v>19.100000000000001</v>
      </c>
      <c r="C38" s="23">
        <f t="shared" ref="C38:C66" si="1">C4/5</f>
        <v>9</v>
      </c>
      <c r="D38" s="12">
        <v>18</v>
      </c>
      <c r="E38" s="13">
        <v>4</v>
      </c>
      <c r="F38" s="12">
        <v>6</v>
      </c>
      <c r="G38" s="13">
        <v>4</v>
      </c>
    </row>
    <row r="39" spans="1:16" ht="15.3" thickBot="1" x14ac:dyDescent="0.6">
      <c r="A39" s="11" t="s">
        <v>41</v>
      </c>
      <c r="B39" s="13">
        <f t="shared" si="0"/>
        <v>19.100000000000001</v>
      </c>
      <c r="C39" s="23">
        <f t="shared" si="1"/>
        <v>9</v>
      </c>
      <c r="D39" s="12">
        <v>6</v>
      </c>
      <c r="E39" s="13">
        <v>4</v>
      </c>
      <c r="F39" s="12">
        <v>6</v>
      </c>
      <c r="G39" s="13">
        <v>4</v>
      </c>
    </row>
    <row r="40" spans="1:16" ht="15.3" thickBot="1" x14ac:dyDescent="0.6">
      <c r="A40" s="11" t="s">
        <v>42</v>
      </c>
      <c r="B40" s="13">
        <f t="shared" si="0"/>
        <v>19.100000000000001</v>
      </c>
      <c r="C40" s="23">
        <f t="shared" si="1"/>
        <v>9</v>
      </c>
      <c r="D40" s="12">
        <v>6</v>
      </c>
      <c r="E40" s="13">
        <v>4</v>
      </c>
      <c r="F40" s="12">
        <v>6</v>
      </c>
      <c r="G40" s="13">
        <v>4</v>
      </c>
    </row>
    <row r="41" spans="1:16" ht="15.3" thickBot="1" x14ac:dyDescent="0.6">
      <c r="A41" s="11" t="s">
        <v>43</v>
      </c>
      <c r="B41" s="13">
        <f t="shared" si="0"/>
        <v>15.4</v>
      </c>
      <c r="C41" s="23">
        <f t="shared" si="1"/>
        <v>9</v>
      </c>
      <c r="D41" s="12">
        <v>6</v>
      </c>
      <c r="E41" s="13">
        <v>4</v>
      </c>
      <c r="F41" s="12">
        <v>5</v>
      </c>
      <c r="G41" s="13">
        <v>4</v>
      </c>
    </row>
    <row r="42" spans="1:16" ht="15.3" thickBot="1" x14ac:dyDescent="0.6">
      <c r="A42" s="11" t="s">
        <v>44</v>
      </c>
      <c r="B42" s="13">
        <f t="shared" si="0"/>
        <v>15.3</v>
      </c>
      <c r="C42" s="23">
        <f t="shared" si="1"/>
        <v>9</v>
      </c>
      <c r="D42" s="12">
        <v>6</v>
      </c>
      <c r="E42" s="13">
        <v>4</v>
      </c>
      <c r="F42" s="12">
        <v>5</v>
      </c>
      <c r="G42" s="13">
        <v>4</v>
      </c>
    </row>
    <row r="43" spans="1:16" ht="15.3" thickBot="1" x14ac:dyDescent="0.6">
      <c r="A43" s="11" t="s">
        <v>45</v>
      </c>
      <c r="B43" s="13">
        <f t="shared" si="0"/>
        <v>15.3</v>
      </c>
      <c r="C43" s="23">
        <f t="shared" si="1"/>
        <v>9</v>
      </c>
      <c r="D43" s="12">
        <v>6</v>
      </c>
      <c r="E43" s="13">
        <v>4</v>
      </c>
      <c r="F43" s="12">
        <v>5</v>
      </c>
      <c r="G43" s="13">
        <v>4</v>
      </c>
    </row>
    <row r="44" spans="1:16" ht="15.3" thickBot="1" x14ac:dyDescent="0.6">
      <c r="A44" s="11" t="s">
        <v>46</v>
      </c>
      <c r="B44" s="13">
        <f t="shared" si="0"/>
        <v>15.3</v>
      </c>
      <c r="C44" s="23">
        <f t="shared" si="1"/>
        <v>9</v>
      </c>
      <c r="D44" s="12">
        <v>6</v>
      </c>
      <c r="E44" s="13">
        <v>4</v>
      </c>
      <c r="F44" s="12">
        <v>5</v>
      </c>
      <c r="G44" s="13">
        <v>4</v>
      </c>
    </row>
    <row r="45" spans="1:16" ht="15.3" thickBot="1" x14ac:dyDescent="0.6">
      <c r="A45" s="11" t="s">
        <v>47</v>
      </c>
      <c r="B45" s="13">
        <f t="shared" si="0"/>
        <v>15.2</v>
      </c>
      <c r="C45" s="23">
        <f t="shared" si="1"/>
        <v>9</v>
      </c>
      <c r="D45" s="12">
        <v>6</v>
      </c>
      <c r="E45" s="13">
        <v>4</v>
      </c>
      <c r="F45" s="12">
        <v>5</v>
      </c>
      <c r="G45" s="13">
        <v>4</v>
      </c>
    </row>
    <row r="46" spans="1:16" ht="15.3" thickBot="1" x14ac:dyDescent="0.6">
      <c r="A46" s="11" t="s">
        <v>48</v>
      </c>
      <c r="B46" s="13">
        <f t="shared" si="0"/>
        <v>15.1</v>
      </c>
      <c r="C46" s="23">
        <f t="shared" si="1"/>
        <v>9</v>
      </c>
      <c r="D46" s="12">
        <v>5</v>
      </c>
      <c r="E46" s="13">
        <v>3</v>
      </c>
      <c r="F46" s="12">
        <v>5</v>
      </c>
      <c r="G46" s="13">
        <v>4</v>
      </c>
    </row>
    <row r="47" spans="1:16" ht="15.3" thickBot="1" x14ac:dyDescent="0.6">
      <c r="A47" s="11" t="s">
        <v>49</v>
      </c>
      <c r="B47" s="13">
        <f t="shared" si="0"/>
        <v>14.7</v>
      </c>
      <c r="C47" s="23">
        <f t="shared" si="1"/>
        <v>9</v>
      </c>
      <c r="D47" s="12">
        <v>4</v>
      </c>
      <c r="E47" s="13">
        <v>3</v>
      </c>
      <c r="F47" s="12">
        <v>4</v>
      </c>
      <c r="G47" s="13">
        <v>4</v>
      </c>
    </row>
    <row r="48" spans="1:16" ht="15.3" thickBot="1" x14ac:dyDescent="0.6">
      <c r="A48" s="11" t="s">
        <v>50</v>
      </c>
      <c r="B48" s="13">
        <f t="shared" si="0"/>
        <v>14.4</v>
      </c>
      <c r="C48" s="23">
        <f t="shared" si="1"/>
        <v>9</v>
      </c>
      <c r="D48" s="12">
        <v>4</v>
      </c>
      <c r="E48" s="13">
        <v>3</v>
      </c>
      <c r="F48" s="12">
        <v>4</v>
      </c>
      <c r="G48" s="13">
        <v>3</v>
      </c>
    </row>
    <row r="49" spans="1:7" ht="15.3" thickBot="1" x14ac:dyDescent="0.6">
      <c r="A49" s="11" t="s">
        <v>51</v>
      </c>
      <c r="B49" s="13">
        <f t="shared" si="0"/>
        <v>14</v>
      </c>
      <c r="C49" s="23">
        <f t="shared" si="1"/>
        <v>9</v>
      </c>
      <c r="D49" s="12">
        <v>4</v>
      </c>
      <c r="E49" s="13">
        <v>3</v>
      </c>
      <c r="F49" s="12">
        <v>4</v>
      </c>
      <c r="G49" s="13">
        <v>3</v>
      </c>
    </row>
    <row r="50" spans="1:7" ht="15.3" thickBot="1" x14ac:dyDescent="0.6">
      <c r="A50" s="11" t="s">
        <v>52</v>
      </c>
      <c r="B50" s="13">
        <f t="shared" si="0"/>
        <v>13.5</v>
      </c>
      <c r="C50" s="23">
        <f t="shared" si="1"/>
        <v>9</v>
      </c>
      <c r="D50" s="12">
        <v>4</v>
      </c>
      <c r="E50" s="13">
        <v>3</v>
      </c>
      <c r="F50" s="12">
        <v>4</v>
      </c>
      <c r="G50" s="13">
        <v>3</v>
      </c>
    </row>
    <row r="51" spans="1:7" ht="15.3" thickBot="1" x14ac:dyDescent="0.6">
      <c r="A51" s="11" t="s">
        <v>53</v>
      </c>
      <c r="B51" s="13">
        <f t="shared" si="0"/>
        <v>13.5</v>
      </c>
      <c r="C51" s="23">
        <f t="shared" si="1"/>
        <v>9</v>
      </c>
      <c r="D51" s="12">
        <v>4</v>
      </c>
      <c r="E51" s="13">
        <v>3</v>
      </c>
      <c r="F51" s="12">
        <v>3</v>
      </c>
      <c r="G51" s="13">
        <v>3</v>
      </c>
    </row>
    <row r="52" spans="1:7" ht="15.3" thickBot="1" x14ac:dyDescent="0.6">
      <c r="A52" s="11" t="s">
        <v>54</v>
      </c>
      <c r="B52" s="13">
        <f t="shared" si="0"/>
        <v>13.4</v>
      </c>
      <c r="C52" s="23">
        <f t="shared" si="1"/>
        <v>9</v>
      </c>
      <c r="D52" s="12">
        <v>4</v>
      </c>
      <c r="E52" s="13">
        <v>3</v>
      </c>
      <c r="F52" s="12">
        <v>3</v>
      </c>
      <c r="G52" s="13">
        <v>3</v>
      </c>
    </row>
    <row r="53" spans="1:7" ht="15.3" thickBot="1" x14ac:dyDescent="0.6">
      <c r="A53" s="11" t="s">
        <v>55</v>
      </c>
      <c r="B53" s="13">
        <f t="shared" si="0"/>
        <v>13.2</v>
      </c>
      <c r="C53" s="23">
        <f t="shared" si="1"/>
        <v>9</v>
      </c>
      <c r="D53" s="12">
        <v>4</v>
      </c>
      <c r="E53" s="13">
        <v>3</v>
      </c>
      <c r="F53" s="12">
        <v>3</v>
      </c>
      <c r="G53" s="13">
        <v>3</v>
      </c>
    </row>
    <row r="54" spans="1:7" ht="15.3" thickBot="1" x14ac:dyDescent="0.6">
      <c r="A54" s="11" t="s">
        <v>56</v>
      </c>
      <c r="B54" s="13">
        <f t="shared" si="0"/>
        <v>13.1</v>
      </c>
      <c r="C54" s="23">
        <f t="shared" si="1"/>
        <v>9</v>
      </c>
      <c r="D54" s="12">
        <v>4</v>
      </c>
      <c r="E54" s="13">
        <v>3</v>
      </c>
      <c r="F54" s="12">
        <v>3</v>
      </c>
      <c r="G54" s="13">
        <v>3</v>
      </c>
    </row>
    <row r="55" spans="1:7" ht="15.3" thickBot="1" x14ac:dyDescent="0.6">
      <c r="A55" s="11" t="s">
        <v>57</v>
      </c>
      <c r="B55" s="13">
        <f t="shared" si="0"/>
        <v>12.9</v>
      </c>
      <c r="C55" s="23">
        <f t="shared" si="1"/>
        <v>9</v>
      </c>
      <c r="D55" s="12">
        <v>3</v>
      </c>
      <c r="E55" s="13">
        <v>3</v>
      </c>
      <c r="F55" s="12">
        <v>3</v>
      </c>
      <c r="G55" s="13">
        <v>3</v>
      </c>
    </row>
    <row r="56" spans="1:7" ht="15.3" thickBot="1" x14ac:dyDescent="0.6">
      <c r="A56" s="11" t="s">
        <v>58</v>
      </c>
      <c r="B56" s="13">
        <f t="shared" si="0"/>
        <v>12.9</v>
      </c>
      <c r="C56" s="23">
        <f t="shared" si="1"/>
        <v>9</v>
      </c>
      <c r="D56" s="12">
        <v>3</v>
      </c>
      <c r="E56" s="13">
        <v>3</v>
      </c>
      <c r="F56" s="12">
        <v>3</v>
      </c>
      <c r="G56" s="13">
        <v>3</v>
      </c>
    </row>
    <row r="57" spans="1:7" ht="15.3" thickBot="1" x14ac:dyDescent="0.6">
      <c r="A57" s="11" t="s">
        <v>59</v>
      </c>
      <c r="B57" s="13">
        <f t="shared" si="0"/>
        <v>11.2</v>
      </c>
      <c r="C57" s="23">
        <f t="shared" si="1"/>
        <v>9</v>
      </c>
      <c r="D57" s="12">
        <v>3</v>
      </c>
      <c r="E57" s="13">
        <v>3</v>
      </c>
      <c r="F57" s="12">
        <v>3</v>
      </c>
      <c r="G57" s="13">
        <v>3</v>
      </c>
    </row>
    <row r="58" spans="1:7" ht="15.3" thickBot="1" x14ac:dyDescent="0.6">
      <c r="A58" s="11" t="s">
        <v>60</v>
      </c>
      <c r="B58" s="13">
        <f t="shared" si="0"/>
        <v>10.7</v>
      </c>
      <c r="C58" s="23">
        <f t="shared" si="1"/>
        <v>9.1999999999999993</v>
      </c>
      <c r="D58" s="12">
        <v>3</v>
      </c>
      <c r="E58" s="13">
        <v>3</v>
      </c>
      <c r="F58" s="12">
        <v>3</v>
      </c>
      <c r="G58" s="13">
        <v>3</v>
      </c>
    </row>
    <row r="59" spans="1:7" ht="15.3" thickBot="1" x14ac:dyDescent="0.6">
      <c r="A59" s="11" t="s">
        <v>61</v>
      </c>
      <c r="B59" s="13">
        <f t="shared" si="0"/>
        <v>10.6</v>
      </c>
      <c r="C59" s="23">
        <f t="shared" si="1"/>
        <v>9.1999999999999993</v>
      </c>
      <c r="D59" s="12">
        <v>3</v>
      </c>
      <c r="E59" s="13">
        <v>3</v>
      </c>
      <c r="F59" s="12">
        <v>3</v>
      </c>
      <c r="G59" s="13">
        <v>3</v>
      </c>
    </row>
    <row r="60" spans="1:7" ht="15.3" thickBot="1" x14ac:dyDescent="0.6">
      <c r="A60" s="11" t="s">
        <v>62</v>
      </c>
      <c r="B60" s="13">
        <f t="shared" si="0"/>
        <v>10.4</v>
      </c>
      <c r="C60" s="23">
        <f t="shared" si="1"/>
        <v>9.1999999999999993</v>
      </c>
      <c r="D60" s="12">
        <v>3</v>
      </c>
      <c r="E60" s="13">
        <v>3</v>
      </c>
      <c r="F60" s="12">
        <v>3</v>
      </c>
      <c r="G60" s="13">
        <v>3</v>
      </c>
    </row>
    <row r="61" spans="1:7" ht="15.3" thickBot="1" x14ac:dyDescent="0.6">
      <c r="A61" s="11" t="s">
        <v>63</v>
      </c>
      <c r="B61" s="13">
        <f t="shared" si="0"/>
        <v>10.199999999999999</v>
      </c>
      <c r="C61" s="23">
        <f t="shared" si="1"/>
        <v>9.1999999999999993</v>
      </c>
      <c r="D61" s="12">
        <v>3</v>
      </c>
      <c r="E61" s="13">
        <v>3</v>
      </c>
      <c r="F61" s="12">
        <v>3</v>
      </c>
      <c r="G61" s="13">
        <v>3</v>
      </c>
    </row>
    <row r="62" spans="1:7" ht="15.3" thickBot="1" x14ac:dyDescent="0.6">
      <c r="A62" s="11" t="s">
        <v>64</v>
      </c>
      <c r="B62" s="13">
        <f t="shared" si="0"/>
        <v>10</v>
      </c>
      <c r="C62" s="23">
        <f t="shared" si="1"/>
        <v>9.1999999999999993</v>
      </c>
      <c r="D62" s="12">
        <v>3</v>
      </c>
      <c r="E62" s="13">
        <v>3</v>
      </c>
      <c r="F62" s="12">
        <v>3</v>
      </c>
      <c r="G62" s="13">
        <v>3</v>
      </c>
    </row>
    <row r="63" spans="1:7" ht="15.3" thickBot="1" x14ac:dyDescent="0.6">
      <c r="A63" s="11" t="s">
        <v>65</v>
      </c>
      <c r="B63" s="13">
        <f t="shared" si="0"/>
        <v>8.4</v>
      </c>
      <c r="C63" s="23">
        <f t="shared" si="1"/>
        <v>9.1999999999999993</v>
      </c>
      <c r="D63" s="12">
        <v>2</v>
      </c>
      <c r="E63" s="13">
        <v>2</v>
      </c>
      <c r="F63" s="12">
        <v>3</v>
      </c>
      <c r="G63" s="13">
        <v>3</v>
      </c>
    </row>
    <row r="64" spans="1:7" ht="15.3" thickBot="1" x14ac:dyDescent="0.6">
      <c r="A64" s="11" t="s">
        <v>66</v>
      </c>
      <c r="B64" s="13">
        <f t="shared" si="0"/>
        <v>8.1999999999999993</v>
      </c>
      <c r="C64" s="23">
        <f t="shared" si="1"/>
        <v>9.1999999999999993</v>
      </c>
      <c r="D64" s="12">
        <v>2</v>
      </c>
      <c r="E64" s="13">
        <v>2</v>
      </c>
      <c r="F64" s="12">
        <v>3</v>
      </c>
      <c r="G64" s="13">
        <v>2</v>
      </c>
    </row>
    <row r="65" spans="1:7" ht="15.3" thickBot="1" x14ac:dyDescent="0.6">
      <c r="A65" s="11" t="s">
        <v>67</v>
      </c>
      <c r="B65" s="13">
        <f t="shared" si="0"/>
        <v>7.2</v>
      </c>
      <c r="C65" s="23">
        <f t="shared" si="1"/>
        <v>9.1999999999999993</v>
      </c>
      <c r="D65" s="12">
        <v>2</v>
      </c>
      <c r="E65" s="13">
        <v>2</v>
      </c>
      <c r="F65" s="12">
        <v>3</v>
      </c>
      <c r="G65" s="13">
        <v>2</v>
      </c>
    </row>
    <row r="66" spans="1:7" ht="15.3" thickBot="1" x14ac:dyDescent="0.6">
      <c r="A66" s="11" t="s">
        <v>68</v>
      </c>
      <c r="B66" s="13">
        <f t="shared" si="0"/>
        <v>7.1</v>
      </c>
      <c r="C66" s="23">
        <f t="shared" si="1"/>
        <v>9.1999999999999993</v>
      </c>
      <c r="D66" s="14">
        <v>2</v>
      </c>
      <c r="E66" s="15">
        <v>2</v>
      </c>
      <c r="F66" s="14">
        <v>3</v>
      </c>
      <c r="G66" s="15">
        <v>2</v>
      </c>
    </row>
    <row r="145" spans="1:7" ht="14.7" thickBot="1" x14ac:dyDescent="0.6"/>
    <row r="146" spans="1:7" ht="28.5" thickBot="1" x14ac:dyDescent="0.6">
      <c r="A146" s="2" t="s">
        <v>36</v>
      </c>
      <c r="B146" s="9" t="s">
        <v>33</v>
      </c>
      <c r="C146" s="2" t="s">
        <v>34</v>
      </c>
      <c r="D146" s="10" t="s">
        <v>37</v>
      </c>
      <c r="E146" s="10" t="s">
        <v>38</v>
      </c>
      <c r="F146" s="10" t="s">
        <v>79</v>
      </c>
      <c r="G146" s="10" t="s">
        <v>80</v>
      </c>
    </row>
    <row r="147" spans="1:7" ht="15.3" thickBot="1" x14ac:dyDescent="0.6">
      <c r="A147" s="11" t="s">
        <v>39</v>
      </c>
      <c r="B147" s="13">
        <v>19.5</v>
      </c>
      <c r="C147" s="23">
        <v>9.1999999999999993</v>
      </c>
      <c r="D147" s="12">
        <v>19</v>
      </c>
      <c r="E147" s="13">
        <v>4</v>
      </c>
      <c r="F147" s="12">
        <v>6</v>
      </c>
      <c r="G147" s="13">
        <v>4</v>
      </c>
    </row>
    <row r="148" spans="1:7" ht="15.3" thickBot="1" x14ac:dyDescent="0.6">
      <c r="A148" s="11" t="s">
        <v>40</v>
      </c>
      <c r="B148" s="13">
        <v>19.100000000000001</v>
      </c>
      <c r="C148" s="23">
        <v>9.1999999999999993</v>
      </c>
      <c r="D148" s="12">
        <v>18</v>
      </c>
      <c r="E148" s="13">
        <v>4</v>
      </c>
      <c r="F148" s="12">
        <v>6</v>
      </c>
      <c r="G148" s="13">
        <v>4</v>
      </c>
    </row>
    <row r="149" spans="1:7" ht="15.3" thickBot="1" x14ac:dyDescent="0.6">
      <c r="A149" s="11" t="s">
        <v>41</v>
      </c>
      <c r="B149" s="13">
        <v>19.100000000000001</v>
      </c>
      <c r="C149" s="23">
        <v>9.1999999999999993</v>
      </c>
      <c r="D149" s="12">
        <v>6</v>
      </c>
      <c r="E149" s="13">
        <v>4</v>
      </c>
      <c r="F149" s="12">
        <v>6</v>
      </c>
      <c r="G149" s="13">
        <v>4</v>
      </c>
    </row>
    <row r="150" spans="1:7" ht="15.3" thickBot="1" x14ac:dyDescent="0.6">
      <c r="A150" s="11" t="s">
        <v>42</v>
      </c>
      <c r="B150" s="13">
        <v>19.100000000000001</v>
      </c>
      <c r="C150" s="23">
        <v>9.1999999999999993</v>
      </c>
      <c r="D150" s="12">
        <v>6</v>
      </c>
      <c r="E150" s="13">
        <v>4</v>
      </c>
      <c r="F150" s="12">
        <v>6</v>
      </c>
      <c r="G150" s="13">
        <v>4</v>
      </c>
    </row>
    <row r="151" spans="1:7" ht="15.3" thickBot="1" x14ac:dyDescent="0.6">
      <c r="A151" s="11" t="s">
        <v>43</v>
      </c>
      <c r="B151" s="13">
        <v>15.4</v>
      </c>
      <c r="C151" s="23">
        <v>9.1999999999999993</v>
      </c>
      <c r="D151" s="12">
        <v>6</v>
      </c>
      <c r="E151" s="13">
        <v>4</v>
      </c>
      <c r="F151" s="12">
        <v>5</v>
      </c>
      <c r="G151" s="13">
        <v>4</v>
      </c>
    </row>
    <row r="152" spans="1:7" ht="14.7" thickBot="1" x14ac:dyDescent="0.6">
      <c r="A152" s="30" t="s">
        <v>117</v>
      </c>
    </row>
    <row r="153" spans="1:7" ht="15.3" thickBot="1" x14ac:dyDescent="0.6">
      <c r="A153" s="11" t="s">
        <v>63</v>
      </c>
      <c r="B153" s="13">
        <v>10.199999999999999</v>
      </c>
      <c r="C153" s="23">
        <v>9</v>
      </c>
      <c r="D153" s="12">
        <v>3</v>
      </c>
      <c r="E153" s="13">
        <v>3</v>
      </c>
      <c r="F153" s="12">
        <v>3</v>
      </c>
      <c r="G153" s="13">
        <v>3</v>
      </c>
    </row>
    <row r="154" spans="1:7" ht="15.3" thickBot="1" x14ac:dyDescent="0.6">
      <c r="A154" s="11" t="s">
        <v>64</v>
      </c>
      <c r="B154" s="13">
        <v>10</v>
      </c>
      <c r="C154" s="23">
        <v>9</v>
      </c>
      <c r="D154" s="12">
        <v>3</v>
      </c>
      <c r="E154" s="13">
        <v>3</v>
      </c>
      <c r="F154" s="12">
        <v>3</v>
      </c>
      <c r="G154" s="13">
        <v>3</v>
      </c>
    </row>
    <row r="155" spans="1:7" ht="15.3" thickBot="1" x14ac:dyDescent="0.6">
      <c r="A155" s="11" t="s">
        <v>65</v>
      </c>
      <c r="B155" s="13">
        <v>8.4</v>
      </c>
      <c r="C155" s="23">
        <v>9</v>
      </c>
      <c r="D155" s="12">
        <v>2</v>
      </c>
      <c r="E155" s="13">
        <v>2</v>
      </c>
      <c r="F155" s="12">
        <v>3</v>
      </c>
      <c r="G155" s="13">
        <v>3</v>
      </c>
    </row>
    <row r="156" spans="1:7" ht="15.3" thickBot="1" x14ac:dyDescent="0.6">
      <c r="A156" s="11" t="s">
        <v>66</v>
      </c>
      <c r="B156" s="13">
        <v>8.1999999999999993</v>
      </c>
      <c r="C156" s="23">
        <v>9</v>
      </c>
      <c r="D156" s="12">
        <v>2</v>
      </c>
      <c r="E156" s="13">
        <v>2</v>
      </c>
      <c r="F156" s="12">
        <v>3</v>
      </c>
      <c r="G156" s="13">
        <v>2</v>
      </c>
    </row>
    <row r="157" spans="1:7" ht="15.3" thickBot="1" x14ac:dyDescent="0.6">
      <c r="A157" s="11" t="s">
        <v>67</v>
      </c>
      <c r="B157" s="13">
        <v>7.2</v>
      </c>
      <c r="C157" s="23">
        <v>9</v>
      </c>
      <c r="D157" s="12">
        <v>2</v>
      </c>
      <c r="E157" s="13">
        <v>2</v>
      </c>
      <c r="F157" s="12">
        <v>3</v>
      </c>
      <c r="G157" s="13">
        <v>2</v>
      </c>
    </row>
    <row r="158" spans="1:7" ht="15.3" thickBot="1" x14ac:dyDescent="0.6">
      <c r="A158" s="11" t="s">
        <v>68</v>
      </c>
      <c r="B158" s="13">
        <v>7.1</v>
      </c>
      <c r="C158" s="23">
        <v>9</v>
      </c>
      <c r="D158" s="14">
        <v>2</v>
      </c>
      <c r="E158" s="15">
        <v>2</v>
      </c>
      <c r="F158" s="14">
        <v>3</v>
      </c>
      <c r="G158" s="15">
        <v>2</v>
      </c>
    </row>
    <row r="160" spans="1:7" ht="14.7" thickBot="1" x14ac:dyDescent="0.6"/>
    <row r="161" spans="1:7" ht="28.5" thickBot="1" x14ac:dyDescent="0.6">
      <c r="A161" s="31" t="s">
        <v>36</v>
      </c>
      <c r="B161" s="60" t="s">
        <v>33</v>
      </c>
      <c r="C161" s="32" t="s">
        <v>34</v>
      </c>
      <c r="D161" s="61" t="s">
        <v>37</v>
      </c>
      <c r="E161" s="61" t="s">
        <v>38</v>
      </c>
      <c r="F161" s="61" t="s">
        <v>79</v>
      </c>
      <c r="G161" s="62" t="s">
        <v>80</v>
      </c>
    </row>
    <row r="162" spans="1:7" ht="15.3" thickBot="1" x14ac:dyDescent="0.6">
      <c r="A162" s="63" t="s">
        <v>39</v>
      </c>
      <c r="B162" s="13">
        <f>B147/19.5*100</f>
        <v>100</v>
      </c>
      <c r="C162" s="13">
        <f>C147/9.2*100</f>
        <v>100</v>
      </c>
      <c r="D162" s="13">
        <f>D147/19*100</f>
        <v>100</v>
      </c>
      <c r="E162" s="13">
        <f>E147/4*100</f>
        <v>100</v>
      </c>
      <c r="F162" s="13">
        <f>F147/6*100</f>
        <v>100</v>
      </c>
      <c r="G162" s="64">
        <f>G147/4*100</f>
        <v>100</v>
      </c>
    </row>
    <row r="163" spans="1:7" ht="15.3" thickBot="1" x14ac:dyDescent="0.6">
      <c r="A163" s="63" t="s">
        <v>40</v>
      </c>
      <c r="B163" s="13">
        <f t="shared" ref="B163:B166" si="2">B148/19.5*100</f>
        <v>97.948717948717956</v>
      </c>
      <c r="C163" s="13">
        <f t="shared" ref="C163:C166" si="3">C148/9.2*100</f>
        <v>100</v>
      </c>
      <c r="D163" s="13">
        <f t="shared" ref="D163:D166" si="4">D148/19*100</f>
        <v>94.73684210526315</v>
      </c>
      <c r="E163" s="13">
        <f t="shared" ref="E163:E166" si="5">E148/4*100</f>
        <v>100</v>
      </c>
      <c r="F163" s="13">
        <f t="shared" ref="F163:F166" si="6">F148/6*100</f>
        <v>100</v>
      </c>
      <c r="G163" s="64">
        <f t="shared" ref="G163:G167" si="7">G148/4*100</f>
        <v>100</v>
      </c>
    </row>
    <row r="164" spans="1:7" ht="15.3" thickBot="1" x14ac:dyDescent="0.6">
      <c r="A164" s="63" t="s">
        <v>41</v>
      </c>
      <c r="B164" s="13">
        <f t="shared" si="2"/>
        <v>97.948717948717956</v>
      </c>
      <c r="C164" s="13">
        <f t="shared" si="3"/>
        <v>100</v>
      </c>
      <c r="D164" s="13">
        <f t="shared" si="4"/>
        <v>31.578947368421051</v>
      </c>
      <c r="E164" s="13">
        <f t="shared" si="5"/>
        <v>100</v>
      </c>
      <c r="F164" s="13">
        <f t="shared" si="6"/>
        <v>100</v>
      </c>
      <c r="G164" s="64">
        <f t="shared" si="7"/>
        <v>100</v>
      </c>
    </row>
    <row r="165" spans="1:7" ht="15.3" thickBot="1" x14ac:dyDescent="0.6">
      <c r="A165" s="63" t="s">
        <v>42</v>
      </c>
      <c r="B165" s="13">
        <f t="shared" si="2"/>
        <v>97.948717948717956</v>
      </c>
      <c r="C165" s="13">
        <f t="shared" si="3"/>
        <v>100</v>
      </c>
      <c r="D165" s="13">
        <f t="shared" si="4"/>
        <v>31.578947368421051</v>
      </c>
      <c r="E165" s="13">
        <f t="shared" si="5"/>
        <v>100</v>
      </c>
      <c r="F165" s="13">
        <f t="shared" si="6"/>
        <v>100</v>
      </c>
      <c r="G165" s="64">
        <f t="shared" si="7"/>
        <v>100</v>
      </c>
    </row>
    <row r="166" spans="1:7" ht="15.3" thickBot="1" x14ac:dyDescent="0.6">
      <c r="A166" s="63" t="s">
        <v>43</v>
      </c>
      <c r="B166" s="13">
        <f t="shared" si="2"/>
        <v>78.974358974358978</v>
      </c>
      <c r="C166" s="13">
        <f t="shared" si="3"/>
        <v>100</v>
      </c>
      <c r="D166" s="13">
        <f t="shared" si="4"/>
        <v>31.578947368421051</v>
      </c>
      <c r="E166" s="13">
        <f t="shared" si="5"/>
        <v>100</v>
      </c>
      <c r="F166" s="13">
        <f t="shared" si="6"/>
        <v>83.333333333333343</v>
      </c>
      <c r="G166" s="64">
        <f t="shared" si="7"/>
        <v>100</v>
      </c>
    </row>
    <row r="167" spans="1:7" ht="15.3" thickBot="1" x14ac:dyDescent="0.6">
      <c r="A167" s="65" t="s">
        <v>117</v>
      </c>
      <c r="B167" s="13"/>
      <c r="C167" s="13"/>
      <c r="D167" s="13"/>
      <c r="E167" s="13"/>
      <c r="F167" s="13"/>
      <c r="G167" s="64">
        <f t="shared" si="7"/>
        <v>0</v>
      </c>
    </row>
    <row r="168" spans="1:7" ht="15.3" thickBot="1" x14ac:dyDescent="0.6">
      <c r="A168" s="63" t="s">
        <v>64</v>
      </c>
      <c r="B168" s="13">
        <f>B154/19.5*100</f>
        <v>51.282051282051277</v>
      </c>
      <c r="C168" s="13">
        <f>C154/9.2*100</f>
        <v>97.826086956521749</v>
      </c>
      <c r="D168" s="13">
        <f>D154/19*100</f>
        <v>15.789473684210526</v>
      </c>
      <c r="E168" s="13">
        <f>E154/4*100</f>
        <v>75</v>
      </c>
      <c r="F168" s="13">
        <f>F154/6*100</f>
        <v>50</v>
      </c>
      <c r="G168" s="64">
        <f>G154/4*100</f>
        <v>75</v>
      </c>
    </row>
    <row r="169" spans="1:7" ht="15.3" thickBot="1" x14ac:dyDescent="0.6">
      <c r="A169" s="63" t="s">
        <v>65</v>
      </c>
      <c r="B169" s="13">
        <f>B155/19.5*100</f>
        <v>43.07692307692308</v>
      </c>
      <c r="C169" s="13">
        <f>C155/9.2*100</f>
        <v>97.826086956521749</v>
      </c>
      <c r="D169" s="13">
        <f>D155/19*100</f>
        <v>10.526315789473683</v>
      </c>
      <c r="E169" s="13">
        <f>E155/4*100</f>
        <v>50</v>
      </c>
      <c r="F169" s="13">
        <f>F155/6*100</f>
        <v>50</v>
      </c>
      <c r="G169" s="64">
        <f>G155/4*100</f>
        <v>75</v>
      </c>
    </row>
    <row r="170" spans="1:7" ht="15.3" thickBot="1" x14ac:dyDescent="0.6">
      <c r="A170" s="63" t="s">
        <v>66</v>
      </c>
      <c r="B170" s="13">
        <f>B156/19.5*100</f>
        <v>42.051282051282044</v>
      </c>
      <c r="C170" s="13">
        <f>C156/9.2*100</f>
        <v>97.826086956521749</v>
      </c>
      <c r="D170" s="13">
        <f>D156/19*100</f>
        <v>10.526315789473683</v>
      </c>
      <c r="E170" s="13">
        <f>E156/4*100</f>
        <v>50</v>
      </c>
      <c r="F170" s="13">
        <f>F156/6*100</f>
        <v>50</v>
      </c>
      <c r="G170" s="64">
        <f>G156/4*100</f>
        <v>50</v>
      </c>
    </row>
    <row r="171" spans="1:7" ht="15.3" thickBot="1" x14ac:dyDescent="0.6">
      <c r="A171" s="63" t="s">
        <v>67</v>
      </c>
      <c r="B171" s="13">
        <f>B157/19.5*100</f>
        <v>36.923076923076927</v>
      </c>
      <c r="C171" s="13">
        <f>C157/9.2*100</f>
        <v>97.826086956521749</v>
      </c>
      <c r="D171" s="13">
        <f>D157/19*100</f>
        <v>10.526315789473683</v>
      </c>
      <c r="E171" s="13">
        <f>E157/4*100</f>
        <v>50</v>
      </c>
      <c r="F171" s="13">
        <f>F157/6*100</f>
        <v>50</v>
      </c>
      <c r="G171" s="64">
        <f>G157/4*100</f>
        <v>50</v>
      </c>
    </row>
    <row r="172" spans="1:7" ht="15.3" thickBot="1" x14ac:dyDescent="0.6">
      <c r="A172" s="66" t="s">
        <v>68</v>
      </c>
      <c r="B172" s="67">
        <f>B158/19.5*100</f>
        <v>36.410256410256409</v>
      </c>
      <c r="C172" s="67">
        <f>C158/9.2*100</f>
        <v>97.826086956521749</v>
      </c>
      <c r="D172" s="67">
        <f>D158/19*100</f>
        <v>10.526315789473683</v>
      </c>
      <c r="E172" s="67">
        <f>E158/4*100</f>
        <v>50</v>
      </c>
      <c r="F172" s="67">
        <f>F158/6*100</f>
        <v>50</v>
      </c>
      <c r="G172" s="68">
        <f>G158/4*100</f>
        <v>50</v>
      </c>
    </row>
    <row r="179" spans="1:5" ht="14.7" thickBot="1" x14ac:dyDescent="0.6"/>
    <row r="180" spans="1:5" ht="25.8" thickBot="1" x14ac:dyDescent="0.6">
      <c r="A180" s="2"/>
      <c r="B180" s="2" t="s">
        <v>301</v>
      </c>
      <c r="C180" s="2" t="s">
        <v>302</v>
      </c>
      <c r="D180" s="2" t="s">
        <v>295</v>
      </c>
      <c r="E180" s="2" t="s">
        <v>296</v>
      </c>
    </row>
    <row r="181" spans="1:5" ht="25.8" thickBot="1" x14ac:dyDescent="0.6">
      <c r="A181" s="2" t="s">
        <v>297</v>
      </c>
      <c r="B181" s="114">
        <f>D181/E181*100</f>
        <v>33.333333333333329</v>
      </c>
      <c r="C181">
        <f>E181/E181*100</f>
        <v>100</v>
      </c>
      <c r="D181" s="113">
        <v>4</v>
      </c>
      <c r="E181" s="3">
        <v>12</v>
      </c>
    </row>
    <row r="182" spans="1:5" ht="25.8" thickBot="1" x14ac:dyDescent="0.6">
      <c r="A182" s="2" t="s">
        <v>298</v>
      </c>
      <c r="B182" s="114">
        <f t="shared" ref="B182:B186" si="8">D182/E182*100</f>
        <v>58.333333333333336</v>
      </c>
      <c r="C182">
        <f t="shared" ref="C182:C186" si="9">E182/E182*100</f>
        <v>100</v>
      </c>
      <c r="D182" s="3">
        <v>7</v>
      </c>
      <c r="E182" s="3">
        <v>12</v>
      </c>
    </row>
    <row r="183" spans="1:5" ht="25.8" thickBot="1" x14ac:dyDescent="0.6">
      <c r="A183" s="2" t="s">
        <v>299</v>
      </c>
      <c r="B183" s="114">
        <f t="shared" si="8"/>
        <v>50</v>
      </c>
      <c r="C183">
        <f t="shared" si="9"/>
        <v>100</v>
      </c>
      <c r="D183" s="3">
        <v>3</v>
      </c>
      <c r="E183" s="3">
        <v>6</v>
      </c>
    </row>
    <row r="184" spans="1:5" ht="25.8" thickBot="1" x14ac:dyDescent="0.6">
      <c r="A184" s="2" t="s">
        <v>300</v>
      </c>
      <c r="B184" s="114">
        <f t="shared" si="8"/>
        <v>40</v>
      </c>
      <c r="C184">
        <f t="shared" si="9"/>
        <v>100</v>
      </c>
      <c r="D184" s="3">
        <v>4</v>
      </c>
      <c r="E184" s="3">
        <v>10</v>
      </c>
    </row>
    <row r="185" spans="1:5" ht="25.8" thickBot="1" x14ac:dyDescent="0.6">
      <c r="A185" s="2" t="s">
        <v>33</v>
      </c>
      <c r="B185" s="114">
        <f t="shared" si="8"/>
        <v>6.1840120663650078</v>
      </c>
      <c r="C185">
        <f t="shared" si="9"/>
        <v>100</v>
      </c>
      <c r="D185" s="3">
        <v>41</v>
      </c>
      <c r="E185" s="3">
        <v>663</v>
      </c>
    </row>
    <row r="186" spans="1:5" ht="14.7" thickBot="1" x14ac:dyDescent="0.6">
      <c r="A186" s="2" t="s">
        <v>34</v>
      </c>
      <c r="B186" s="114">
        <f t="shared" si="8"/>
        <v>89.473684210526315</v>
      </c>
      <c r="C186">
        <f t="shared" si="9"/>
        <v>100</v>
      </c>
      <c r="D186" s="3">
        <v>17</v>
      </c>
      <c r="E186" s="3">
        <v>19</v>
      </c>
    </row>
    <row r="191" spans="1:5" ht="14.7" thickBot="1" x14ac:dyDescent="0.6"/>
    <row r="192" spans="1:5" ht="14.7" thickBot="1" x14ac:dyDescent="0.6">
      <c r="B192" s="2"/>
      <c r="C192" s="2" t="s">
        <v>295</v>
      </c>
      <c r="D192" s="2" t="s">
        <v>296</v>
      </c>
    </row>
    <row r="193" spans="2:6" ht="14.7" thickBot="1" x14ac:dyDescent="0.6">
      <c r="B193" s="2"/>
      <c r="C193" s="2"/>
      <c r="D193" s="2"/>
    </row>
    <row r="194" spans="2:6" ht="25.8" thickBot="1" x14ac:dyDescent="0.6">
      <c r="B194" s="2"/>
      <c r="C194" s="2" t="s">
        <v>301</v>
      </c>
      <c r="D194" s="2" t="s">
        <v>302</v>
      </c>
      <c r="E194" s="2" t="s">
        <v>295</v>
      </c>
      <c r="F194" s="2" t="s">
        <v>296</v>
      </c>
    </row>
    <row r="195" spans="2:6" ht="38.1" thickBot="1" x14ac:dyDescent="0.6">
      <c r="B195" s="2" t="s">
        <v>303</v>
      </c>
      <c r="C195" s="114">
        <f>E195/F195*100</f>
        <v>50</v>
      </c>
      <c r="D195">
        <f>F195/F195*100</f>
        <v>100</v>
      </c>
      <c r="E195" s="3">
        <v>3</v>
      </c>
      <c r="F195" s="3">
        <v>6</v>
      </c>
    </row>
    <row r="196" spans="2:6" ht="38.1" thickBot="1" x14ac:dyDescent="0.6">
      <c r="B196" s="2" t="s">
        <v>304</v>
      </c>
      <c r="C196" s="114">
        <f t="shared" ref="C196" si="10">E196/F196*100</f>
        <v>66.666666666666657</v>
      </c>
      <c r="D196">
        <f t="shared" ref="D196" si="11">F196/F196*100</f>
        <v>100</v>
      </c>
      <c r="E196" s="3">
        <v>4</v>
      </c>
      <c r="F196" s="3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A16" workbookViewId="0">
      <selection activeCell="F19" sqref="F19"/>
    </sheetView>
  </sheetViews>
  <sheetFormatPr defaultRowHeight="14.4" x14ac:dyDescent="0.55000000000000004"/>
  <sheetData>
    <row r="1" spans="1:20" ht="38.1" thickBot="1" x14ac:dyDescent="0.6">
      <c r="A1" s="2" t="s">
        <v>29</v>
      </c>
      <c r="B1" s="2"/>
      <c r="C1" s="2"/>
      <c r="D1" s="2"/>
    </row>
    <row r="2" spans="1:20" ht="25.8" thickBot="1" x14ac:dyDescent="0.6">
      <c r="A2" s="2" t="s">
        <v>30</v>
      </c>
      <c r="B2" s="4"/>
      <c r="C2" s="4"/>
      <c r="D2" s="4"/>
    </row>
    <row r="3" spans="1:20" ht="25.8" thickBot="1" x14ac:dyDescent="0.6">
      <c r="A3" s="43" t="s">
        <v>31</v>
      </c>
      <c r="B3" s="44"/>
      <c r="C3" s="44"/>
      <c r="D3" s="44"/>
    </row>
    <row r="4" spans="1:20" ht="25.8" thickBot="1" x14ac:dyDescent="0.6">
      <c r="A4" s="31" t="s">
        <v>32</v>
      </c>
      <c r="B4" s="32" t="s">
        <v>35</v>
      </c>
      <c r="C4" s="32" t="s">
        <v>33</v>
      </c>
      <c r="D4" s="32" t="s">
        <v>34</v>
      </c>
      <c r="E4" s="45" t="s">
        <v>118</v>
      </c>
    </row>
    <row r="5" spans="1:20" ht="14.7" thickBot="1" x14ac:dyDescent="0.6">
      <c r="A5" s="46">
        <f>T6*100</f>
        <v>0.25</v>
      </c>
      <c r="B5" s="2">
        <v>301</v>
      </c>
      <c r="C5" s="3">
        <v>393</v>
      </c>
      <c r="D5" s="3">
        <v>415</v>
      </c>
      <c r="E5" s="47"/>
    </row>
    <row r="6" spans="1:20" ht="14.7" thickBot="1" x14ac:dyDescent="0.6">
      <c r="A6" s="46">
        <f t="shared" ref="A6:A19" si="0">T7*100</f>
        <v>0.2</v>
      </c>
      <c r="B6" s="3">
        <v>314</v>
      </c>
      <c r="C6" s="3">
        <v>413</v>
      </c>
      <c r="D6" s="3">
        <v>414</v>
      </c>
      <c r="E6" s="48"/>
      <c r="T6" s="87">
        <v>2.5000000000000001E-3</v>
      </c>
    </row>
    <row r="7" spans="1:20" ht="14.7" thickBot="1" x14ac:dyDescent="0.6">
      <c r="A7" s="46">
        <f t="shared" si="0"/>
        <v>0.18</v>
      </c>
      <c r="B7" s="3">
        <v>335</v>
      </c>
      <c r="C7" s="3">
        <v>418</v>
      </c>
      <c r="D7" s="3">
        <v>449</v>
      </c>
      <c r="E7" s="48"/>
      <c r="T7" s="87">
        <v>2E-3</v>
      </c>
    </row>
    <row r="8" spans="1:20" ht="14.7" thickBot="1" x14ac:dyDescent="0.6">
      <c r="A8" s="46">
        <f t="shared" si="0"/>
        <v>0.15</v>
      </c>
      <c r="B8" s="3">
        <v>390</v>
      </c>
      <c r="C8" s="3">
        <v>435</v>
      </c>
      <c r="D8" s="3">
        <v>688</v>
      </c>
      <c r="E8" s="48"/>
      <c r="T8" s="87">
        <v>1.8E-3</v>
      </c>
    </row>
    <row r="9" spans="1:20" ht="14.7" thickBot="1" x14ac:dyDescent="0.6">
      <c r="A9" s="46">
        <f t="shared" si="0"/>
        <v>0.1</v>
      </c>
      <c r="B9" s="3">
        <v>990</v>
      </c>
      <c r="C9" s="8">
        <v>586</v>
      </c>
      <c r="D9" s="3">
        <v>805</v>
      </c>
      <c r="E9" s="48"/>
      <c r="T9" s="87">
        <v>1.5E-3</v>
      </c>
    </row>
    <row r="10" spans="1:20" ht="14.7" thickBot="1" x14ac:dyDescent="0.6">
      <c r="A10" s="46">
        <f t="shared" si="0"/>
        <v>0.08</v>
      </c>
      <c r="B10" s="3">
        <v>1046</v>
      </c>
      <c r="C10" s="3">
        <v>905</v>
      </c>
      <c r="D10" s="3">
        <v>1160</v>
      </c>
      <c r="E10" s="48"/>
      <c r="T10" s="87">
        <v>1E-3</v>
      </c>
    </row>
    <row r="11" spans="1:20" ht="14.7" thickBot="1" x14ac:dyDescent="0.6">
      <c r="A11" s="46">
        <f t="shared" si="0"/>
        <v>7.4999999999999997E-2</v>
      </c>
      <c r="B11" s="3">
        <v>1175</v>
      </c>
      <c r="C11" s="3">
        <v>1138</v>
      </c>
      <c r="D11" s="3">
        <v>1360</v>
      </c>
      <c r="E11" s="48"/>
      <c r="T11" s="87">
        <v>8.0000000000000004E-4</v>
      </c>
    </row>
    <row r="12" spans="1:20" ht="14.7" thickBot="1" x14ac:dyDescent="0.6">
      <c r="A12" s="46">
        <f t="shared" si="0"/>
        <v>7.2000000000000008E-2</v>
      </c>
      <c r="B12" s="3">
        <v>1297</v>
      </c>
      <c r="C12" s="3">
        <v>1309</v>
      </c>
      <c r="D12" s="3">
        <v>1399</v>
      </c>
      <c r="E12" s="48"/>
      <c r="T12" s="87">
        <v>7.5000000000000002E-4</v>
      </c>
    </row>
    <row r="13" spans="1:20" ht="14.7" thickBot="1" x14ac:dyDescent="0.6">
      <c r="A13" s="46">
        <f t="shared" si="0"/>
        <v>7.1000000000000008E-2</v>
      </c>
      <c r="B13" s="3">
        <v>1417</v>
      </c>
      <c r="C13" s="3">
        <v>1304</v>
      </c>
      <c r="D13" s="3">
        <v>1416</v>
      </c>
      <c r="E13" s="48"/>
      <c r="T13" s="87">
        <v>7.2000000000000005E-4</v>
      </c>
    </row>
    <row r="14" spans="1:20" ht="14.7" thickBot="1" x14ac:dyDescent="0.6">
      <c r="A14" s="46">
        <f t="shared" si="0"/>
        <v>6.9999999999999993E-2</v>
      </c>
      <c r="B14" s="20"/>
      <c r="C14" s="8">
        <v>1309</v>
      </c>
      <c r="D14" s="3">
        <v>1473</v>
      </c>
      <c r="E14" s="48"/>
      <c r="T14" s="87">
        <v>7.1000000000000002E-4</v>
      </c>
    </row>
    <row r="15" spans="1:20" ht="14.7" thickBot="1" x14ac:dyDescent="0.6">
      <c r="A15" s="46">
        <f t="shared" si="0"/>
        <v>0.05</v>
      </c>
      <c r="B15" s="20"/>
      <c r="C15" s="3">
        <v>2880</v>
      </c>
      <c r="D15" s="3">
        <v>2529</v>
      </c>
      <c r="E15" s="48"/>
      <c r="T15" s="87">
        <v>6.9999999999999999E-4</v>
      </c>
    </row>
    <row r="16" spans="1:20" ht="14.7" thickBot="1" x14ac:dyDescent="0.6">
      <c r="A16" s="46">
        <f t="shared" si="0"/>
        <v>0.04</v>
      </c>
      <c r="B16" s="22"/>
      <c r="C16" s="3">
        <v>5855</v>
      </c>
      <c r="D16" s="3">
        <v>3267</v>
      </c>
      <c r="E16" s="48"/>
      <c r="T16" s="87">
        <v>5.0000000000000001E-4</v>
      </c>
    </row>
    <row r="17" spans="1:20" ht="14.7" thickBot="1" x14ac:dyDescent="0.6">
      <c r="A17" s="46">
        <f t="shared" si="0"/>
        <v>0.03</v>
      </c>
      <c r="B17" s="22"/>
      <c r="C17" s="3">
        <v>19320</v>
      </c>
      <c r="D17" s="3">
        <v>4443</v>
      </c>
      <c r="E17" s="48"/>
      <c r="T17" s="87">
        <v>4.0000000000000002E-4</v>
      </c>
    </row>
    <row r="18" spans="1:20" ht="14.7" thickBot="1" x14ac:dyDescent="0.6">
      <c r="A18" s="46">
        <f t="shared" si="0"/>
        <v>0.02</v>
      </c>
      <c r="B18" s="20"/>
      <c r="C18" s="3">
        <v>48892</v>
      </c>
      <c r="D18" s="3">
        <v>5640</v>
      </c>
      <c r="E18" s="48"/>
      <c r="F18" t="s">
        <v>249</v>
      </c>
      <c r="T18" s="87">
        <v>2.9999999999999997E-4</v>
      </c>
    </row>
    <row r="19" spans="1:20" ht="14.7" thickBot="1" x14ac:dyDescent="0.6">
      <c r="A19" s="46">
        <f t="shared" si="0"/>
        <v>0.01</v>
      </c>
      <c r="B19" s="50"/>
      <c r="C19" s="40">
        <v>61320</v>
      </c>
      <c r="D19" s="40">
        <v>7128</v>
      </c>
      <c r="E19" s="51"/>
      <c r="F19" s="85">
        <v>10725171</v>
      </c>
      <c r="T19" s="87">
        <v>2.0000000000000001E-4</v>
      </c>
    </row>
    <row r="20" spans="1:20" ht="14.7" thickBot="1" x14ac:dyDescent="0.6">
      <c r="T20" s="88">
        <v>1E-4</v>
      </c>
    </row>
    <row r="21" spans="1:20" ht="14.7" thickBot="1" x14ac:dyDescent="0.6"/>
    <row r="22" spans="1:20" ht="25.8" thickBot="1" x14ac:dyDescent="0.6">
      <c r="A22" s="31" t="s">
        <v>32</v>
      </c>
      <c r="B22" s="32" t="s">
        <v>35</v>
      </c>
      <c r="C22" s="32" t="s">
        <v>33</v>
      </c>
      <c r="D22" s="32" t="s">
        <v>34</v>
      </c>
      <c r="E22" s="45" t="s">
        <v>118</v>
      </c>
    </row>
    <row r="23" spans="1:20" ht="14.7" thickBot="1" x14ac:dyDescent="0.6">
      <c r="A23" s="46">
        <f>A35*100</f>
        <v>0.25</v>
      </c>
      <c r="B23" s="2">
        <v>301</v>
      </c>
      <c r="C23" s="3">
        <v>393</v>
      </c>
      <c r="D23" s="3">
        <v>415</v>
      </c>
      <c r="E23" s="47"/>
    </row>
    <row r="24" spans="1:20" ht="14.7" thickBot="1" x14ac:dyDescent="0.6">
      <c r="A24" s="46">
        <f t="shared" ref="A24:A31" si="1">A36*100</f>
        <v>0.2</v>
      </c>
      <c r="B24" s="3">
        <v>314</v>
      </c>
      <c r="C24" s="3">
        <v>413</v>
      </c>
      <c r="D24" s="3">
        <v>414</v>
      </c>
      <c r="E24" s="48"/>
    </row>
    <row r="25" spans="1:20" ht="14.7" thickBot="1" x14ac:dyDescent="0.6">
      <c r="A25" s="46">
        <f t="shared" si="1"/>
        <v>0.18</v>
      </c>
      <c r="B25" s="3">
        <v>335</v>
      </c>
      <c r="C25" s="3">
        <v>418</v>
      </c>
      <c r="D25" s="3">
        <v>449</v>
      </c>
      <c r="E25" s="48"/>
    </row>
    <row r="26" spans="1:20" ht="14.7" thickBot="1" x14ac:dyDescent="0.6">
      <c r="A26" s="46">
        <f t="shared" si="1"/>
        <v>0.15</v>
      </c>
      <c r="B26" s="3">
        <v>390</v>
      </c>
      <c r="C26" s="3">
        <v>435</v>
      </c>
      <c r="D26" s="3">
        <v>688</v>
      </c>
      <c r="E26" s="48"/>
    </row>
    <row r="27" spans="1:20" ht="14.7" thickBot="1" x14ac:dyDescent="0.6">
      <c r="A27" s="46">
        <f t="shared" si="1"/>
        <v>0.1</v>
      </c>
      <c r="B27" s="3">
        <v>990</v>
      </c>
      <c r="C27" s="8">
        <v>586</v>
      </c>
      <c r="D27" s="3">
        <v>805</v>
      </c>
      <c r="E27" s="48"/>
    </row>
    <row r="28" spans="1:20" ht="14.7" thickBot="1" x14ac:dyDescent="0.6">
      <c r="A28" s="46">
        <f t="shared" si="1"/>
        <v>0.08</v>
      </c>
      <c r="B28" s="3">
        <v>1046</v>
      </c>
      <c r="C28" s="3">
        <v>905</v>
      </c>
      <c r="D28" s="3">
        <v>1160</v>
      </c>
      <c r="E28" s="48"/>
    </row>
    <row r="29" spans="1:20" ht="14.7" thickBot="1" x14ac:dyDescent="0.6">
      <c r="A29" s="46">
        <f t="shared" si="1"/>
        <v>7.4999999999999997E-2</v>
      </c>
      <c r="B29" s="3">
        <v>1175</v>
      </c>
      <c r="C29" s="3">
        <v>1138</v>
      </c>
      <c r="D29" s="3">
        <v>1360</v>
      </c>
      <c r="E29" s="48"/>
    </row>
    <row r="30" spans="1:20" ht="14.7" thickBot="1" x14ac:dyDescent="0.6">
      <c r="A30" s="46">
        <f t="shared" si="1"/>
        <v>7.2000000000000008E-2</v>
      </c>
      <c r="B30" s="3">
        <v>1297</v>
      </c>
      <c r="C30" s="3">
        <v>1309</v>
      </c>
      <c r="D30" s="3">
        <v>1399</v>
      </c>
      <c r="E30" s="48"/>
    </row>
    <row r="31" spans="1:20" ht="14.7" thickBot="1" x14ac:dyDescent="0.6">
      <c r="A31" s="46">
        <f t="shared" si="1"/>
        <v>7.1000000000000008E-2</v>
      </c>
      <c r="B31" s="40">
        <v>1417</v>
      </c>
      <c r="C31" s="40">
        <v>1304</v>
      </c>
      <c r="D31" s="40">
        <v>1416</v>
      </c>
      <c r="E31" s="51"/>
    </row>
    <row r="34" spans="1:1" ht="14.7" thickBot="1" x14ac:dyDescent="0.6"/>
    <row r="35" spans="1:1" ht="14.7" thickBot="1" x14ac:dyDescent="0.6">
      <c r="A35" s="46">
        <v>2.5000000000000001E-3</v>
      </c>
    </row>
    <row r="36" spans="1:1" ht="14.7" thickBot="1" x14ac:dyDescent="0.6">
      <c r="A36" s="46">
        <v>2E-3</v>
      </c>
    </row>
    <row r="37" spans="1:1" ht="14.7" thickBot="1" x14ac:dyDescent="0.6">
      <c r="A37" s="46">
        <v>1.8E-3</v>
      </c>
    </row>
    <row r="38" spans="1:1" ht="14.7" thickBot="1" x14ac:dyDescent="0.6">
      <c r="A38" s="46">
        <v>1.5E-3</v>
      </c>
    </row>
    <row r="39" spans="1:1" ht="14.7" thickBot="1" x14ac:dyDescent="0.6">
      <c r="A39" s="46">
        <v>1E-3</v>
      </c>
    </row>
    <row r="40" spans="1:1" ht="14.7" thickBot="1" x14ac:dyDescent="0.6">
      <c r="A40" s="46">
        <v>8.0000000000000004E-4</v>
      </c>
    </row>
    <row r="41" spans="1:1" ht="14.7" thickBot="1" x14ac:dyDescent="0.6">
      <c r="A41" s="46">
        <v>7.5000000000000002E-4</v>
      </c>
    </row>
    <row r="42" spans="1:1" ht="14.7" thickBot="1" x14ac:dyDescent="0.6">
      <c r="A42" s="46">
        <v>7.2000000000000005E-4</v>
      </c>
    </row>
    <row r="43" spans="1:1" ht="14.7" thickBot="1" x14ac:dyDescent="0.6">
      <c r="A43" s="49">
        <v>7.1000000000000002E-4</v>
      </c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1"/>
  <sheetViews>
    <sheetView topLeftCell="A64" workbookViewId="0">
      <selection activeCell="A53" sqref="A53"/>
    </sheetView>
  </sheetViews>
  <sheetFormatPr defaultRowHeight="14.4" x14ac:dyDescent="0.55000000000000004"/>
  <cols>
    <col min="3" max="3" width="29.83984375" customWidth="1"/>
    <col min="4" max="4" width="26.26171875" customWidth="1"/>
    <col min="5" max="5" width="19.83984375" bestFit="1" customWidth="1"/>
    <col min="6" max="6" width="21.41796875" bestFit="1" customWidth="1"/>
    <col min="7" max="7" width="34.578125" bestFit="1" customWidth="1"/>
  </cols>
  <sheetData>
    <row r="1" spans="2:8" x14ac:dyDescent="0.55000000000000004">
      <c r="B1" t="s">
        <v>150</v>
      </c>
    </row>
    <row r="2" spans="2:8" ht="14.7" thickBot="1" x14ac:dyDescent="0.6">
      <c r="B2" s="78" t="s">
        <v>149</v>
      </c>
      <c r="C2" s="78" t="s">
        <v>153</v>
      </c>
      <c r="D2" s="78"/>
      <c r="E2" s="81" t="s">
        <v>156</v>
      </c>
      <c r="F2" s="81" t="s">
        <v>155</v>
      </c>
      <c r="G2" s="81" t="s">
        <v>157</v>
      </c>
      <c r="H2" s="81" t="s">
        <v>158</v>
      </c>
    </row>
    <row r="3" spans="2:8" ht="14.7" thickBot="1" x14ac:dyDescent="0.6">
      <c r="B3" s="78">
        <v>1</v>
      </c>
      <c r="C3" s="76" t="s">
        <v>29</v>
      </c>
      <c r="D3" s="144"/>
      <c r="E3" s="82">
        <v>100000000</v>
      </c>
      <c r="F3" s="1">
        <v>29328</v>
      </c>
      <c r="G3">
        <v>11.54</v>
      </c>
      <c r="H3" s="2" t="s">
        <v>159</v>
      </c>
    </row>
    <row r="4" spans="2:8" ht="14.7" thickBot="1" x14ac:dyDescent="0.6">
      <c r="B4" s="78">
        <v>2</v>
      </c>
      <c r="C4" s="76" t="s">
        <v>121</v>
      </c>
      <c r="D4" s="145"/>
      <c r="E4" s="82">
        <v>250000000</v>
      </c>
      <c r="F4" s="1">
        <v>29328</v>
      </c>
      <c r="G4">
        <v>11.54</v>
      </c>
      <c r="H4" s="2" t="s">
        <v>160</v>
      </c>
    </row>
    <row r="5" spans="2:8" ht="25.8" thickBot="1" x14ac:dyDescent="0.6">
      <c r="B5" s="78">
        <v>3</v>
      </c>
      <c r="C5" s="76" t="s">
        <v>122</v>
      </c>
      <c r="D5" s="145"/>
      <c r="E5" s="82">
        <v>500000000</v>
      </c>
      <c r="F5" s="1">
        <v>29328</v>
      </c>
      <c r="G5" s="83">
        <v>11.54</v>
      </c>
      <c r="H5" s="2" t="s">
        <v>161</v>
      </c>
    </row>
    <row r="6" spans="2:8" ht="14.7" thickBot="1" x14ac:dyDescent="0.6">
      <c r="B6" s="78">
        <v>4</v>
      </c>
      <c r="C6" s="76" t="s">
        <v>123</v>
      </c>
      <c r="D6" s="145"/>
      <c r="E6" s="82">
        <v>1000000000</v>
      </c>
      <c r="F6" s="1">
        <v>29328</v>
      </c>
      <c r="G6">
        <v>11.54</v>
      </c>
      <c r="H6" s="2" t="s">
        <v>162</v>
      </c>
    </row>
    <row r="7" spans="2:8" ht="14.7" thickBot="1" x14ac:dyDescent="0.6">
      <c r="B7" s="78">
        <v>5</v>
      </c>
      <c r="C7" s="76" t="s">
        <v>124</v>
      </c>
      <c r="D7" s="146"/>
      <c r="E7" s="82">
        <v>2000000000</v>
      </c>
      <c r="F7" s="1">
        <v>29328</v>
      </c>
      <c r="G7">
        <v>11.54</v>
      </c>
      <c r="H7" s="2" t="s">
        <v>163</v>
      </c>
    </row>
    <row r="8" spans="2:8" x14ac:dyDescent="0.55000000000000004">
      <c r="B8" s="78">
        <v>6</v>
      </c>
      <c r="C8" s="79" t="s">
        <v>125</v>
      </c>
      <c r="D8" s="147"/>
      <c r="E8" s="82">
        <v>10000000</v>
      </c>
      <c r="F8" s="1">
        <v>18011</v>
      </c>
      <c r="G8">
        <v>29.99</v>
      </c>
      <c r="H8" s="73" t="s">
        <v>165</v>
      </c>
    </row>
    <row r="9" spans="2:8" x14ac:dyDescent="0.55000000000000004">
      <c r="B9" s="78">
        <v>7</v>
      </c>
      <c r="C9" s="77" t="s">
        <v>132</v>
      </c>
      <c r="D9" s="148"/>
      <c r="E9" s="82">
        <v>10000000</v>
      </c>
      <c r="F9" s="1">
        <v>18010</v>
      </c>
      <c r="G9">
        <v>39.979999999999997</v>
      </c>
      <c r="H9" s="73" t="s">
        <v>166</v>
      </c>
    </row>
    <row r="10" spans="2:8" x14ac:dyDescent="0.55000000000000004">
      <c r="B10" s="78">
        <v>8</v>
      </c>
      <c r="C10" s="77" t="s">
        <v>131</v>
      </c>
      <c r="D10" s="148"/>
      <c r="E10" s="82">
        <v>10000000</v>
      </c>
      <c r="F10" s="1">
        <v>18014</v>
      </c>
      <c r="G10">
        <v>49.98</v>
      </c>
      <c r="H10" s="73" t="s">
        <v>167</v>
      </c>
    </row>
    <row r="11" spans="2:8" x14ac:dyDescent="0.55000000000000004">
      <c r="B11" s="78">
        <v>9</v>
      </c>
      <c r="C11" s="77" t="s">
        <v>126</v>
      </c>
      <c r="D11" s="148"/>
      <c r="E11" s="82">
        <v>10000000</v>
      </c>
      <c r="F11" s="1">
        <v>18010</v>
      </c>
      <c r="G11">
        <v>59.98</v>
      </c>
      <c r="H11" s="73" t="s">
        <v>168</v>
      </c>
    </row>
    <row r="12" spans="2:8" x14ac:dyDescent="0.55000000000000004">
      <c r="B12" s="78">
        <v>10</v>
      </c>
      <c r="C12" s="77" t="s">
        <v>127</v>
      </c>
      <c r="D12" s="148"/>
      <c r="E12" s="82">
        <v>10000000</v>
      </c>
      <c r="F12" s="1">
        <v>18016</v>
      </c>
      <c r="G12">
        <v>69.98</v>
      </c>
      <c r="H12" s="73" t="s">
        <v>169</v>
      </c>
    </row>
    <row r="13" spans="2:8" x14ac:dyDescent="0.55000000000000004">
      <c r="B13" s="78">
        <v>11</v>
      </c>
      <c r="C13" s="77" t="s">
        <v>128</v>
      </c>
      <c r="D13" s="148"/>
      <c r="E13" s="82">
        <v>10000000</v>
      </c>
      <c r="F13" s="1">
        <v>18012</v>
      </c>
      <c r="G13">
        <v>79.98</v>
      </c>
      <c r="H13" s="73" t="s">
        <v>170</v>
      </c>
    </row>
    <row r="14" spans="2:8" x14ac:dyDescent="0.55000000000000004">
      <c r="B14" s="78">
        <v>12</v>
      </c>
      <c r="C14" s="77" t="s">
        <v>129</v>
      </c>
      <c r="D14" s="148"/>
      <c r="E14" s="82">
        <v>10000000</v>
      </c>
      <c r="F14" s="1">
        <v>18014</v>
      </c>
      <c r="G14">
        <v>89.97</v>
      </c>
      <c r="H14" s="73" t="s">
        <v>171</v>
      </c>
    </row>
    <row r="15" spans="2:8" x14ac:dyDescent="0.55000000000000004">
      <c r="B15" s="78">
        <v>13</v>
      </c>
      <c r="C15" s="77" t="s">
        <v>130</v>
      </c>
      <c r="D15" s="149"/>
      <c r="E15" s="82">
        <v>10000000</v>
      </c>
      <c r="F15" s="1">
        <v>18015</v>
      </c>
      <c r="G15">
        <v>99.97</v>
      </c>
      <c r="H15" s="73" t="s">
        <v>172</v>
      </c>
    </row>
    <row r="16" spans="2:8" x14ac:dyDescent="0.55000000000000004">
      <c r="B16" s="78">
        <v>14</v>
      </c>
      <c r="C16" s="77" t="s">
        <v>133</v>
      </c>
      <c r="D16" s="150"/>
      <c r="E16" s="82">
        <v>10000000</v>
      </c>
      <c r="F16" s="1">
        <v>8212</v>
      </c>
      <c r="G16" s="1">
        <v>19.989999999999998</v>
      </c>
      <c r="H16" s="73" t="s">
        <v>173</v>
      </c>
    </row>
    <row r="17" spans="2:13" x14ac:dyDescent="0.55000000000000004">
      <c r="B17" s="78">
        <v>15</v>
      </c>
      <c r="C17" s="77" t="s">
        <v>134</v>
      </c>
      <c r="D17" s="151"/>
      <c r="E17" s="82">
        <v>10000000</v>
      </c>
      <c r="F17" s="1">
        <v>14976</v>
      </c>
      <c r="G17">
        <v>19.989999999999998</v>
      </c>
      <c r="H17" t="s">
        <v>173</v>
      </c>
    </row>
    <row r="18" spans="2:13" x14ac:dyDescent="0.55000000000000004">
      <c r="B18" s="78">
        <v>16</v>
      </c>
      <c r="C18" s="77" t="s">
        <v>135</v>
      </c>
      <c r="D18" s="151"/>
      <c r="E18" s="82">
        <v>10000000</v>
      </c>
      <c r="F18" s="1">
        <v>20727</v>
      </c>
      <c r="G18">
        <v>19.989999999999998</v>
      </c>
      <c r="H18" t="s">
        <v>173</v>
      </c>
    </row>
    <row r="19" spans="2:13" x14ac:dyDescent="0.55000000000000004">
      <c r="B19" s="78">
        <v>17</v>
      </c>
      <c r="C19" s="77" t="s">
        <v>136</v>
      </c>
      <c r="D19" s="151"/>
      <c r="E19" s="82">
        <v>10000000</v>
      </c>
      <c r="F19" s="1">
        <v>25864</v>
      </c>
      <c r="G19">
        <v>20.03</v>
      </c>
      <c r="H19" t="s">
        <v>173</v>
      </c>
    </row>
    <row r="20" spans="2:13" x14ac:dyDescent="0.55000000000000004">
      <c r="B20" s="78">
        <v>18</v>
      </c>
      <c r="C20" s="77" t="s">
        <v>137</v>
      </c>
      <c r="D20" s="151"/>
      <c r="E20" s="82">
        <v>10000000</v>
      </c>
      <c r="F20" s="1">
        <v>30215</v>
      </c>
      <c r="G20">
        <v>20.09</v>
      </c>
      <c r="H20" t="s">
        <v>173</v>
      </c>
    </row>
    <row r="21" spans="2:13" x14ac:dyDescent="0.55000000000000004">
      <c r="B21" s="78">
        <v>19</v>
      </c>
      <c r="C21" s="77" t="s">
        <v>138</v>
      </c>
      <c r="D21" s="151"/>
      <c r="E21" s="82">
        <v>10000000</v>
      </c>
      <c r="F21">
        <v>34233</v>
      </c>
      <c r="G21">
        <v>20.260000000000002</v>
      </c>
      <c r="H21" t="s">
        <v>173</v>
      </c>
    </row>
    <row r="22" spans="2:13" x14ac:dyDescent="0.55000000000000004">
      <c r="B22" s="78">
        <v>20</v>
      </c>
      <c r="C22" s="77" t="s">
        <v>139</v>
      </c>
      <c r="D22" s="151"/>
      <c r="E22" s="82">
        <v>10000000</v>
      </c>
      <c r="F22">
        <v>37672</v>
      </c>
      <c r="G22">
        <v>20.56</v>
      </c>
      <c r="H22" t="s">
        <v>173</v>
      </c>
    </row>
    <row r="23" spans="2:13" x14ac:dyDescent="0.55000000000000004">
      <c r="B23" s="78">
        <v>21</v>
      </c>
      <c r="C23" s="77" t="s">
        <v>140</v>
      </c>
      <c r="D23" s="151"/>
      <c r="E23" s="82">
        <v>10000000</v>
      </c>
      <c r="F23">
        <v>40955</v>
      </c>
      <c r="G23">
        <v>21.04</v>
      </c>
      <c r="H23" t="s">
        <v>173</v>
      </c>
    </row>
    <row r="24" spans="2:13" x14ac:dyDescent="0.55000000000000004">
      <c r="B24" s="78">
        <v>22</v>
      </c>
      <c r="C24" s="77" t="s">
        <v>141</v>
      </c>
      <c r="D24" s="151"/>
      <c r="E24" s="82">
        <v>10000000</v>
      </c>
      <c r="F24">
        <v>8215</v>
      </c>
      <c r="G24">
        <v>39.99</v>
      </c>
      <c r="H24" t="s">
        <v>166</v>
      </c>
    </row>
    <row r="25" spans="2:13" x14ac:dyDescent="0.55000000000000004">
      <c r="B25" s="78">
        <v>23</v>
      </c>
      <c r="C25" s="77" t="s">
        <v>142</v>
      </c>
      <c r="D25" s="151"/>
      <c r="E25" s="82">
        <v>10000000</v>
      </c>
      <c r="F25">
        <v>14.978999999999999</v>
      </c>
      <c r="G25">
        <v>39.99</v>
      </c>
      <c r="H25" t="s">
        <v>166</v>
      </c>
    </row>
    <row r="26" spans="2:13" x14ac:dyDescent="0.55000000000000004">
      <c r="B26" s="78">
        <v>24</v>
      </c>
      <c r="C26" s="77" t="s">
        <v>143</v>
      </c>
      <c r="D26" s="151"/>
      <c r="E26" s="82">
        <v>10000000</v>
      </c>
      <c r="F26">
        <v>20733</v>
      </c>
      <c r="G26">
        <v>39.979999999999997</v>
      </c>
      <c r="H26" t="s">
        <v>166</v>
      </c>
    </row>
    <row r="27" spans="2:13" x14ac:dyDescent="0.55000000000000004">
      <c r="B27" s="78">
        <v>25</v>
      </c>
      <c r="C27" s="77" t="s">
        <v>144</v>
      </c>
      <c r="D27" s="151"/>
      <c r="E27" s="82">
        <v>10000000</v>
      </c>
      <c r="F27">
        <v>25864</v>
      </c>
      <c r="G27">
        <v>39.979999999999997</v>
      </c>
      <c r="H27" t="s">
        <v>166</v>
      </c>
    </row>
    <row r="28" spans="2:13" x14ac:dyDescent="0.55000000000000004">
      <c r="B28" s="78">
        <v>26</v>
      </c>
      <c r="C28" s="77" t="s">
        <v>145</v>
      </c>
      <c r="D28" s="151"/>
      <c r="E28" s="82">
        <v>10000000</v>
      </c>
      <c r="F28">
        <v>30220</v>
      </c>
      <c r="G28">
        <v>39.99</v>
      </c>
      <c r="H28" t="s">
        <v>166</v>
      </c>
    </row>
    <row r="29" spans="2:13" x14ac:dyDescent="0.55000000000000004">
      <c r="B29" s="78">
        <v>27</v>
      </c>
      <c r="C29" s="77" t="s">
        <v>146</v>
      </c>
      <c r="D29" s="151"/>
      <c r="E29" s="82">
        <v>10000000</v>
      </c>
      <c r="F29">
        <v>34262</v>
      </c>
      <c r="G29">
        <v>39.979999999999997</v>
      </c>
      <c r="H29" t="s">
        <v>166</v>
      </c>
    </row>
    <row r="30" spans="2:13" x14ac:dyDescent="0.55000000000000004">
      <c r="B30" s="78">
        <v>28</v>
      </c>
      <c r="C30" s="77" t="s">
        <v>147</v>
      </c>
      <c r="D30" s="151"/>
      <c r="E30" s="82">
        <v>10000000</v>
      </c>
      <c r="F30">
        <v>37673</v>
      </c>
      <c r="G30">
        <v>39.979999999999997</v>
      </c>
      <c r="H30" t="s">
        <v>166</v>
      </c>
    </row>
    <row r="31" spans="2:13" x14ac:dyDescent="0.55000000000000004">
      <c r="B31" s="78">
        <v>29</v>
      </c>
      <c r="C31" s="77" t="s">
        <v>148</v>
      </c>
      <c r="D31" s="152"/>
      <c r="E31" s="82">
        <v>10000000</v>
      </c>
      <c r="F31">
        <v>40971</v>
      </c>
      <c r="G31">
        <v>39.979999999999997</v>
      </c>
      <c r="H31" t="s">
        <v>166</v>
      </c>
    </row>
    <row r="32" spans="2:13" x14ac:dyDescent="0.55000000000000004">
      <c r="B32" s="75" t="s">
        <v>151</v>
      </c>
      <c r="C32" s="75"/>
      <c r="D32" s="75"/>
      <c r="M32">
        <v>1583</v>
      </c>
    </row>
    <row r="33" spans="2:13" x14ac:dyDescent="0.55000000000000004">
      <c r="B33" s="80">
        <v>30</v>
      </c>
      <c r="C33" s="75" t="s">
        <v>154</v>
      </c>
      <c r="D33" s="75"/>
      <c r="E33" s="82">
        <v>420026460</v>
      </c>
      <c r="F33">
        <v>57372977</v>
      </c>
      <c r="G33">
        <v>4</v>
      </c>
      <c r="H33" t="s">
        <v>174</v>
      </c>
      <c r="M33">
        <v>947835</v>
      </c>
    </row>
    <row r="34" spans="2:13" x14ac:dyDescent="0.55000000000000004">
      <c r="B34" s="80">
        <v>31</v>
      </c>
      <c r="C34" s="75" t="s">
        <v>152</v>
      </c>
      <c r="D34" s="75"/>
      <c r="E34">
        <v>88162</v>
      </c>
      <c r="F34">
        <v>16470</v>
      </c>
      <c r="G34">
        <v>10.31</v>
      </c>
      <c r="H34" t="s">
        <v>164</v>
      </c>
      <c r="M34">
        <v>50222260</v>
      </c>
    </row>
    <row r="35" spans="2:13" x14ac:dyDescent="0.55000000000000004">
      <c r="M35">
        <v>6123039</v>
      </c>
    </row>
    <row r="36" spans="2:13" x14ac:dyDescent="0.55000000000000004">
      <c r="M36">
        <v>78260</v>
      </c>
    </row>
    <row r="37" spans="2:13" x14ac:dyDescent="0.55000000000000004">
      <c r="B37" t="s">
        <v>150</v>
      </c>
      <c r="M37">
        <f>SUM(M32:M36)</f>
        <v>57372977</v>
      </c>
    </row>
    <row r="38" spans="2:13" ht="14.7" thickBot="1" x14ac:dyDescent="0.6">
      <c r="B38" s="78" t="s">
        <v>149</v>
      </c>
      <c r="C38" s="78" t="s">
        <v>153</v>
      </c>
      <c r="D38" s="81"/>
      <c r="E38" s="81" t="s">
        <v>155</v>
      </c>
      <c r="F38" s="81" t="s">
        <v>157</v>
      </c>
      <c r="G38" s="81" t="s">
        <v>158</v>
      </c>
      <c r="H38" s="81"/>
    </row>
    <row r="39" spans="2:13" ht="14.7" thickBot="1" x14ac:dyDescent="0.6">
      <c r="B39" s="78">
        <v>1</v>
      </c>
      <c r="C39" s="76" t="s">
        <v>262</v>
      </c>
      <c r="D39" s="82"/>
      <c r="E39" s="1">
        <v>29328</v>
      </c>
      <c r="F39">
        <v>11.54</v>
      </c>
      <c r="G39" s="2" t="s">
        <v>159</v>
      </c>
      <c r="H39" s="2"/>
    </row>
    <row r="40" spans="2:13" ht="14.7" thickBot="1" x14ac:dyDescent="0.6">
      <c r="B40" s="78">
        <v>2</v>
      </c>
      <c r="C40" s="76" t="s">
        <v>263</v>
      </c>
      <c r="D40" s="82"/>
      <c r="E40" s="1">
        <v>29328</v>
      </c>
      <c r="F40">
        <v>11.54</v>
      </c>
      <c r="G40" s="2" t="s">
        <v>160</v>
      </c>
      <c r="H40" s="2"/>
    </row>
    <row r="41" spans="2:13" ht="25.8" thickBot="1" x14ac:dyDescent="0.6">
      <c r="B41" s="78">
        <v>3</v>
      </c>
      <c r="C41" s="76" t="s">
        <v>261</v>
      </c>
      <c r="D41" s="82"/>
      <c r="E41" s="1">
        <v>29328</v>
      </c>
      <c r="F41" s="83">
        <v>11.54</v>
      </c>
      <c r="G41" s="2" t="s">
        <v>161</v>
      </c>
      <c r="H41" s="2"/>
    </row>
    <row r="42" spans="2:13" ht="14.7" thickBot="1" x14ac:dyDescent="0.6">
      <c r="B42" s="78">
        <v>4</v>
      </c>
      <c r="C42" s="76" t="s">
        <v>264</v>
      </c>
      <c r="D42" s="82"/>
      <c r="E42" s="1">
        <v>29328</v>
      </c>
      <c r="F42">
        <v>11.54</v>
      </c>
      <c r="G42" s="2" t="s">
        <v>162</v>
      </c>
      <c r="H42" s="2"/>
    </row>
    <row r="43" spans="2:13" ht="14.7" thickBot="1" x14ac:dyDescent="0.6">
      <c r="B43" s="78">
        <v>5</v>
      </c>
      <c r="C43" s="76" t="s">
        <v>265</v>
      </c>
      <c r="D43" s="82"/>
      <c r="E43" s="1">
        <v>29328</v>
      </c>
      <c r="F43">
        <v>11.54</v>
      </c>
      <c r="G43" s="2" t="s">
        <v>163</v>
      </c>
      <c r="H43" s="2"/>
    </row>
    <row r="44" spans="2:13" x14ac:dyDescent="0.55000000000000004">
      <c r="B44" s="78">
        <v>6</v>
      </c>
      <c r="C44" s="79" t="s">
        <v>266</v>
      </c>
      <c r="D44" s="82"/>
      <c r="E44" s="1"/>
      <c r="G44" s="101"/>
      <c r="H44" s="101"/>
    </row>
    <row r="45" spans="2:13" x14ac:dyDescent="0.55000000000000004">
      <c r="B45" s="78">
        <v>7</v>
      </c>
      <c r="C45" s="79" t="s">
        <v>125</v>
      </c>
      <c r="D45" s="82"/>
      <c r="E45" s="1">
        <v>18011</v>
      </c>
      <c r="F45">
        <v>29.99</v>
      </c>
      <c r="G45" s="73" t="s">
        <v>165</v>
      </c>
      <c r="H45" s="73"/>
    </row>
    <row r="46" spans="2:13" x14ac:dyDescent="0.55000000000000004">
      <c r="B46" s="78">
        <v>8</v>
      </c>
      <c r="C46" s="77" t="s">
        <v>132</v>
      </c>
      <c r="D46" s="82"/>
      <c r="E46" s="1">
        <v>18010</v>
      </c>
      <c r="F46">
        <v>39.979999999999997</v>
      </c>
      <c r="G46" s="73" t="s">
        <v>166</v>
      </c>
      <c r="H46" s="73"/>
    </row>
    <row r="47" spans="2:13" x14ac:dyDescent="0.55000000000000004">
      <c r="B47" s="78">
        <v>9</v>
      </c>
      <c r="C47" s="77" t="s">
        <v>131</v>
      </c>
      <c r="D47" s="82"/>
      <c r="E47" s="1">
        <v>18014</v>
      </c>
      <c r="F47">
        <v>49.98</v>
      </c>
      <c r="G47" s="73" t="s">
        <v>167</v>
      </c>
      <c r="H47" s="73"/>
    </row>
    <row r="48" spans="2:13" x14ac:dyDescent="0.55000000000000004">
      <c r="B48" s="78">
        <v>10</v>
      </c>
      <c r="C48" s="77" t="s">
        <v>126</v>
      </c>
      <c r="D48" s="82"/>
      <c r="E48" s="1">
        <v>18010</v>
      </c>
      <c r="F48">
        <v>59.98</v>
      </c>
      <c r="G48" s="73" t="s">
        <v>168</v>
      </c>
      <c r="H48" s="73"/>
    </row>
    <row r="49" spans="2:8" x14ac:dyDescent="0.55000000000000004">
      <c r="B49" s="78">
        <v>11</v>
      </c>
      <c r="C49" s="77" t="s">
        <v>127</v>
      </c>
      <c r="D49" s="82"/>
      <c r="E49" s="1">
        <v>18016</v>
      </c>
      <c r="F49">
        <v>69.98</v>
      </c>
      <c r="G49" s="73" t="s">
        <v>169</v>
      </c>
      <c r="H49" s="73"/>
    </row>
    <row r="50" spans="2:8" x14ac:dyDescent="0.55000000000000004">
      <c r="B50" s="78">
        <v>12</v>
      </c>
      <c r="C50" s="77" t="s">
        <v>128</v>
      </c>
      <c r="D50" s="82"/>
      <c r="E50" s="1">
        <v>18012</v>
      </c>
      <c r="F50">
        <v>79.98</v>
      </c>
      <c r="G50" s="73" t="s">
        <v>170</v>
      </c>
      <c r="H50" s="73"/>
    </row>
    <row r="51" spans="2:8" x14ac:dyDescent="0.55000000000000004">
      <c r="B51" s="78">
        <v>13</v>
      </c>
      <c r="C51" s="77" t="s">
        <v>129</v>
      </c>
      <c r="D51" s="82"/>
      <c r="E51" s="1">
        <v>18014</v>
      </c>
      <c r="F51">
        <v>89.97</v>
      </c>
      <c r="G51" s="73" t="s">
        <v>171</v>
      </c>
      <c r="H51" s="73"/>
    </row>
    <row r="52" spans="2:8" x14ac:dyDescent="0.55000000000000004">
      <c r="B52" s="78">
        <v>14</v>
      </c>
      <c r="C52" s="77" t="s">
        <v>130</v>
      </c>
      <c r="D52" s="82"/>
      <c r="E52" s="1">
        <v>18015</v>
      </c>
      <c r="F52">
        <v>99.97</v>
      </c>
      <c r="G52" s="73" t="s">
        <v>172</v>
      </c>
      <c r="H52" s="73"/>
    </row>
    <row r="53" spans="2:8" x14ac:dyDescent="0.55000000000000004">
      <c r="B53" s="107">
        <v>15</v>
      </c>
      <c r="C53" s="108" t="s">
        <v>133</v>
      </c>
      <c r="D53" s="109"/>
      <c r="E53" s="110">
        <v>8212</v>
      </c>
      <c r="F53" s="110">
        <v>19.989999999999998</v>
      </c>
      <c r="G53" s="111" t="s">
        <v>173</v>
      </c>
      <c r="H53" s="73"/>
    </row>
    <row r="54" spans="2:8" x14ac:dyDescent="0.55000000000000004">
      <c r="B54" s="107">
        <v>16</v>
      </c>
      <c r="C54" s="108" t="s">
        <v>134</v>
      </c>
      <c r="D54" s="109"/>
      <c r="E54" s="110">
        <v>14976</v>
      </c>
      <c r="F54" s="112">
        <v>19.989999999999998</v>
      </c>
      <c r="G54" s="112" t="s">
        <v>173</v>
      </c>
    </row>
    <row r="55" spans="2:8" x14ac:dyDescent="0.55000000000000004">
      <c r="B55" s="107">
        <v>17</v>
      </c>
      <c r="C55" s="108" t="s">
        <v>135</v>
      </c>
      <c r="D55" s="109"/>
      <c r="E55" s="110">
        <v>20727</v>
      </c>
      <c r="F55" s="112">
        <v>19.989999999999998</v>
      </c>
      <c r="G55" s="112" t="s">
        <v>173</v>
      </c>
    </row>
    <row r="56" spans="2:8" x14ac:dyDescent="0.55000000000000004">
      <c r="B56" s="107">
        <v>18</v>
      </c>
      <c r="C56" s="108" t="s">
        <v>136</v>
      </c>
      <c r="D56" s="109"/>
      <c r="E56" s="110">
        <v>25864</v>
      </c>
      <c r="F56" s="112">
        <v>20.03</v>
      </c>
      <c r="G56" s="112" t="s">
        <v>173</v>
      </c>
    </row>
    <row r="57" spans="2:8" x14ac:dyDescent="0.55000000000000004">
      <c r="B57" s="107">
        <v>19</v>
      </c>
      <c r="C57" s="108" t="s">
        <v>137</v>
      </c>
      <c r="D57" s="109"/>
      <c r="E57" s="110">
        <v>30215</v>
      </c>
      <c r="F57" s="112">
        <v>20.09</v>
      </c>
      <c r="G57" s="112" t="s">
        <v>173</v>
      </c>
    </row>
    <row r="58" spans="2:8" x14ac:dyDescent="0.55000000000000004">
      <c r="B58" s="107">
        <v>20</v>
      </c>
      <c r="C58" s="108" t="s">
        <v>138</v>
      </c>
      <c r="D58" s="109"/>
      <c r="E58" s="112">
        <v>34233</v>
      </c>
      <c r="F58" s="112">
        <v>20.260000000000002</v>
      </c>
      <c r="G58" s="112" t="s">
        <v>173</v>
      </c>
    </row>
    <row r="59" spans="2:8" x14ac:dyDescent="0.55000000000000004">
      <c r="B59" s="107">
        <v>21</v>
      </c>
      <c r="C59" s="108" t="s">
        <v>139</v>
      </c>
      <c r="D59" s="109"/>
      <c r="E59" s="112">
        <v>37672</v>
      </c>
      <c r="F59" s="112">
        <v>20.56</v>
      </c>
      <c r="G59" s="112" t="s">
        <v>173</v>
      </c>
    </row>
    <row r="60" spans="2:8" x14ac:dyDescent="0.55000000000000004">
      <c r="B60" s="107">
        <v>22</v>
      </c>
      <c r="C60" s="108" t="s">
        <v>140</v>
      </c>
      <c r="D60" s="109"/>
      <c r="E60" s="112">
        <v>40955</v>
      </c>
      <c r="F60" s="112">
        <v>21.04</v>
      </c>
      <c r="G60" s="112" t="s">
        <v>173</v>
      </c>
    </row>
    <row r="61" spans="2:8" x14ac:dyDescent="0.55000000000000004">
      <c r="B61" s="103">
        <v>23</v>
      </c>
      <c r="C61" s="104" t="s">
        <v>141</v>
      </c>
      <c r="D61" s="105"/>
      <c r="E61" s="17">
        <v>8215</v>
      </c>
      <c r="F61" s="17">
        <v>39.99</v>
      </c>
      <c r="G61" s="17" t="s">
        <v>166</v>
      </c>
    </row>
    <row r="62" spans="2:8" x14ac:dyDescent="0.55000000000000004">
      <c r="B62" s="103">
        <v>24</v>
      </c>
      <c r="C62" s="104" t="s">
        <v>142</v>
      </c>
      <c r="D62" s="105"/>
      <c r="E62" s="17">
        <v>14.978999999999999</v>
      </c>
      <c r="F62" s="17">
        <v>39.99</v>
      </c>
      <c r="G62" s="17" t="s">
        <v>166</v>
      </c>
    </row>
    <row r="63" spans="2:8" x14ac:dyDescent="0.55000000000000004">
      <c r="B63" s="103">
        <v>25</v>
      </c>
      <c r="C63" s="104" t="s">
        <v>143</v>
      </c>
      <c r="D63" s="105"/>
      <c r="E63" s="17">
        <v>20733</v>
      </c>
      <c r="F63" s="17">
        <v>39.979999999999997</v>
      </c>
      <c r="G63" s="17" t="s">
        <v>166</v>
      </c>
    </row>
    <row r="64" spans="2:8" x14ac:dyDescent="0.55000000000000004">
      <c r="B64" s="103">
        <v>26</v>
      </c>
      <c r="C64" s="104" t="s">
        <v>144</v>
      </c>
      <c r="D64" s="105"/>
      <c r="E64" s="17">
        <v>25864</v>
      </c>
      <c r="F64" s="17">
        <v>39.979999999999997</v>
      </c>
      <c r="G64" s="17" t="s">
        <v>166</v>
      </c>
    </row>
    <row r="65" spans="2:7" x14ac:dyDescent="0.55000000000000004">
      <c r="B65" s="103">
        <v>27</v>
      </c>
      <c r="C65" s="104" t="s">
        <v>145</v>
      </c>
      <c r="D65" s="105"/>
      <c r="E65" s="17">
        <v>30220</v>
      </c>
      <c r="F65" s="17">
        <v>39.99</v>
      </c>
      <c r="G65" s="17" t="s">
        <v>166</v>
      </c>
    </row>
    <row r="66" spans="2:7" x14ac:dyDescent="0.55000000000000004">
      <c r="B66" s="103">
        <v>28</v>
      </c>
      <c r="C66" s="104" t="s">
        <v>146</v>
      </c>
      <c r="D66" s="105"/>
      <c r="E66" s="17">
        <v>34262</v>
      </c>
      <c r="F66" s="17">
        <v>39.979999999999997</v>
      </c>
      <c r="G66" s="17" t="s">
        <v>166</v>
      </c>
    </row>
    <row r="67" spans="2:7" x14ac:dyDescent="0.55000000000000004">
      <c r="B67" s="103">
        <v>29</v>
      </c>
      <c r="C67" s="104" t="s">
        <v>147</v>
      </c>
      <c r="D67" s="105"/>
      <c r="E67" s="17">
        <v>37673</v>
      </c>
      <c r="F67" s="17">
        <v>39.979999999999997</v>
      </c>
      <c r="G67" s="17" t="s">
        <v>166</v>
      </c>
    </row>
    <row r="68" spans="2:7" x14ac:dyDescent="0.55000000000000004">
      <c r="B68" s="103">
        <v>30</v>
      </c>
      <c r="C68" s="104" t="s">
        <v>148</v>
      </c>
      <c r="D68" s="105"/>
      <c r="E68" s="17">
        <v>40971</v>
      </c>
      <c r="F68" s="17">
        <v>39.979999999999997</v>
      </c>
      <c r="G68" s="17" t="s">
        <v>166</v>
      </c>
    </row>
    <row r="69" spans="2:7" x14ac:dyDescent="0.55000000000000004">
      <c r="B69" s="106" t="s">
        <v>151</v>
      </c>
      <c r="C69" s="106"/>
      <c r="D69" s="17"/>
      <c r="E69" s="17"/>
      <c r="F69" s="17"/>
      <c r="G69" s="17"/>
    </row>
    <row r="70" spans="2:7" x14ac:dyDescent="0.55000000000000004">
      <c r="B70" s="80">
        <v>30</v>
      </c>
      <c r="C70" s="75" t="s">
        <v>154</v>
      </c>
      <c r="D70" s="82"/>
      <c r="E70">
        <v>57372977</v>
      </c>
      <c r="F70">
        <v>4</v>
      </c>
      <c r="G70" t="s">
        <v>174</v>
      </c>
    </row>
    <row r="71" spans="2:7" x14ac:dyDescent="0.55000000000000004">
      <c r="B71" s="80">
        <v>31</v>
      </c>
      <c r="C71" s="75" t="s">
        <v>152</v>
      </c>
      <c r="E71">
        <v>16470</v>
      </c>
      <c r="F71">
        <v>10.31</v>
      </c>
      <c r="G71" t="s">
        <v>164</v>
      </c>
    </row>
  </sheetData>
  <mergeCells count="3">
    <mergeCell ref="D3:D7"/>
    <mergeCell ref="D8:D15"/>
    <mergeCell ref="D16:D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opLeftCell="A7" workbookViewId="0">
      <selection activeCell="D23" sqref="D23"/>
    </sheetView>
  </sheetViews>
  <sheetFormatPr defaultRowHeight="14.4" x14ac:dyDescent="0.55000000000000004"/>
  <sheetData>
    <row r="1" spans="1:22" ht="50.4" thickBot="1" x14ac:dyDescent="0.6">
      <c r="A1" s="2" t="s">
        <v>13</v>
      </c>
      <c r="B1" s="2" t="s">
        <v>14</v>
      </c>
      <c r="C1" s="2"/>
      <c r="D1" s="2"/>
      <c r="E1" s="2"/>
    </row>
    <row r="2" spans="1:22" ht="38.1" thickBot="1" x14ac:dyDescent="0.6">
      <c r="A2" s="2" t="s">
        <v>15</v>
      </c>
      <c r="B2" s="2" t="s">
        <v>16</v>
      </c>
      <c r="C2" s="4"/>
      <c r="D2" s="2" t="s">
        <v>17</v>
      </c>
      <c r="E2" s="4"/>
    </row>
    <row r="3" spans="1:22" ht="25.8" thickBot="1" x14ac:dyDescent="0.6">
      <c r="A3" s="2"/>
      <c r="B3" s="2" t="s">
        <v>0</v>
      </c>
      <c r="C3" s="2" t="s">
        <v>1</v>
      </c>
      <c r="D3" s="2" t="s">
        <v>2</v>
      </c>
      <c r="E3" s="2" t="s">
        <v>11</v>
      </c>
      <c r="F3" s="2" t="s">
        <v>9</v>
      </c>
      <c r="H3" s="6" t="s">
        <v>12</v>
      </c>
      <c r="I3" s="5" t="s">
        <v>10</v>
      </c>
    </row>
    <row r="4" spans="1:22" ht="14.7" thickBot="1" x14ac:dyDescent="0.6">
      <c r="A4" s="2" t="s">
        <v>3</v>
      </c>
      <c r="B4" s="3">
        <v>586</v>
      </c>
      <c r="C4" s="3">
        <v>805</v>
      </c>
      <c r="D4" s="4"/>
      <c r="E4" s="3">
        <v>990</v>
      </c>
      <c r="F4" s="3">
        <v>2</v>
      </c>
    </row>
    <row r="5" spans="1:22" ht="14.7" thickBot="1" x14ac:dyDescent="0.6">
      <c r="A5" s="2" t="s">
        <v>4</v>
      </c>
      <c r="B5" s="3">
        <v>1020</v>
      </c>
      <c r="C5" s="3">
        <v>1140</v>
      </c>
      <c r="D5" s="4"/>
      <c r="E5" s="3">
        <v>1593</v>
      </c>
      <c r="F5" s="3">
        <v>2</v>
      </c>
    </row>
    <row r="6" spans="1:22" ht="14.7" thickBot="1" x14ac:dyDescent="0.6">
      <c r="A6" s="2" t="s">
        <v>5</v>
      </c>
      <c r="B6" s="3">
        <v>2171</v>
      </c>
      <c r="C6" s="3">
        <v>2460</v>
      </c>
      <c r="D6" s="3">
        <v>2340</v>
      </c>
      <c r="E6" s="3">
        <v>3120</v>
      </c>
      <c r="F6" s="3">
        <v>2</v>
      </c>
    </row>
    <row r="7" spans="1:22" ht="14.7" thickBot="1" x14ac:dyDescent="0.6">
      <c r="A7" s="2" t="s">
        <v>6</v>
      </c>
      <c r="B7" s="3">
        <v>4080</v>
      </c>
      <c r="C7" s="3">
        <v>4242</v>
      </c>
      <c r="D7" s="3">
        <v>8850</v>
      </c>
      <c r="E7" s="3">
        <v>12043</v>
      </c>
      <c r="F7" s="3">
        <v>1</v>
      </c>
    </row>
    <row r="8" spans="1:22" ht="14.7" thickBot="1" x14ac:dyDescent="0.6">
      <c r="A8" s="2" t="s">
        <v>7</v>
      </c>
      <c r="B8" s="3">
        <v>8220</v>
      </c>
      <c r="C8" s="3">
        <v>8372</v>
      </c>
      <c r="D8" s="3">
        <v>22863</v>
      </c>
      <c r="E8" s="2" t="s">
        <v>8</v>
      </c>
      <c r="F8" s="3">
        <v>1</v>
      </c>
    </row>
    <row r="10" spans="1:22" ht="14.7" thickBot="1" x14ac:dyDescent="0.6">
      <c r="V10">
        <f>0.001*100</f>
        <v>0.1</v>
      </c>
    </row>
    <row r="11" spans="1:22" ht="25.8" thickBot="1" x14ac:dyDescent="0.6">
      <c r="A11" s="31" t="s">
        <v>19</v>
      </c>
      <c r="B11" s="32" t="s">
        <v>35</v>
      </c>
      <c r="C11" s="32" t="s">
        <v>33</v>
      </c>
      <c r="D11" s="32" t="s">
        <v>34</v>
      </c>
      <c r="E11" s="33" t="s">
        <v>118</v>
      </c>
      <c r="F11" s="34" t="s">
        <v>248</v>
      </c>
    </row>
    <row r="12" spans="1:22" ht="14.7" thickBot="1" x14ac:dyDescent="0.6">
      <c r="A12" s="35">
        <v>1</v>
      </c>
      <c r="B12" s="3">
        <v>990</v>
      </c>
      <c r="C12" s="3">
        <v>586</v>
      </c>
      <c r="D12" s="3">
        <v>805</v>
      </c>
      <c r="E12" s="36"/>
      <c r="F12" s="37"/>
    </row>
    <row r="13" spans="1:22" ht="14.7" thickBot="1" x14ac:dyDescent="0.6">
      <c r="A13" s="35">
        <v>2.5</v>
      </c>
      <c r="B13" s="3">
        <v>1593</v>
      </c>
      <c r="C13" s="3">
        <v>1020</v>
      </c>
      <c r="D13" s="3">
        <v>1140</v>
      </c>
      <c r="E13" s="38"/>
      <c r="F13" s="37"/>
    </row>
    <row r="14" spans="1:22" ht="14.7" thickBot="1" x14ac:dyDescent="0.6">
      <c r="A14" s="35">
        <v>5</v>
      </c>
      <c r="B14" s="3">
        <v>2340</v>
      </c>
      <c r="C14" s="3">
        <v>2171</v>
      </c>
      <c r="D14" s="3">
        <v>2460</v>
      </c>
      <c r="E14" s="38"/>
      <c r="F14" s="37"/>
    </row>
    <row r="15" spans="1:22" ht="14.7" thickBot="1" x14ac:dyDescent="0.6">
      <c r="A15" s="35">
        <v>10</v>
      </c>
      <c r="B15" s="3">
        <v>8850</v>
      </c>
      <c r="C15" s="3">
        <v>4080</v>
      </c>
      <c r="D15" s="3">
        <v>4242</v>
      </c>
      <c r="E15" s="38"/>
      <c r="F15" s="37"/>
    </row>
    <row r="16" spans="1:22" ht="14.7" thickBot="1" x14ac:dyDescent="0.6">
      <c r="A16" s="39">
        <v>20</v>
      </c>
      <c r="B16" s="40">
        <v>22863</v>
      </c>
      <c r="C16" s="40">
        <v>8220</v>
      </c>
      <c r="D16" s="40">
        <v>8372</v>
      </c>
      <c r="E16" s="41"/>
      <c r="F16" s="42">
        <v>16272</v>
      </c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F1" sqref="F1:I5"/>
    </sheetView>
  </sheetViews>
  <sheetFormatPr defaultRowHeight="14.4" x14ac:dyDescent="0.55000000000000004"/>
  <cols>
    <col min="5" max="5" width="19.83984375" customWidth="1"/>
    <col min="7" max="7" width="15.68359375" customWidth="1"/>
    <col min="8" max="8" width="11" bestFit="1" customWidth="1"/>
    <col min="9" max="9" width="8.15625" bestFit="1" customWidth="1"/>
  </cols>
  <sheetData>
    <row r="1" spans="1:9" ht="25.8" thickBot="1" x14ac:dyDescent="0.6">
      <c r="A1" s="2">
        <v>2003</v>
      </c>
      <c r="B1" s="2"/>
      <c r="C1" s="2"/>
      <c r="D1" s="2"/>
      <c r="E1" s="2"/>
      <c r="F1" s="2" t="s">
        <v>232</v>
      </c>
      <c r="G1" s="2" t="s">
        <v>233</v>
      </c>
      <c r="H1" t="s">
        <v>32</v>
      </c>
      <c r="I1" s="6" t="s">
        <v>116</v>
      </c>
    </row>
    <row r="2" spans="1:9" ht="14.7" thickBot="1" x14ac:dyDescent="0.6">
      <c r="A2" s="2" t="s">
        <v>175</v>
      </c>
      <c r="B2" s="3">
        <v>25148</v>
      </c>
      <c r="C2" s="4"/>
      <c r="D2" s="4"/>
      <c r="E2" s="4"/>
      <c r="F2" s="3">
        <v>2003</v>
      </c>
      <c r="G2" s="3">
        <v>153375</v>
      </c>
      <c r="H2">
        <f>0.001/10*100</f>
        <v>0.01</v>
      </c>
      <c r="I2" s="2">
        <v>7197</v>
      </c>
    </row>
    <row r="3" spans="1:9" ht="14.7" thickBot="1" x14ac:dyDescent="0.6">
      <c r="A3" s="2" t="s">
        <v>176</v>
      </c>
      <c r="B3" s="3">
        <v>35105</v>
      </c>
      <c r="C3" s="4"/>
      <c r="D3" s="4"/>
      <c r="E3" s="4"/>
      <c r="F3" s="3">
        <v>2004</v>
      </c>
      <c r="G3" s="3">
        <v>4195834</v>
      </c>
      <c r="H3">
        <f t="shared" ref="H3:H4" si="0">0.001/10*100</f>
        <v>0.01</v>
      </c>
      <c r="I3" s="2">
        <v>4714</v>
      </c>
    </row>
    <row r="4" spans="1:9" ht="14.7" thickBot="1" x14ac:dyDescent="0.6">
      <c r="A4" s="2" t="s">
        <v>177</v>
      </c>
      <c r="B4" s="3">
        <v>42162</v>
      </c>
      <c r="C4" s="4"/>
      <c r="D4" s="2" t="s">
        <v>178</v>
      </c>
      <c r="E4" s="3" t="s">
        <v>179</v>
      </c>
      <c r="F4" s="3">
        <v>2005</v>
      </c>
      <c r="G4" s="3">
        <v>37600747</v>
      </c>
      <c r="H4">
        <f t="shared" si="0"/>
        <v>0.01</v>
      </c>
      <c r="I4" s="2">
        <v>3090</v>
      </c>
    </row>
    <row r="5" spans="1:9" ht="14.7" thickBot="1" x14ac:dyDescent="0.6">
      <c r="A5" s="2" t="s">
        <v>180</v>
      </c>
      <c r="B5" s="3">
        <v>50960</v>
      </c>
      <c r="C5" s="3">
        <v>153375</v>
      </c>
      <c r="D5" s="3">
        <v>153375</v>
      </c>
      <c r="E5" s="84">
        <v>153375</v>
      </c>
      <c r="F5" s="3">
        <v>2006</v>
      </c>
      <c r="G5" s="3">
        <v>130799274</v>
      </c>
      <c r="H5">
        <f>0.001/20*100</f>
        <v>5.0000000000000001E-3</v>
      </c>
      <c r="I5" s="2">
        <v>5321</v>
      </c>
    </row>
    <row r="6" spans="1:9" ht="14.7" thickBot="1" x14ac:dyDescent="0.6">
      <c r="A6" s="2">
        <v>2004</v>
      </c>
      <c r="B6" s="2"/>
      <c r="C6" s="4"/>
      <c r="D6" s="4"/>
      <c r="E6" s="4"/>
      <c r="F6" s="3">
        <v>2007</v>
      </c>
      <c r="G6" s="3">
        <v>247277230</v>
      </c>
    </row>
    <row r="7" spans="1:9" ht="14.7" thickBot="1" x14ac:dyDescent="0.6">
      <c r="A7" s="2" t="s">
        <v>181</v>
      </c>
      <c r="B7" s="3">
        <v>92880</v>
      </c>
      <c r="C7" s="4"/>
      <c r="D7" s="4"/>
      <c r="E7" s="4"/>
      <c r="F7" s="4"/>
      <c r="G7" s="3">
        <v>420026460</v>
      </c>
      <c r="I7" s="4"/>
    </row>
    <row r="8" spans="1:9" ht="14.7" thickBot="1" x14ac:dyDescent="0.6">
      <c r="A8" s="2" t="s">
        <v>182</v>
      </c>
      <c r="B8" s="3">
        <v>113846</v>
      </c>
      <c r="C8" s="4"/>
      <c r="D8" s="4"/>
      <c r="E8" s="3" t="s">
        <v>179</v>
      </c>
      <c r="F8" s="4"/>
      <c r="G8" s="4"/>
      <c r="I8" s="4"/>
    </row>
    <row r="9" spans="1:9" ht="14.7" thickBot="1" x14ac:dyDescent="0.6">
      <c r="A9" s="2" t="s">
        <v>183</v>
      </c>
      <c r="B9" s="3">
        <v>129455</v>
      </c>
      <c r="C9" s="3">
        <v>336181</v>
      </c>
      <c r="D9" s="3">
        <v>489556</v>
      </c>
      <c r="E9" s="84">
        <v>489556</v>
      </c>
      <c r="F9" s="4"/>
      <c r="G9" s="4"/>
      <c r="I9" s="4"/>
    </row>
    <row r="10" spans="1:9" ht="14.7" thickBot="1" x14ac:dyDescent="0.6">
      <c r="A10" s="2" t="s">
        <v>184</v>
      </c>
      <c r="B10" s="3">
        <v>144821</v>
      </c>
      <c r="C10" s="4"/>
      <c r="D10" s="4"/>
      <c r="E10" s="4"/>
      <c r="F10" s="4"/>
      <c r="G10" s="4"/>
    </row>
    <row r="11" spans="1:9" ht="14.7" thickBot="1" x14ac:dyDescent="0.6">
      <c r="A11" s="2" t="s">
        <v>185</v>
      </c>
      <c r="B11" s="3">
        <v>155362</v>
      </c>
      <c r="C11" s="4"/>
      <c r="D11" s="4"/>
      <c r="E11" s="3" t="s">
        <v>179</v>
      </c>
      <c r="F11" s="4"/>
      <c r="G11" s="4"/>
      <c r="I11" s="4"/>
    </row>
    <row r="12" spans="1:9" ht="14.7" thickBot="1" x14ac:dyDescent="0.6">
      <c r="A12" s="2" t="s">
        <v>186</v>
      </c>
      <c r="B12" s="3">
        <v>187776</v>
      </c>
      <c r="C12" s="3">
        <v>487959</v>
      </c>
      <c r="D12" s="3">
        <v>977515</v>
      </c>
      <c r="E12" s="84">
        <v>977515</v>
      </c>
      <c r="F12" s="4"/>
      <c r="G12" s="4"/>
      <c r="I12" s="4"/>
    </row>
    <row r="13" spans="1:9" ht="14.7" thickBot="1" x14ac:dyDescent="0.6">
      <c r="A13" s="2" t="s">
        <v>187</v>
      </c>
      <c r="B13" s="3">
        <v>263563</v>
      </c>
      <c r="C13" s="4"/>
      <c r="D13" s="4"/>
      <c r="E13" s="4"/>
      <c r="F13" s="4"/>
      <c r="G13" s="4"/>
      <c r="I13" s="4"/>
    </row>
    <row r="14" spans="1:9" ht="14.7" thickBot="1" x14ac:dyDescent="0.6">
      <c r="A14" s="2" t="s">
        <v>188</v>
      </c>
      <c r="B14" s="3">
        <v>316838</v>
      </c>
      <c r="C14" s="4"/>
      <c r="D14" s="4"/>
      <c r="E14" s="3" t="s">
        <v>179</v>
      </c>
      <c r="F14" s="4"/>
      <c r="G14" s="4"/>
    </row>
    <row r="15" spans="1:9" ht="14.7" thickBot="1" x14ac:dyDescent="0.6">
      <c r="A15" s="2" t="s">
        <v>189</v>
      </c>
      <c r="B15" s="3">
        <v>463345</v>
      </c>
      <c r="C15" s="3">
        <v>1043746</v>
      </c>
      <c r="D15" s="3">
        <v>2021261</v>
      </c>
      <c r="E15" s="84">
        <v>2021261</v>
      </c>
      <c r="F15" s="4"/>
      <c r="G15" s="4"/>
    </row>
    <row r="16" spans="1:9" ht="14.7" thickBot="1" x14ac:dyDescent="0.6">
      <c r="A16" s="2" t="s">
        <v>190</v>
      </c>
      <c r="B16" s="3">
        <v>593892</v>
      </c>
      <c r="C16" s="4"/>
      <c r="D16" s="4"/>
      <c r="E16" s="4"/>
      <c r="F16" s="4"/>
      <c r="G16" s="4"/>
    </row>
    <row r="17" spans="1:7" ht="14.7" thickBot="1" x14ac:dyDescent="0.6">
      <c r="A17" s="2" t="s">
        <v>191</v>
      </c>
      <c r="B17" s="3">
        <v>770606</v>
      </c>
      <c r="C17" s="4"/>
      <c r="D17" s="4"/>
      <c r="E17" s="3" t="s">
        <v>179</v>
      </c>
      <c r="F17" s="4"/>
      <c r="G17" s="4"/>
    </row>
    <row r="18" spans="1:7" ht="14.7" thickBot="1" x14ac:dyDescent="0.6">
      <c r="A18" s="2" t="s">
        <v>192</v>
      </c>
      <c r="B18" s="3">
        <v>963450</v>
      </c>
      <c r="C18" s="3">
        <v>2327948</v>
      </c>
      <c r="D18" s="3">
        <v>4349209</v>
      </c>
      <c r="E18" s="84">
        <v>4349209</v>
      </c>
      <c r="F18" s="4"/>
      <c r="G18" s="4"/>
    </row>
    <row r="19" spans="1:7" ht="14.7" thickBot="1" x14ac:dyDescent="0.6">
      <c r="A19" s="2">
        <v>2005</v>
      </c>
      <c r="B19" s="2"/>
      <c r="C19" s="4"/>
      <c r="D19" s="4"/>
      <c r="E19" s="4"/>
      <c r="F19" s="4"/>
      <c r="G19" s="4"/>
    </row>
    <row r="20" spans="1:7" ht="14.7" thickBot="1" x14ac:dyDescent="0.6">
      <c r="A20" s="2" t="s">
        <v>193</v>
      </c>
      <c r="B20" s="3">
        <v>1358085</v>
      </c>
      <c r="C20" s="4"/>
      <c r="D20" s="4"/>
      <c r="E20" s="4"/>
      <c r="F20" s="4"/>
      <c r="G20" s="4"/>
    </row>
    <row r="21" spans="1:7" ht="14.7" thickBot="1" x14ac:dyDescent="0.6">
      <c r="A21" s="2" t="s">
        <v>194</v>
      </c>
      <c r="B21" s="3">
        <v>1590303</v>
      </c>
      <c r="C21" s="4"/>
      <c r="D21" s="4"/>
      <c r="E21" s="3" t="s">
        <v>179</v>
      </c>
      <c r="F21" s="4"/>
      <c r="G21" s="4"/>
    </row>
    <row r="22" spans="1:7" ht="14.7" thickBot="1" x14ac:dyDescent="0.6">
      <c r="A22" s="2" t="s">
        <v>195</v>
      </c>
      <c r="B22" s="3">
        <v>1812598</v>
      </c>
      <c r="C22" s="3">
        <v>4760986</v>
      </c>
      <c r="D22" s="3">
        <v>9110195</v>
      </c>
      <c r="E22" s="84">
        <v>9110195</v>
      </c>
      <c r="F22" s="4"/>
      <c r="G22" s="4"/>
    </row>
    <row r="23" spans="1:7" ht="14.7" thickBot="1" x14ac:dyDescent="0.6">
      <c r="A23" s="2" t="s">
        <v>196</v>
      </c>
      <c r="B23" s="3">
        <v>1897438</v>
      </c>
      <c r="C23" s="4"/>
      <c r="D23" s="4"/>
      <c r="E23" s="4"/>
      <c r="F23" s="4"/>
      <c r="G23" s="4"/>
    </row>
    <row r="24" spans="1:7" ht="14.7" thickBot="1" x14ac:dyDescent="0.6">
      <c r="A24" s="2" t="s">
        <v>197</v>
      </c>
      <c r="B24" s="3">
        <v>2029801</v>
      </c>
      <c r="C24" s="4"/>
      <c r="D24" s="4"/>
      <c r="E24" s="3" t="s">
        <v>179</v>
      </c>
      <c r="F24" s="4"/>
      <c r="G24" s="4"/>
    </row>
    <row r="25" spans="1:7" ht="14.7" thickBot="1" x14ac:dyDescent="0.6">
      <c r="A25" s="2" t="s">
        <v>198</v>
      </c>
      <c r="B25" s="3">
        <v>2351082</v>
      </c>
      <c r="C25" s="3">
        <v>6278321</v>
      </c>
      <c r="D25" s="3">
        <v>15388516</v>
      </c>
      <c r="E25" s="84">
        <v>15388516</v>
      </c>
      <c r="F25" s="4"/>
      <c r="G25" s="4"/>
    </row>
    <row r="26" spans="1:7" ht="14.7" thickBot="1" x14ac:dyDescent="0.6">
      <c r="A26" s="2" t="s">
        <v>199</v>
      </c>
      <c r="B26" s="3">
        <v>2872424</v>
      </c>
      <c r="C26" s="4"/>
      <c r="D26" s="4"/>
      <c r="E26" s="4"/>
      <c r="F26" s="4"/>
      <c r="G26" s="4"/>
    </row>
    <row r="27" spans="1:7" ht="14.7" thickBot="1" x14ac:dyDescent="0.6">
      <c r="A27" s="2" t="s">
        <v>200</v>
      </c>
      <c r="B27" s="3">
        <v>3104189</v>
      </c>
      <c r="C27" s="4"/>
      <c r="D27" s="4"/>
      <c r="E27" s="3" t="s">
        <v>179</v>
      </c>
      <c r="F27" s="4"/>
      <c r="G27" s="4"/>
    </row>
    <row r="28" spans="1:7" ht="14.7" thickBot="1" x14ac:dyDescent="0.6">
      <c r="A28" s="2" t="s">
        <v>201</v>
      </c>
      <c r="B28" s="3">
        <v>3609560</v>
      </c>
      <c r="C28" s="3">
        <v>9586173</v>
      </c>
      <c r="D28" s="3">
        <v>24974689</v>
      </c>
      <c r="E28" s="84">
        <v>24974689</v>
      </c>
      <c r="F28" s="4"/>
      <c r="G28" s="4"/>
    </row>
    <row r="29" spans="1:7" ht="14.7" thickBot="1" x14ac:dyDescent="0.6">
      <c r="A29" s="2" t="s">
        <v>202</v>
      </c>
      <c r="B29" s="3">
        <v>4615450</v>
      </c>
      <c r="C29" s="4"/>
      <c r="D29" s="4"/>
      <c r="E29" s="4"/>
      <c r="F29" s="4"/>
      <c r="G29" s="4"/>
    </row>
    <row r="30" spans="1:7" ht="14.7" thickBot="1" x14ac:dyDescent="0.6">
      <c r="A30" s="2" t="s">
        <v>203</v>
      </c>
      <c r="B30" s="3">
        <v>5659624</v>
      </c>
      <c r="C30" s="4"/>
      <c r="D30" s="4"/>
      <c r="E30" s="3" t="s">
        <v>179</v>
      </c>
      <c r="F30" s="4"/>
      <c r="G30" s="4"/>
    </row>
    <row r="31" spans="1:7" ht="14.7" thickBot="1" x14ac:dyDescent="0.6">
      <c r="A31" s="2" t="s">
        <v>204</v>
      </c>
      <c r="B31" s="3">
        <v>6700193</v>
      </c>
      <c r="C31" s="3">
        <v>16975267</v>
      </c>
      <c r="D31" s="3">
        <v>41949956</v>
      </c>
      <c r="E31" s="84">
        <v>41949956</v>
      </c>
      <c r="F31" s="4"/>
      <c r="G31" s="4"/>
    </row>
    <row r="32" spans="1:7" ht="14.7" thickBot="1" x14ac:dyDescent="0.6">
      <c r="A32" s="2">
        <v>2006</v>
      </c>
      <c r="B32" s="2"/>
      <c r="C32" s="4"/>
      <c r="D32" s="4"/>
      <c r="E32" s="4"/>
      <c r="F32" s="4"/>
      <c r="G32" s="4"/>
    </row>
    <row r="33" spans="1:7" ht="14.7" thickBot="1" x14ac:dyDescent="0.6">
      <c r="A33" s="2" t="s">
        <v>205</v>
      </c>
      <c r="B33" s="3">
        <v>7901105</v>
      </c>
      <c r="C33" s="4"/>
      <c r="D33" s="4"/>
      <c r="E33" s="4"/>
      <c r="F33" s="4"/>
      <c r="G33" s="4"/>
    </row>
    <row r="34" spans="1:7" ht="14.7" thickBot="1" x14ac:dyDescent="0.6">
      <c r="A34" s="2" t="s">
        <v>206</v>
      </c>
      <c r="B34" s="3">
        <v>8169788</v>
      </c>
      <c r="C34" s="4"/>
      <c r="D34" s="4"/>
      <c r="E34" s="3" t="s">
        <v>179</v>
      </c>
      <c r="F34" s="4"/>
      <c r="G34" s="4"/>
    </row>
    <row r="35" spans="1:7" ht="14.7" thickBot="1" x14ac:dyDescent="0.6">
      <c r="A35" s="2" t="s">
        <v>207</v>
      </c>
      <c r="B35" s="3">
        <v>9895637</v>
      </c>
      <c r="C35" s="3">
        <v>25966530</v>
      </c>
      <c r="D35" s="3">
        <v>67916486</v>
      </c>
      <c r="E35" s="84">
        <v>67916486</v>
      </c>
      <c r="F35" s="4"/>
      <c r="G35" s="4"/>
    </row>
    <row r="36" spans="1:7" ht="14.7" thickBot="1" x14ac:dyDescent="0.6">
      <c r="A36" s="2" t="s">
        <v>208</v>
      </c>
      <c r="B36" s="3">
        <v>11250862</v>
      </c>
      <c r="C36" s="4"/>
      <c r="D36" s="4"/>
      <c r="E36" s="4"/>
      <c r="F36" s="4"/>
      <c r="G36" s="4"/>
    </row>
    <row r="37" spans="1:7" ht="14.7" thickBot="1" x14ac:dyDescent="0.6">
      <c r="A37" s="2" t="s">
        <v>209</v>
      </c>
      <c r="B37" s="3">
        <v>9858967</v>
      </c>
      <c r="C37" s="4"/>
      <c r="D37" s="4"/>
      <c r="E37" s="3" t="s">
        <v>179</v>
      </c>
      <c r="F37" s="4"/>
      <c r="G37" s="4"/>
    </row>
    <row r="38" spans="1:7" ht="14.7" thickBot="1" x14ac:dyDescent="0.6">
      <c r="A38" s="2" t="s">
        <v>210</v>
      </c>
      <c r="B38" s="3">
        <v>9760932</v>
      </c>
      <c r="C38" s="3">
        <v>30870761</v>
      </c>
      <c r="D38" s="3">
        <v>98787247</v>
      </c>
      <c r="E38" s="84">
        <v>98787247</v>
      </c>
      <c r="F38" s="4"/>
      <c r="G38" s="4"/>
    </row>
    <row r="39" spans="1:7" ht="14.7" thickBot="1" x14ac:dyDescent="0.6">
      <c r="A39" s="2" t="s">
        <v>211</v>
      </c>
      <c r="B39" s="3">
        <v>9403222</v>
      </c>
      <c r="C39" s="4"/>
      <c r="D39" s="4"/>
      <c r="E39" s="4"/>
      <c r="F39" s="4"/>
      <c r="G39" s="4"/>
    </row>
    <row r="40" spans="1:7" ht="14.7" thickBot="1" x14ac:dyDescent="0.6">
      <c r="A40" s="2" t="s">
        <v>212</v>
      </c>
      <c r="B40" s="3">
        <v>10275078</v>
      </c>
      <c r="C40" s="4"/>
      <c r="D40" s="4"/>
      <c r="E40" s="3" t="s">
        <v>179</v>
      </c>
      <c r="F40" s="4"/>
      <c r="G40" s="4"/>
    </row>
    <row r="41" spans="1:7" ht="14.7" thickBot="1" x14ac:dyDescent="0.6">
      <c r="A41" s="2" t="s">
        <v>213</v>
      </c>
      <c r="B41" s="3">
        <v>10751990</v>
      </c>
      <c r="C41" s="3">
        <v>30430290</v>
      </c>
      <c r="D41" s="3">
        <v>129217537</v>
      </c>
      <c r="E41" s="84">
        <v>129217537</v>
      </c>
      <c r="F41" s="4"/>
      <c r="G41" s="4"/>
    </row>
    <row r="42" spans="1:7" ht="14.7" thickBot="1" x14ac:dyDescent="0.6">
      <c r="A42" s="2" t="s">
        <v>214</v>
      </c>
      <c r="B42" s="3">
        <v>13199742</v>
      </c>
      <c r="C42" s="4"/>
      <c r="D42" s="4"/>
      <c r="E42" s="4"/>
      <c r="F42" s="4"/>
      <c r="G42" s="4"/>
    </row>
    <row r="43" spans="1:7" ht="14.7" thickBot="1" x14ac:dyDescent="0.6">
      <c r="A43" s="2" t="s">
        <v>215</v>
      </c>
      <c r="B43" s="3">
        <v>15068757</v>
      </c>
      <c r="C43" s="4"/>
      <c r="D43" s="4"/>
      <c r="E43" s="3" t="s">
        <v>179</v>
      </c>
      <c r="F43" s="4"/>
      <c r="G43" s="4"/>
    </row>
    <row r="44" spans="1:7" ht="14.7" thickBot="1" x14ac:dyDescent="0.6">
      <c r="A44" s="2" t="s">
        <v>216</v>
      </c>
      <c r="B44" s="3">
        <v>15263194</v>
      </c>
      <c r="C44" s="3">
        <v>43531693</v>
      </c>
      <c r="D44" s="3">
        <v>172749230</v>
      </c>
      <c r="E44" s="3" t="s">
        <v>217</v>
      </c>
      <c r="F44" s="4"/>
      <c r="G44" s="4"/>
    </row>
    <row r="45" spans="1:7" ht="14.7" thickBot="1" x14ac:dyDescent="0.6">
      <c r="A45" s="2">
        <v>2007</v>
      </c>
      <c r="B45" s="2"/>
      <c r="C45" s="4"/>
      <c r="D45" s="4"/>
      <c r="E45" s="4"/>
      <c r="F45" s="4"/>
      <c r="G45" s="4"/>
    </row>
    <row r="46" spans="1:7" ht="14.7" thickBot="1" x14ac:dyDescent="0.6">
      <c r="A46" s="2" t="s">
        <v>218</v>
      </c>
      <c r="B46" s="3">
        <v>20890750</v>
      </c>
      <c r="C46" s="4"/>
      <c r="D46" s="4"/>
      <c r="E46" s="4"/>
      <c r="F46" s="4"/>
      <c r="G46" s="4"/>
    </row>
    <row r="47" spans="1:7" ht="14.7" thickBot="1" x14ac:dyDescent="0.6">
      <c r="A47" s="2" t="s">
        <v>219</v>
      </c>
      <c r="B47" s="3">
        <v>19663239</v>
      </c>
      <c r="C47" s="4"/>
      <c r="D47" s="4"/>
      <c r="E47" s="3" t="s">
        <v>179</v>
      </c>
      <c r="F47" s="4"/>
      <c r="G47" s="4"/>
    </row>
    <row r="48" spans="1:7" ht="14.7" thickBot="1" x14ac:dyDescent="0.6">
      <c r="A48" s="2" t="s">
        <v>220</v>
      </c>
      <c r="B48" s="3">
        <v>22578270</v>
      </c>
      <c r="C48" s="3">
        <v>63132259</v>
      </c>
      <c r="D48" s="3">
        <v>235881489</v>
      </c>
      <c r="E48" s="84">
        <v>235881489</v>
      </c>
      <c r="F48" s="4"/>
      <c r="G48" s="4"/>
    </row>
    <row r="49" spans="1:7" ht="14.7" thickBot="1" x14ac:dyDescent="0.6">
      <c r="A49" s="2" t="s">
        <v>221</v>
      </c>
      <c r="B49" s="3">
        <v>19533887</v>
      </c>
      <c r="C49" s="4"/>
      <c r="D49" s="4"/>
      <c r="E49" s="4"/>
      <c r="F49" s="4"/>
      <c r="G49" s="4"/>
    </row>
    <row r="50" spans="1:7" ht="14.7" thickBot="1" x14ac:dyDescent="0.6">
      <c r="A50" s="2" t="s">
        <v>222</v>
      </c>
      <c r="B50" s="3">
        <v>19203909</v>
      </c>
      <c r="C50" s="4"/>
      <c r="D50" s="4"/>
      <c r="E50" s="3" t="s">
        <v>179</v>
      </c>
      <c r="F50" s="4"/>
      <c r="G50" s="4"/>
    </row>
    <row r="51" spans="1:7" ht="14.7" thickBot="1" x14ac:dyDescent="0.6">
      <c r="A51" s="2" t="s">
        <v>223</v>
      </c>
      <c r="B51" s="3">
        <v>17660545</v>
      </c>
      <c r="C51" s="3">
        <v>56398341</v>
      </c>
      <c r="D51" s="3">
        <v>292279830</v>
      </c>
      <c r="E51" s="3" t="s">
        <v>224</v>
      </c>
      <c r="F51" s="4"/>
      <c r="G51" s="4"/>
    </row>
    <row r="52" spans="1:7" ht="14.7" thickBot="1" x14ac:dyDescent="0.6">
      <c r="A52" s="2" t="s">
        <v>225</v>
      </c>
      <c r="B52" s="3">
        <v>18548289</v>
      </c>
      <c r="C52" s="4"/>
      <c r="D52" s="4"/>
      <c r="E52" s="4"/>
      <c r="F52" s="4"/>
      <c r="G52" s="4"/>
    </row>
    <row r="53" spans="1:7" ht="14.7" thickBot="1" x14ac:dyDescent="0.6">
      <c r="A53" s="2" t="s">
        <v>226</v>
      </c>
      <c r="B53" s="3">
        <v>19956589</v>
      </c>
      <c r="C53" s="4"/>
      <c r="D53" s="4"/>
      <c r="E53" s="3" t="s">
        <v>179</v>
      </c>
      <c r="F53" s="4"/>
      <c r="G53" s="4"/>
    </row>
    <row r="54" spans="1:7" ht="14.7" thickBot="1" x14ac:dyDescent="0.6">
      <c r="A54" s="2" t="s">
        <v>227</v>
      </c>
      <c r="B54" s="3">
        <v>19707673</v>
      </c>
      <c r="C54" s="3">
        <v>58212551</v>
      </c>
      <c r="D54" s="3">
        <v>350492381</v>
      </c>
      <c r="E54" s="84">
        <v>350492381</v>
      </c>
      <c r="F54" s="4"/>
      <c r="G54" s="4"/>
    </row>
    <row r="55" spans="1:7" ht="14.7" thickBot="1" x14ac:dyDescent="0.6">
      <c r="A55" s="2" t="s">
        <v>228</v>
      </c>
      <c r="B55" s="3">
        <v>22479030</v>
      </c>
      <c r="C55" s="4"/>
      <c r="D55" s="4"/>
      <c r="E55" s="4"/>
      <c r="F55" s="4"/>
      <c r="G55" s="4"/>
    </row>
    <row r="56" spans="1:7" ht="14.7" thickBot="1" x14ac:dyDescent="0.6">
      <c r="A56" s="2" t="s">
        <v>229</v>
      </c>
      <c r="B56" s="3">
        <v>23423783</v>
      </c>
      <c r="C56" s="4"/>
      <c r="D56" s="4"/>
      <c r="E56" s="3" t="s">
        <v>179</v>
      </c>
      <c r="F56" s="4"/>
      <c r="G56" s="4"/>
    </row>
    <row r="57" spans="1:7" ht="14.7" thickBot="1" x14ac:dyDescent="0.6">
      <c r="A57" s="2" t="s">
        <v>230</v>
      </c>
      <c r="B57" s="3">
        <v>23631266</v>
      </c>
      <c r="C57" s="3">
        <v>69534079</v>
      </c>
      <c r="D57" s="3">
        <v>420026460</v>
      </c>
      <c r="E57" s="3" t="s">
        <v>231</v>
      </c>
      <c r="F57" s="4"/>
      <c r="G57" s="4"/>
    </row>
  </sheetData>
  <sortState ref="F2:G7">
    <sortCondition ref="F2"/>
  </sortState>
  <pageMargins left="0.7" right="0.7" top="0.75" bottom="0.75" header="0.3" footer="0.3"/>
  <pageSetup paperSize="9" orientation="portrait" horizontalDpi="4294967294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13"/>
    </sheetView>
  </sheetViews>
  <sheetFormatPr defaultRowHeight="14.4" x14ac:dyDescent="0.5500000000000000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6"/>
  <sheetViews>
    <sheetView topLeftCell="A22" zoomScale="85" zoomScaleNormal="85" workbookViewId="0">
      <selection activeCell="E38" sqref="E38"/>
    </sheetView>
  </sheetViews>
  <sheetFormatPr defaultRowHeight="14.4" x14ac:dyDescent="0.55000000000000004"/>
  <sheetData>
    <row r="1" spans="1:7" ht="15.6" thickBot="1" x14ac:dyDescent="0.6">
      <c r="A1" s="138" t="s">
        <v>251</v>
      </c>
      <c r="B1" s="139"/>
      <c r="C1" s="140"/>
    </row>
    <row r="2" spans="1:7" ht="15.6" thickBot="1" x14ac:dyDescent="0.6">
      <c r="A2" s="52" t="s">
        <v>125</v>
      </c>
      <c r="B2" s="2"/>
      <c r="C2" s="2"/>
    </row>
    <row r="6" spans="1:7" ht="14.7" thickBot="1" x14ac:dyDescent="0.6"/>
    <row r="7" spans="1:7" ht="15.6" thickBot="1" x14ac:dyDescent="0.6">
      <c r="A7" s="25" t="s">
        <v>70</v>
      </c>
      <c r="B7" s="25" t="s">
        <v>18</v>
      </c>
      <c r="C7" s="25" t="s">
        <v>71</v>
      </c>
      <c r="D7" s="54" t="s">
        <v>75</v>
      </c>
      <c r="E7" s="72" t="s">
        <v>77</v>
      </c>
    </row>
    <row r="8" spans="1:7" s="18" customFormat="1" ht="15.6" thickBot="1" x14ac:dyDescent="0.6">
      <c r="A8" s="89">
        <v>100000</v>
      </c>
      <c r="B8" s="90">
        <v>228</v>
      </c>
      <c r="C8" s="90">
        <v>213</v>
      </c>
      <c r="D8" s="91">
        <v>198</v>
      </c>
      <c r="E8" s="21"/>
      <c r="G8" s="18" t="s">
        <v>323</v>
      </c>
    </row>
    <row r="9" spans="1:7" s="18" customFormat="1" ht="15.6" thickBot="1" x14ac:dyDescent="0.6">
      <c r="A9" s="89">
        <v>70000</v>
      </c>
      <c r="B9" s="89">
        <v>241</v>
      </c>
      <c r="C9" s="89">
        <v>238</v>
      </c>
      <c r="D9" s="91">
        <v>344</v>
      </c>
    </row>
    <row r="10" spans="1:7" s="18" customFormat="1" x14ac:dyDescent="0.55000000000000004">
      <c r="A10">
        <v>50000</v>
      </c>
      <c r="B10">
        <v>276</v>
      </c>
      <c r="C10">
        <v>288</v>
      </c>
      <c r="D10">
        <f>15*60+39</f>
        <v>939</v>
      </c>
    </row>
    <row r="11" spans="1:7" x14ac:dyDescent="0.55000000000000004">
      <c r="A11">
        <v>45000</v>
      </c>
      <c r="B11">
        <v>301</v>
      </c>
      <c r="C11">
        <v>317</v>
      </c>
      <c r="D11">
        <f>21*60</f>
        <v>1260</v>
      </c>
    </row>
    <row r="12" spans="1:7" x14ac:dyDescent="0.55000000000000004">
      <c r="A12">
        <v>40000</v>
      </c>
      <c r="B12">
        <v>359</v>
      </c>
      <c r="C12">
        <v>354</v>
      </c>
      <c r="D12">
        <f>27*60</f>
        <v>1620</v>
      </c>
    </row>
    <row r="13" spans="1:7" x14ac:dyDescent="0.55000000000000004">
      <c r="A13">
        <v>35000</v>
      </c>
      <c r="B13">
        <v>376</v>
      </c>
      <c r="C13">
        <v>436</v>
      </c>
      <c r="D13">
        <f>41*60+6</f>
        <v>2466</v>
      </c>
    </row>
    <row r="14" spans="1:7" x14ac:dyDescent="0.55000000000000004">
      <c r="A14">
        <v>30000</v>
      </c>
      <c r="B14">
        <v>459</v>
      </c>
      <c r="C14">
        <f>8*60+45</f>
        <v>525</v>
      </c>
      <c r="D14">
        <f>62*60</f>
        <v>3720</v>
      </c>
    </row>
    <row r="15" spans="1:7" x14ac:dyDescent="0.55000000000000004">
      <c r="A15">
        <v>20000</v>
      </c>
      <c r="B15" s="21"/>
      <c r="C15">
        <f>13*60+29</f>
        <v>809</v>
      </c>
    </row>
    <row r="16" spans="1:7" x14ac:dyDescent="0.55000000000000004">
      <c r="A16">
        <v>10000</v>
      </c>
      <c r="B16" s="21"/>
      <c r="C16">
        <f>28*60+31</f>
        <v>1711</v>
      </c>
    </row>
    <row r="18" spans="1:13" x14ac:dyDescent="0.55000000000000004">
      <c r="M18" t="s">
        <v>253</v>
      </c>
    </row>
    <row r="19" spans="1:13" ht="14.7" thickBot="1" x14ac:dyDescent="0.6"/>
    <row r="20" spans="1:13" ht="15.6" thickBot="1" x14ac:dyDescent="0.6">
      <c r="A20" s="138" t="s">
        <v>251</v>
      </c>
      <c r="B20" s="139"/>
      <c r="C20" s="140"/>
    </row>
    <row r="21" spans="1:13" ht="15.6" thickBot="1" x14ac:dyDescent="0.6">
      <c r="A21" s="52" t="s">
        <v>252</v>
      </c>
      <c r="B21" s="2"/>
      <c r="C21" s="2"/>
    </row>
    <row r="25" spans="1:13" ht="14.7" thickBot="1" x14ac:dyDescent="0.6"/>
    <row r="26" spans="1:13" ht="15.6" thickBot="1" x14ac:dyDescent="0.6">
      <c r="A26" s="25" t="s">
        <v>70</v>
      </c>
      <c r="B26" s="25" t="s">
        <v>32</v>
      </c>
      <c r="C26" s="25" t="s">
        <v>35</v>
      </c>
      <c r="D26" s="25" t="s">
        <v>33</v>
      </c>
      <c r="E26" s="54" t="s">
        <v>34</v>
      </c>
      <c r="F26" s="92" t="s">
        <v>118</v>
      </c>
      <c r="G26" s="92" t="s">
        <v>247</v>
      </c>
    </row>
    <row r="27" spans="1:13" ht="15.6" thickBot="1" x14ac:dyDescent="0.6">
      <c r="A27" s="89">
        <v>100000</v>
      </c>
      <c r="B27" s="89">
        <f>A27/10000000*100</f>
        <v>1</v>
      </c>
      <c r="C27" s="93"/>
      <c r="D27" s="90"/>
      <c r="E27" s="91"/>
    </row>
    <row r="28" spans="1:13" ht="15.6" thickBot="1" x14ac:dyDescent="0.6">
      <c r="A28" s="89">
        <v>70000</v>
      </c>
      <c r="B28" s="89">
        <f t="shared" ref="B28:B36" si="0">A28/10000000*100</f>
        <v>0.70000000000000007</v>
      </c>
      <c r="C28" s="7"/>
      <c r="D28" s="89"/>
      <c r="E28" s="91"/>
    </row>
    <row r="29" spans="1:13" ht="14.7" thickBot="1" x14ac:dyDescent="0.6">
      <c r="A29">
        <v>50000</v>
      </c>
      <c r="B29" s="89">
        <f t="shared" si="0"/>
        <v>0.5</v>
      </c>
      <c r="C29" s="17"/>
    </row>
    <row r="30" spans="1:13" ht="14.7" thickBot="1" x14ac:dyDescent="0.6">
      <c r="A30">
        <v>40000</v>
      </c>
      <c r="B30" s="89">
        <f t="shared" si="0"/>
        <v>0.4</v>
      </c>
      <c r="C30">
        <v>165</v>
      </c>
      <c r="D30">
        <v>203</v>
      </c>
      <c r="E30">
        <v>179</v>
      </c>
      <c r="F30">
        <v>166</v>
      </c>
      <c r="G30">
        <v>222</v>
      </c>
      <c r="I30" s="29"/>
    </row>
    <row r="31" spans="1:13" ht="14.7" thickBot="1" x14ac:dyDescent="0.6">
      <c r="A31">
        <v>30000</v>
      </c>
      <c r="B31" s="89">
        <f t="shared" si="0"/>
        <v>0.3</v>
      </c>
      <c r="C31">
        <v>165</v>
      </c>
      <c r="D31">
        <v>210</v>
      </c>
      <c r="E31">
        <v>179</v>
      </c>
      <c r="F31">
        <v>169</v>
      </c>
      <c r="G31">
        <v>1044</v>
      </c>
    </row>
    <row r="32" spans="1:13" ht="14.7" thickBot="1" x14ac:dyDescent="0.6">
      <c r="A32">
        <v>25000</v>
      </c>
      <c r="B32" s="89">
        <f t="shared" si="0"/>
        <v>0.25</v>
      </c>
      <c r="C32">
        <v>175</v>
      </c>
      <c r="D32">
        <v>222</v>
      </c>
      <c r="E32">
        <v>218</v>
      </c>
      <c r="F32">
        <v>175</v>
      </c>
      <c r="G32">
        <v>1869</v>
      </c>
    </row>
    <row r="33" spans="1:23" ht="14.7" thickBot="1" x14ac:dyDescent="0.6">
      <c r="A33">
        <v>20000</v>
      </c>
      <c r="B33" s="89">
        <f t="shared" si="0"/>
        <v>0.2</v>
      </c>
      <c r="C33" s="18">
        <v>183</v>
      </c>
      <c r="D33">
        <v>237</v>
      </c>
      <c r="E33">
        <v>248</v>
      </c>
      <c r="F33">
        <v>217</v>
      </c>
      <c r="G33">
        <v>3520</v>
      </c>
    </row>
    <row r="34" spans="1:23" ht="14.7" thickBot="1" x14ac:dyDescent="0.6">
      <c r="A34">
        <v>15000</v>
      </c>
      <c r="B34" s="89">
        <f t="shared" si="0"/>
        <v>0.15</v>
      </c>
      <c r="C34" s="18">
        <v>267</v>
      </c>
      <c r="D34">
        <v>283</v>
      </c>
      <c r="E34">
        <v>460</v>
      </c>
      <c r="F34">
        <v>223</v>
      </c>
      <c r="G34">
        <v>7788</v>
      </c>
    </row>
    <row r="35" spans="1:23" ht="14.7" thickBot="1" x14ac:dyDescent="0.6">
      <c r="A35">
        <v>10000</v>
      </c>
      <c r="B35" s="89">
        <f t="shared" si="0"/>
        <v>0.1</v>
      </c>
      <c r="C35" s="18">
        <v>332</v>
      </c>
      <c r="D35">
        <v>442</v>
      </c>
      <c r="E35">
        <v>614</v>
      </c>
      <c r="F35">
        <v>317</v>
      </c>
      <c r="G35" s="85">
        <v>24573</v>
      </c>
      <c r="W35" s="29"/>
    </row>
    <row r="36" spans="1:23" ht="14.7" thickBot="1" x14ac:dyDescent="0.6">
      <c r="A36">
        <v>1000</v>
      </c>
      <c r="B36" s="89">
        <f t="shared" si="0"/>
        <v>0.01</v>
      </c>
      <c r="C36" s="21"/>
      <c r="D36">
        <f>62*60+14</f>
        <v>3734</v>
      </c>
      <c r="E36">
        <f>31*60</f>
        <v>1860</v>
      </c>
      <c r="F36">
        <f>14*60+41</f>
        <v>881</v>
      </c>
      <c r="G36" s="85">
        <v>257956</v>
      </c>
    </row>
    <row r="37" spans="1:23" ht="14.7" thickBot="1" x14ac:dyDescent="0.6">
      <c r="A37">
        <v>500</v>
      </c>
      <c r="B37" s="89">
        <f>A37/10000000*100</f>
        <v>5.0000000000000001E-3</v>
      </c>
      <c r="D37">
        <f>115*60+18</f>
        <v>6918</v>
      </c>
      <c r="E37">
        <f>32*60+55</f>
        <v>1975</v>
      </c>
      <c r="F37">
        <f>15*60+30</f>
        <v>930</v>
      </c>
      <c r="G37" s="85">
        <v>343527</v>
      </c>
    </row>
    <row r="38" spans="1:23" x14ac:dyDescent="0.55000000000000004">
      <c r="A38">
        <v>200</v>
      </c>
      <c r="B38" s="94">
        <f>A38/10000000*100</f>
        <v>2E-3</v>
      </c>
      <c r="D38">
        <f>419*60</f>
        <v>25140</v>
      </c>
      <c r="E38">
        <f>47*60+20</f>
        <v>2840</v>
      </c>
      <c r="F38">
        <f>16*60+13</f>
        <v>973</v>
      </c>
      <c r="G38" s="85">
        <v>447177</v>
      </c>
    </row>
    <row r="39" spans="1:23" x14ac:dyDescent="0.55000000000000004">
      <c r="A39">
        <v>100</v>
      </c>
      <c r="B39" s="94">
        <f>A39/10000000*100</f>
        <v>1E-3</v>
      </c>
      <c r="C39" t="s">
        <v>12</v>
      </c>
      <c r="F39">
        <f>28*60+9</f>
        <v>1689</v>
      </c>
    </row>
    <row r="40" spans="1:23" x14ac:dyDescent="0.55000000000000004">
      <c r="C40" t="s">
        <v>254</v>
      </c>
    </row>
    <row r="42" spans="1:23" x14ac:dyDescent="0.55000000000000004">
      <c r="C42" t="s">
        <v>324</v>
      </c>
    </row>
    <row r="72" spans="1:6" ht="14.7" thickBot="1" x14ac:dyDescent="0.6"/>
    <row r="73" spans="1:6" ht="15.6" thickBot="1" x14ac:dyDescent="0.6">
      <c r="A73" s="25" t="s">
        <v>70</v>
      </c>
      <c r="B73" s="25" t="s">
        <v>32</v>
      </c>
      <c r="C73" s="25" t="s">
        <v>35</v>
      </c>
      <c r="D73" s="25" t="s">
        <v>33</v>
      </c>
      <c r="E73" s="54" t="s">
        <v>34</v>
      </c>
      <c r="F73" s="92" t="s">
        <v>118</v>
      </c>
    </row>
    <row r="74" spans="1:6" ht="15.6" thickBot="1" x14ac:dyDescent="0.6">
      <c r="A74" s="89">
        <v>100000</v>
      </c>
      <c r="B74" s="89">
        <f t="shared" ref="B74:B82" si="1">A74/10000000*100</f>
        <v>1</v>
      </c>
      <c r="C74" s="90">
        <v>228</v>
      </c>
      <c r="D74" s="90">
        <v>213</v>
      </c>
      <c r="E74" s="91">
        <v>198</v>
      </c>
      <c r="F74" s="21"/>
    </row>
    <row r="75" spans="1:6" ht="15.6" thickBot="1" x14ac:dyDescent="0.6">
      <c r="A75" s="89">
        <v>70000</v>
      </c>
      <c r="B75" s="89">
        <f t="shared" si="1"/>
        <v>0.70000000000000007</v>
      </c>
      <c r="C75" s="89">
        <v>241</v>
      </c>
      <c r="D75" s="89">
        <v>238</v>
      </c>
      <c r="E75" s="91">
        <v>344</v>
      </c>
      <c r="F75" s="18"/>
    </row>
    <row r="76" spans="1:6" ht="14.7" thickBot="1" x14ac:dyDescent="0.6">
      <c r="A76">
        <v>50000</v>
      </c>
      <c r="B76" s="89">
        <f t="shared" si="1"/>
        <v>0.5</v>
      </c>
      <c r="C76">
        <v>276</v>
      </c>
      <c r="D76">
        <v>288</v>
      </c>
      <c r="E76">
        <f>15*60+39</f>
        <v>939</v>
      </c>
      <c r="F76" s="18"/>
    </row>
    <row r="77" spans="1:6" ht="14.7" thickBot="1" x14ac:dyDescent="0.6">
      <c r="A77">
        <v>45000</v>
      </c>
      <c r="B77" s="89">
        <f t="shared" si="1"/>
        <v>0.44999999999999996</v>
      </c>
      <c r="C77">
        <v>301</v>
      </c>
      <c r="D77">
        <v>317</v>
      </c>
      <c r="E77">
        <f>21*60</f>
        <v>1260</v>
      </c>
    </row>
    <row r="78" spans="1:6" ht="14.7" thickBot="1" x14ac:dyDescent="0.6">
      <c r="A78">
        <v>40000</v>
      </c>
      <c r="B78" s="89">
        <f t="shared" si="1"/>
        <v>0.4</v>
      </c>
      <c r="C78">
        <v>359</v>
      </c>
      <c r="D78">
        <v>354</v>
      </c>
      <c r="E78">
        <f>27*60</f>
        <v>1620</v>
      </c>
    </row>
    <row r="79" spans="1:6" ht="14.7" thickBot="1" x14ac:dyDescent="0.6">
      <c r="A79">
        <v>35000</v>
      </c>
      <c r="B79" s="89">
        <f t="shared" si="1"/>
        <v>0.35000000000000003</v>
      </c>
      <c r="C79">
        <v>376</v>
      </c>
      <c r="D79">
        <v>436</v>
      </c>
      <c r="E79">
        <f>41*60+6</f>
        <v>2466</v>
      </c>
    </row>
    <row r="80" spans="1:6" ht="14.7" thickBot="1" x14ac:dyDescent="0.6">
      <c r="A80">
        <v>30000</v>
      </c>
      <c r="B80" s="89">
        <f t="shared" si="1"/>
        <v>0.3</v>
      </c>
      <c r="C80">
        <v>459</v>
      </c>
      <c r="D80">
        <f>8*60+45</f>
        <v>525</v>
      </c>
      <c r="E80">
        <f>62*60</f>
        <v>3720</v>
      </c>
    </row>
    <row r="81" spans="1:5" ht="14.7" thickBot="1" x14ac:dyDescent="0.6">
      <c r="A81">
        <v>20000</v>
      </c>
      <c r="B81" s="89">
        <f t="shared" si="1"/>
        <v>0.2</v>
      </c>
      <c r="C81" s="21"/>
      <c r="D81">
        <f>13*60+29</f>
        <v>809</v>
      </c>
      <c r="E81">
        <f>91*60</f>
        <v>5460</v>
      </c>
    </row>
    <row r="82" spans="1:5" ht="14.7" thickBot="1" x14ac:dyDescent="0.6">
      <c r="A82">
        <v>10000</v>
      </c>
      <c r="B82" s="89">
        <f t="shared" si="1"/>
        <v>0.1</v>
      </c>
      <c r="C82" s="21"/>
      <c r="D82">
        <f>28*60+31</f>
        <v>1711</v>
      </c>
    </row>
    <row r="85" spans="1:5" x14ac:dyDescent="0.55000000000000004">
      <c r="B85" s="94">
        <v>4</v>
      </c>
    </row>
    <row r="86" spans="1:5" x14ac:dyDescent="0.55000000000000004">
      <c r="B86" s="94">
        <f>A86/10000000*100</f>
        <v>0</v>
      </c>
    </row>
  </sheetData>
  <mergeCells count="2">
    <mergeCell ref="A1:C1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S8" sqref="S8"/>
    </sheetView>
  </sheetViews>
  <sheetFormatPr defaultRowHeight="14.4" x14ac:dyDescent="0.55000000000000004"/>
  <sheetData>
    <row r="1" spans="1:6" ht="14.7" thickBot="1" x14ac:dyDescent="0.6"/>
    <row r="2" spans="1:6" ht="38.1" thickBot="1" x14ac:dyDescent="0.6">
      <c r="A2" s="2" t="s">
        <v>20</v>
      </c>
      <c r="B2" s="2"/>
      <c r="C2" s="2"/>
      <c r="D2" s="2"/>
      <c r="E2" s="2"/>
      <c r="F2" s="2"/>
    </row>
    <row r="3" spans="1:6" ht="38.1" thickBot="1" x14ac:dyDescent="0.6">
      <c r="A3" s="2" t="s">
        <v>21</v>
      </c>
      <c r="B3" s="2" t="s">
        <v>22</v>
      </c>
      <c r="C3" s="4"/>
      <c r="D3" s="4"/>
      <c r="E3" s="4"/>
      <c r="F3" s="4"/>
    </row>
    <row r="4" spans="1:6" ht="50.4" thickBot="1" x14ac:dyDescent="0.6">
      <c r="A4" s="2" t="s">
        <v>23</v>
      </c>
      <c r="B4" s="2" t="s">
        <v>24</v>
      </c>
      <c r="C4" s="4"/>
      <c r="D4" s="4"/>
      <c r="E4" s="4"/>
      <c r="F4" s="4"/>
    </row>
    <row r="5" spans="1:6" ht="14.7" thickBot="1" x14ac:dyDescent="0.6">
      <c r="A5" s="2"/>
      <c r="B5" s="4"/>
      <c r="C5" s="4"/>
      <c r="D5" s="4"/>
      <c r="E5" s="4"/>
      <c r="F5" s="4"/>
    </row>
    <row r="6" spans="1:6" ht="25.8" thickBot="1" x14ac:dyDescent="0.6">
      <c r="A6" s="2"/>
      <c r="B6" s="2" t="s">
        <v>82</v>
      </c>
      <c r="C6" s="2" t="s">
        <v>33</v>
      </c>
      <c r="D6" s="2" t="s">
        <v>34</v>
      </c>
      <c r="F6" s="2"/>
    </row>
    <row r="7" spans="1:6" ht="14.7" thickBot="1" x14ac:dyDescent="0.6">
      <c r="A7" s="2" t="s">
        <v>25</v>
      </c>
      <c r="B7" s="3">
        <v>683</v>
      </c>
      <c r="C7" s="3">
        <v>586</v>
      </c>
      <c r="D7" s="3">
        <v>805</v>
      </c>
      <c r="F7" s="3"/>
    </row>
    <row r="8" spans="1:6" ht="14.7" thickBot="1" x14ac:dyDescent="0.6">
      <c r="A8" s="2" t="s">
        <v>26</v>
      </c>
      <c r="B8" s="3">
        <v>1953</v>
      </c>
      <c r="C8" s="3">
        <v>1163</v>
      </c>
      <c r="D8" s="3">
        <v>2059</v>
      </c>
      <c r="F8" s="3"/>
    </row>
    <row r="9" spans="1:6" ht="14.7" thickBot="1" x14ac:dyDescent="0.6">
      <c r="A9" s="2" t="s">
        <v>27</v>
      </c>
      <c r="B9" s="20"/>
      <c r="C9" s="3">
        <v>149235</v>
      </c>
      <c r="D9" s="3">
        <v>8460</v>
      </c>
      <c r="F9" s="2"/>
    </row>
    <row r="10" spans="1:6" ht="14.7" thickBot="1" x14ac:dyDescent="0.6">
      <c r="A10" s="2" t="s">
        <v>28</v>
      </c>
      <c r="B10" s="20"/>
      <c r="C10" s="20"/>
      <c r="D10" s="3">
        <v>36347</v>
      </c>
      <c r="F10" s="3"/>
    </row>
    <row r="11" spans="1:6" ht="38.1" thickBot="1" x14ac:dyDescent="0.6">
      <c r="C11" s="7" t="s">
        <v>78</v>
      </c>
    </row>
    <row r="15" spans="1:6" x14ac:dyDescent="0.55000000000000004">
      <c r="C15" s="29"/>
    </row>
  </sheetData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H22" sqref="H22"/>
    </sheetView>
  </sheetViews>
  <sheetFormatPr defaultRowHeight="14.4" x14ac:dyDescent="0.55000000000000004"/>
  <sheetData>
    <row r="1" spans="1:6" ht="14.7" thickBot="1" x14ac:dyDescent="0.6"/>
    <row r="2" spans="1:6" ht="25.8" thickBot="1" x14ac:dyDescent="0.6">
      <c r="A2" s="2" t="s">
        <v>76</v>
      </c>
      <c r="B2" s="2"/>
      <c r="C2" s="2" t="s">
        <v>71</v>
      </c>
      <c r="D2" s="2" t="s">
        <v>18</v>
      </c>
      <c r="E2" s="2" t="s">
        <v>77</v>
      </c>
      <c r="F2" s="2" t="s">
        <v>1</v>
      </c>
    </row>
    <row r="3" spans="1:6" ht="14.7" thickBot="1" x14ac:dyDescent="0.6">
      <c r="A3" s="2"/>
      <c r="B3" s="4"/>
      <c r="C3" s="4"/>
      <c r="D3" s="4"/>
      <c r="E3" s="4"/>
      <c r="F3" s="4"/>
    </row>
    <row r="4" spans="1:6" ht="14.7" thickBot="1" x14ac:dyDescent="0.6">
      <c r="A4" s="2"/>
      <c r="B4" s="4" t="s">
        <v>70</v>
      </c>
      <c r="C4" s="2" t="s">
        <v>71</v>
      </c>
      <c r="D4" s="2" t="s">
        <v>18</v>
      </c>
      <c r="E4" s="2" t="s">
        <v>77</v>
      </c>
      <c r="F4" s="2" t="s">
        <v>1</v>
      </c>
    </row>
    <row r="5" spans="1:6" ht="14.7" thickBot="1" x14ac:dyDescent="0.6">
      <c r="A5" s="2"/>
      <c r="B5" s="3">
        <v>1500</v>
      </c>
      <c r="C5" s="3">
        <v>230</v>
      </c>
      <c r="D5" s="3">
        <v>154</v>
      </c>
      <c r="E5" s="3">
        <v>134</v>
      </c>
      <c r="F5" s="3">
        <v>100</v>
      </c>
    </row>
    <row r="6" spans="1:6" ht="14.7" thickBot="1" x14ac:dyDescent="0.6">
      <c r="A6" s="2"/>
      <c r="B6" s="3">
        <v>1200</v>
      </c>
      <c r="C6" s="3">
        <v>227</v>
      </c>
      <c r="D6" s="3">
        <v>157</v>
      </c>
      <c r="E6" s="3">
        <v>134</v>
      </c>
      <c r="F6" s="3">
        <v>112</v>
      </c>
    </row>
    <row r="7" spans="1:6" ht="14.7" thickBot="1" x14ac:dyDescent="0.6">
      <c r="A7" s="2"/>
      <c r="B7" s="3">
        <v>900</v>
      </c>
      <c r="C7" s="3">
        <v>268</v>
      </c>
      <c r="D7" s="3">
        <v>161</v>
      </c>
      <c r="E7" s="3">
        <v>135</v>
      </c>
      <c r="F7" s="3">
        <v>118</v>
      </c>
    </row>
    <row r="8" spans="1:6" ht="14.7" thickBot="1" x14ac:dyDescent="0.6">
      <c r="A8" s="2"/>
      <c r="B8" s="3">
        <v>600</v>
      </c>
      <c r="C8" s="3">
        <v>300</v>
      </c>
      <c r="D8" s="3">
        <v>237</v>
      </c>
      <c r="E8" s="3">
        <v>145</v>
      </c>
      <c r="F8" s="3">
        <v>139</v>
      </c>
    </row>
    <row r="9" spans="1:6" ht="14.7" thickBot="1" x14ac:dyDescent="0.6">
      <c r="A9" s="2"/>
      <c r="B9" s="3">
        <v>300</v>
      </c>
      <c r="C9" s="3">
        <v>501</v>
      </c>
      <c r="D9" s="22"/>
      <c r="E9" s="3">
        <v>167</v>
      </c>
      <c r="F9" s="3">
        <v>156</v>
      </c>
    </row>
    <row r="10" spans="1:6" ht="14.7" thickBot="1" x14ac:dyDescent="0.6">
      <c r="A10" s="2"/>
      <c r="B10" s="3">
        <v>150</v>
      </c>
      <c r="C10" s="3">
        <v>1461</v>
      </c>
      <c r="D10" s="22"/>
      <c r="E10" s="3">
        <v>214</v>
      </c>
      <c r="F10" s="3">
        <v>177</v>
      </c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2"/>
  <sheetViews>
    <sheetView topLeftCell="A16" workbookViewId="0">
      <selection activeCell="N18" sqref="N18"/>
    </sheetView>
  </sheetViews>
  <sheetFormatPr defaultRowHeight="14.4" x14ac:dyDescent="0.55000000000000004"/>
  <sheetData>
    <row r="2" spans="1:4" x14ac:dyDescent="0.55000000000000004">
      <c r="A2" s="16" t="s">
        <v>69</v>
      </c>
    </row>
    <row r="4" spans="1:4" x14ac:dyDescent="0.55000000000000004">
      <c r="A4" t="s">
        <v>70</v>
      </c>
      <c r="B4" t="s">
        <v>18</v>
      </c>
      <c r="C4" t="s">
        <v>71</v>
      </c>
      <c r="D4" t="s">
        <v>75</v>
      </c>
    </row>
    <row r="5" spans="1:4" x14ac:dyDescent="0.55000000000000004">
      <c r="A5">
        <v>100000</v>
      </c>
      <c r="B5">
        <v>267</v>
      </c>
      <c r="C5">
        <v>275</v>
      </c>
      <c r="D5" s="17">
        <v>346</v>
      </c>
    </row>
    <row r="6" spans="1:4" x14ac:dyDescent="0.55000000000000004">
      <c r="A6">
        <v>75000</v>
      </c>
      <c r="B6">
        <v>313</v>
      </c>
      <c r="C6">
        <v>312</v>
      </c>
      <c r="D6" s="17">
        <v>917</v>
      </c>
    </row>
    <row r="7" spans="1:4" x14ac:dyDescent="0.55000000000000004">
      <c r="A7">
        <v>55000</v>
      </c>
      <c r="B7">
        <v>385</v>
      </c>
      <c r="C7">
        <v>420</v>
      </c>
      <c r="D7" s="17">
        <f>34*60+9</f>
        <v>2049</v>
      </c>
    </row>
    <row r="8" spans="1:4" x14ac:dyDescent="0.55000000000000004">
      <c r="A8">
        <v>50000</v>
      </c>
      <c r="B8">
        <v>413</v>
      </c>
      <c r="C8">
        <v>480</v>
      </c>
      <c r="D8" s="21"/>
    </row>
    <row r="9" spans="1:4" x14ac:dyDescent="0.55000000000000004">
      <c r="A9">
        <v>45000</v>
      </c>
      <c r="B9">
        <v>454</v>
      </c>
      <c r="C9">
        <v>523</v>
      </c>
      <c r="D9" s="17"/>
    </row>
    <row r="10" spans="1:4" x14ac:dyDescent="0.55000000000000004">
      <c r="A10">
        <v>40000</v>
      </c>
      <c r="B10">
        <v>542</v>
      </c>
      <c r="C10">
        <v>611</v>
      </c>
      <c r="D10" s="17"/>
    </row>
    <row r="11" spans="1:4" x14ac:dyDescent="0.55000000000000004">
      <c r="A11">
        <v>35000</v>
      </c>
      <c r="B11">
        <v>653</v>
      </c>
      <c r="C11">
        <v>752</v>
      </c>
      <c r="D11" s="21"/>
    </row>
    <row r="19" spans="1:10" x14ac:dyDescent="0.55000000000000004">
      <c r="A19" s="1" t="s">
        <v>72</v>
      </c>
    </row>
    <row r="21" spans="1:10" x14ac:dyDescent="0.55000000000000004">
      <c r="A21" t="s">
        <v>70</v>
      </c>
      <c r="B21" t="s">
        <v>18</v>
      </c>
      <c r="C21" t="s">
        <v>71</v>
      </c>
      <c r="D21" t="s">
        <v>75</v>
      </c>
    </row>
    <row r="22" spans="1:10" x14ac:dyDescent="0.55000000000000004">
      <c r="A22">
        <v>100000</v>
      </c>
      <c r="B22">
        <v>407</v>
      </c>
      <c r="C22">
        <v>439</v>
      </c>
      <c r="D22" s="17">
        <v>2459</v>
      </c>
    </row>
    <row r="23" spans="1:10" x14ac:dyDescent="0.55000000000000004">
      <c r="A23">
        <v>75000</v>
      </c>
      <c r="B23">
        <v>534</v>
      </c>
      <c r="C23">
        <v>613</v>
      </c>
      <c r="D23" s="17">
        <v>5820</v>
      </c>
    </row>
    <row r="24" spans="1:10" x14ac:dyDescent="0.55000000000000004">
      <c r="A24">
        <v>55000</v>
      </c>
      <c r="B24">
        <v>821</v>
      </c>
      <c r="C24">
        <v>910</v>
      </c>
      <c r="D24" s="21"/>
    </row>
    <row r="25" spans="1:10" x14ac:dyDescent="0.55000000000000004">
      <c r="A25">
        <v>50000</v>
      </c>
      <c r="B25">
        <v>868</v>
      </c>
      <c r="C25">
        <v>1113</v>
      </c>
      <c r="D25" s="17"/>
      <c r="J25">
        <f>0.01*3/4</f>
        <v>7.4999999999999997E-3</v>
      </c>
    </row>
    <row r="26" spans="1:10" x14ac:dyDescent="0.55000000000000004">
      <c r="A26">
        <v>45000</v>
      </c>
      <c r="B26" s="21"/>
      <c r="C26" s="17"/>
      <c r="D26" s="17"/>
    </row>
    <row r="27" spans="1:10" x14ac:dyDescent="0.55000000000000004">
      <c r="A27">
        <v>40000</v>
      </c>
      <c r="C27" s="17"/>
      <c r="D27" s="17"/>
    </row>
    <row r="28" spans="1:10" x14ac:dyDescent="0.55000000000000004">
      <c r="A28">
        <v>35000</v>
      </c>
    </row>
    <row r="32" spans="1:10" x14ac:dyDescent="0.55000000000000004">
      <c r="A32" s="1" t="s">
        <v>73</v>
      </c>
    </row>
    <row r="34" spans="1:10" x14ac:dyDescent="0.55000000000000004">
      <c r="A34" t="s">
        <v>70</v>
      </c>
      <c r="B34" t="s">
        <v>18</v>
      </c>
      <c r="C34" t="s">
        <v>71</v>
      </c>
      <c r="D34" t="s">
        <v>75</v>
      </c>
    </row>
    <row r="35" spans="1:10" x14ac:dyDescent="0.55000000000000004">
      <c r="A35">
        <v>100000</v>
      </c>
      <c r="B35">
        <v>702</v>
      </c>
      <c r="C35">
        <v>844</v>
      </c>
      <c r="D35" s="21"/>
    </row>
    <row r="36" spans="1:10" x14ac:dyDescent="0.55000000000000004">
      <c r="A36">
        <v>75000</v>
      </c>
      <c r="B36">
        <v>1081</v>
      </c>
      <c r="C36">
        <v>1427</v>
      </c>
      <c r="D36" s="17"/>
    </row>
    <row r="37" spans="1:10" x14ac:dyDescent="0.55000000000000004">
      <c r="A37">
        <v>60000</v>
      </c>
      <c r="B37">
        <v>1393</v>
      </c>
      <c r="C37">
        <v>1860</v>
      </c>
      <c r="D37" s="17"/>
    </row>
    <row r="38" spans="1:10" x14ac:dyDescent="0.55000000000000004">
      <c r="A38">
        <v>55000</v>
      </c>
      <c r="B38">
        <v>1450</v>
      </c>
      <c r="C38" s="17">
        <f>34*60</f>
        <v>2040</v>
      </c>
      <c r="D38" s="17"/>
    </row>
    <row r="39" spans="1:10" x14ac:dyDescent="0.55000000000000004">
      <c r="A39">
        <v>50000</v>
      </c>
      <c r="B39" s="21"/>
      <c r="C39" s="19">
        <v>2123</v>
      </c>
      <c r="D39" s="17"/>
    </row>
    <row r="40" spans="1:10" x14ac:dyDescent="0.55000000000000004">
      <c r="A40">
        <v>40000</v>
      </c>
      <c r="D40" s="17"/>
    </row>
    <row r="41" spans="1:10" x14ac:dyDescent="0.55000000000000004">
      <c r="A41">
        <v>35000</v>
      </c>
      <c r="D41" s="17"/>
    </row>
    <row r="44" spans="1:10" x14ac:dyDescent="0.55000000000000004">
      <c r="A44" s="1" t="s">
        <v>74</v>
      </c>
      <c r="J44">
        <f>100000/10000000</f>
        <v>0.01</v>
      </c>
    </row>
    <row r="45" spans="1:10" x14ac:dyDescent="0.55000000000000004">
      <c r="A45" t="s">
        <v>70</v>
      </c>
      <c r="B45" t="s">
        <v>18</v>
      </c>
      <c r="C45" t="s">
        <v>71</v>
      </c>
      <c r="D45" t="s">
        <v>75</v>
      </c>
    </row>
    <row r="46" spans="1:10" x14ac:dyDescent="0.55000000000000004">
      <c r="A46">
        <v>100000</v>
      </c>
      <c r="B46" s="17">
        <f>20*60+39</f>
        <v>1239</v>
      </c>
      <c r="C46" s="17">
        <f>26*60+4</f>
        <v>1564</v>
      </c>
      <c r="D46" s="21"/>
    </row>
    <row r="47" spans="1:10" x14ac:dyDescent="0.55000000000000004">
      <c r="A47">
        <v>75000</v>
      </c>
      <c r="B47">
        <v>1620</v>
      </c>
      <c r="C47">
        <v>2520</v>
      </c>
      <c r="D47" s="17"/>
    </row>
    <row r="48" spans="1:10" x14ac:dyDescent="0.55000000000000004">
      <c r="A48">
        <v>60000</v>
      </c>
      <c r="B48" s="21"/>
      <c r="C48">
        <v>4897</v>
      </c>
      <c r="D48" s="17"/>
    </row>
    <row r="49" spans="1:3" x14ac:dyDescent="0.55000000000000004">
      <c r="A49">
        <v>55000</v>
      </c>
      <c r="C49" s="18"/>
    </row>
    <row r="50" spans="1:3" x14ac:dyDescent="0.55000000000000004">
      <c r="A50">
        <v>45000</v>
      </c>
      <c r="C50" s="18"/>
    </row>
    <row r="51" spans="1:3" x14ac:dyDescent="0.55000000000000004">
      <c r="A51">
        <v>40000</v>
      </c>
    </row>
    <row r="52" spans="1:3" x14ac:dyDescent="0.55000000000000004">
      <c r="A52">
        <v>35000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6"/>
  <sheetViews>
    <sheetView topLeftCell="A55" workbookViewId="0">
      <selection activeCell="S17" sqref="S17"/>
    </sheetView>
  </sheetViews>
  <sheetFormatPr defaultRowHeight="14.4" x14ac:dyDescent="0.55000000000000004"/>
  <cols>
    <col min="1" max="1" width="12.41796875" customWidth="1"/>
    <col min="2" max="2" width="18.15625" customWidth="1"/>
    <col min="3" max="5" width="12.68359375" bestFit="1" customWidth="1"/>
    <col min="26" max="26" width="11.578125" bestFit="1" customWidth="1"/>
    <col min="27" max="27" width="12.68359375" bestFit="1" customWidth="1"/>
    <col min="28" max="28" width="12" bestFit="1" customWidth="1"/>
    <col min="29" max="29" width="12.68359375" bestFit="1" customWidth="1"/>
  </cols>
  <sheetData>
    <row r="1" spans="1:37" x14ac:dyDescent="0.55000000000000004">
      <c r="A1" t="s">
        <v>35</v>
      </c>
      <c r="B1">
        <v>2554.068304675</v>
      </c>
      <c r="C1">
        <v>332</v>
      </c>
      <c r="D1">
        <v>0</v>
      </c>
      <c r="E1" t="s">
        <v>313</v>
      </c>
      <c r="F1" s="115">
        <v>1E-3</v>
      </c>
      <c r="G1" t="s">
        <v>305</v>
      </c>
    </row>
    <row r="2" spans="1:37" x14ac:dyDescent="0.55000000000000004">
      <c r="A2" t="s">
        <v>118</v>
      </c>
      <c r="B2">
        <v>2221.1319999999996</v>
      </c>
      <c r="C2">
        <v>317</v>
      </c>
      <c r="D2">
        <v>0</v>
      </c>
    </row>
    <row r="3" spans="1:37" x14ac:dyDescent="0.55000000000000004">
      <c r="A3" t="s">
        <v>33</v>
      </c>
      <c r="B3">
        <v>564.28700000000003</v>
      </c>
      <c r="C3">
        <v>442</v>
      </c>
      <c r="D3">
        <v>0</v>
      </c>
    </row>
    <row r="4" spans="1:37" x14ac:dyDescent="0.55000000000000004">
      <c r="A4" t="s">
        <v>34</v>
      </c>
      <c r="B4">
        <v>2116.096</v>
      </c>
      <c r="C4">
        <v>722</v>
      </c>
      <c r="D4">
        <v>0</v>
      </c>
    </row>
    <row r="14" spans="1:37" ht="14.7" thickBot="1" x14ac:dyDescent="0.6">
      <c r="A14" s="1" t="s">
        <v>18</v>
      </c>
      <c r="Z14" s="1" t="s">
        <v>18</v>
      </c>
      <c r="AF14" s="1" t="s">
        <v>18</v>
      </c>
    </row>
    <row r="15" spans="1:37" ht="14.7" thickBot="1" x14ac:dyDescent="0.6">
      <c r="A15" s="117" t="s">
        <v>306</v>
      </c>
      <c r="B15" s="29" t="s">
        <v>314</v>
      </c>
      <c r="C15" s="29"/>
      <c r="D15" s="29" t="s">
        <v>315</v>
      </c>
      <c r="E15" s="118"/>
      <c r="F15" t="s">
        <v>325</v>
      </c>
      <c r="G15" t="s">
        <v>325</v>
      </c>
      <c r="Z15" s="117" t="s">
        <v>306</v>
      </c>
      <c r="AA15" s="29" t="s">
        <v>314</v>
      </c>
      <c r="AB15" s="29"/>
      <c r="AC15" s="29" t="s">
        <v>315</v>
      </c>
      <c r="AD15" s="118"/>
      <c r="AE15" t="s">
        <v>325</v>
      </c>
      <c r="AF15" s="117" t="s">
        <v>306</v>
      </c>
      <c r="AG15" s="29" t="s">
        <v>314</v>
      </c>
      <c r="AH15" s="29"/>
      <c r="AI15" s="29" t="s">
        <v>315</v>
      </c>
      <c r="AJ15" s="118"/>
      <c r="AK15" t="s">
        <v>325</v>
      </c>
    </row>
    <row r="16" spans="1:37" ht="14.7" thickBot="1" x14ac:dyDescent="0.6">
      <c r="A16" s="117">
        <v>1</v>
      </c>
      <c r="B16" s="118">
        <v>0.14699999999999999</v>
      </c>
      <c r="C16" s="119"/>
      <c r="D16" s="118">
        <v>0.11499999999999999</v>
      </c>
      <c r="E16" s="119">
        <v>0</v>
      </c>
      <c r="F16">
        <v>204500</v>
      </c>
      <c r="G16">
        <f>B16+D16/2</f>
        <v>0.20449999999999999</v>
      </c>
      <c r="Z16" s="117">
        <v>1</v>
      </c>
      <c r="AA16" s="118">
        <f>B16*0.000001</f>
        <v>1.4699999999999998E-7</v>
      </c>
      <c r="AB16" s="119"/>
      <c r="AC16" s="118">
        <f>D16*0.000001</f>
        <v>1.1499999999999998E-7</v>
      </c>
      <c r="AD16" s="118">
        <f>E16*0.000001</f>
        <v>0</v>
      </c>
      <c r="AE16">
        <v>204500</v>
      </c>
      <c r="AF16" s="117">
        <v>1</v>
      </c>
      <c r="AG16" s="118">
        <v>0.14699999999999999</v>
      </c>
      <c r="AH16" s="119"/>
      <c r="AI16" s="118">
        <v>0.11499999999999999</v>
      </c>
      <c r="AJ16" s="118">
        <v>0</v>
      </c>
      <c r="AK16">
        <v>204500</v>
      </c>
    </row>
    <row r="17" spans="1:37" ht="14.7" thickBot="1" x14ac:dyDescent="0.6">
      <c r="A17" s="117">
        <v>2</v>
      </c>
      <c r="B17" s="118">
        <v>0.151</v>
      </c>
      <c r="C17" s="119">
        <v>4.6770000000000005</v>
      </c>
      <c r="D17" s="118">
        <v>0.11599999999999999</v>
      </c>
      <c r="E17" s="119">
        <v>3.5949999999999998</v>
      </c>
      <c r="F17">
        <v>209000</v>
      </c>
      <c r="G17">
        <f t="shared" ref="G17:G27" si="0">B17+D17/2</f>
        <v>0.20899999999999999</v>
      </c>
      <c r="Z17" s="117">
        <v>2</v>
      </c>
      <c r="AA17" s="118">
        <f t="shared" ref="AA17:AA27" si="1">B17*0.000001</f>
        <v>1.5099999999999999E-7</v>
      </c>
      <c r="AB17" s="119">
        <f t="shared" ref="AB17:AB27" si="2">AA16+AA17*30</f>
        <v>4.6769999999999994E-6</v>
      </c>
      <c r="AC17" s="118">
        <f t="shared" ref="AC17:AC27" si="3">D17*0.000001</f>
        <v>1.1599999999999999E-7</v>
      </c>
      <c r="AD17" s="118">
        <f t="shared" ref="AD17:AD27" si="4">E17*0.000001</f>
        <v>3.5949999999999995E-6</v>
      </c>
      <c r="AE17">
        <v>209000</v>
      </c>
      <c r="AF17" s="117">
        <v>2</v>
      </c>
      <c r="AG17" s="118">
        <v>0.151</v>
      </c>
      <c r="AH17" s="119">
        <v>4.6770000000000005</v>
      </c>
      <c r="AI17" s="118">
        <v>0.11599999999999999</v>
      </c>
      <c r="AJ17" s="118">
        <v>3.5949999999999998</v>
      </c>
      <c r="AK17">
        <v>209000</v>
      </c>
    </row>
    <row r="18" spans="1:37" ht="14.7" thickBot="1" x14ac:dyDescent="0.6">
      <c r="A18" s="117">
        <v>3</v>
      </c>
      <c r="B18" s="118">
        <v>9.5</v>
      </c>
      <c r="C18" s="119">
        <v>285.15100000000001</v>
      </c>
      <c r="D18" s="118">
        <v>5.3999999999999995</v>
      </c>
      <c r="E18" s="119">
        <v>162.11599999999999</v>
      </c>
      <c r="F18">
        <v>12200000</v>
      </c>
      <c r="G18">
        <f t="shared" si="0"/>
        <v>12.2</v>
      </c>
      <c r="Z18" s="117">
        <v>3</v>
      </c>
      <c r="AA18" s="118">
        <f t="shared" si="1"/>
        <v>9.4999999999999988E-6</v>
      </c>
      <c r="AB18" s="119">
        <f t="shared" si="2"/>
        <v>2.8515099999999998E-4</v>
      </c>
      <c r="AC18" s="118">
        <f t="shared" si="3"/>
        <v>5.3999999999999991E-6</v>
      </c>
      <c r="AD18" s="118">
        <f t="shared" si="4"/>
        <v>1.6211599999999999E-4</v>
      </c>
      <c r="AE18">
        <v>12200000</v>
      </c>
      <c r="AF18" s="117">
        <v>3</v>
      </c>
      <c r="AG18" s="118">
        <v>9.5</v>
      </c>
      <c r="AH18" s="119">
        <v>285.15100000000001</v>
      </c>
      <c r="AI18" s="118">
        <v>5.3999999999999995</v>
      </c>
      <c r="AJ18" s="118">
        <v>162.11599999999999</v>
      </c>
      <c r="AK18">
        <v>12200000</v>
      </c>
    </row>
    <row r="19" spans="1:37" ht="14.7" thickBot="1" x14ac:dyDescent="0.6">
      <c r="A19" s="117">
        <v>4</v>
      </c>
      <c r="B19" s="118">
        <v>20.3</v>
      </c>
      <c r="C19" s="119">
        <v>618.5</v>
      </c>
      <c r="D19" s="118">
        <v>22.599999999999998</v>
      </c>
      <c r="E19" s="119">
        <v>683.4</v>
      </c>
      <c r="F19" s="2">
        <v>31600000</v>
      </c>
      <c r="G19">
        <f t="shared" si="0"/>
        <v>31.6</v>
      </c>
      <c r="Z19" s="117">
        <v>4</v>
      </c>
      <c r="AA19" s="118">
        <f t="shared" si="1"/>
        <v>2.0299999999999999E-5</v>
      </c>
      <c r="AB19" s="119">
        <f t="shared" si="2"/>
        <v>6.1849999999999991E-4</v>
      </c>
      <c r="AC19" s="118">
        <f t="shared" si="3"/>
        <v>2.2599999999999997E-5</v>
      </c>
      <c r="AD19" s="118">
        <f t="shared" si="4"/>
        <v>6.8339999999999991E-4</v>
      </c>
      <c r="AE19">
        <v>31600000</v>
      </c>
      <c r="AF19" s="117">
        <v>4</v>
      </c>
      <c r="AG19" s="118">
        <v>20.3</v>
      </c>
      <c r="AH19" s="119">
        <v>618.5</v>
      </c>
      <c r="AI19" s="118">
        <v>22.599999999999998</v>
      </c>
      <c r="AJ19" s="118">
        <v>683.4</v>
      </c>
      <c r="AK19">
        <v>31600000</v>
      </c>
    </row>
    <row r="20" spans="1:37" ht="14.7" thickBot="1" x14ac:dyDescent="0.6">
      <c r="A20" s="117">
        <v>5</v>
      </c>
      <c r="B20" s="118">
        <v>6.1999999999999993</v>
      </c>
      <c r="C20" s="119">
        <v>206.29999999999998</v>
      </c>
      <c r="D20" s="118">
        <v>10</v>
      </c>
      <c r="E20" s="119">
        <v>322.59999999999997</v>
      </c>
      <c r="F20" s="4">
        <v>11200000</v>
      </c>
      <c r="G20">
        <f t="shared" si="0"/>
        <v>11.2</v>
      </c>
      <c r="Z20" s="117">
        <v>5</v>
      </c>
      <c r="AA20" s="118">
        <f t="shared" si="1"/>
        <v>6.1999999999999991E-6</v>
      </c>
      <c r="AB20" s="119">
        <f t="shared" si="2"/>
        <v>2.0629999999999997E-4</v>
      </c>
      <c r="AC20" s="118">
        <f t="shared" si="3"/>
        <v>9.9999999999999991E-6</v>
      </c>
      <c r="AD20" s="118">
        <f t="shared" si="4"/>
        <v>3.2259999999999993E-4</v>
      </c>
      <c r="AE20">
        <v>11200000</v>
      </c>
      <c r="AF20" s="117">
        <v>5</v>
      </c>
      <c r="AG20" s="118">
        <v>6.1999999999999993</v>
      </c>
      <c r="AH20" s="119">
        <v>206.29999999999998</v>
      </c>
      <c r="AI20" s="118">
        <v>10</v>
      </c>
      <c r="AJ20" s="118">
        <v>322.59999999999997</v>
      </c>
      <c r="AK20">
        <v>11200000</v>
      </c>
    </row>
    <row r="21" spans="1:37" ht="14.7" thickBot="1" x14ac:dyDescent="0.6">
      <c r="A21" s="117">
        <v>6</v>
      </c>
      <c r="B21" s="118">
        <v>9.6</v>
      </c>
      <c r="C21" s="119">
        <v>294.2</v>
      </c>
      <c r="D21" s="118">
        <v>7.6</v>
      </c>
      <c r="E21" s="119">
        <v>238</v>
      </c>
      <c r="F21" s="4">
        <v>13400000</v>
      </c>
      <c r="G21">
        <f t="shared" si="0"/>
        <v>13.399999999999999</v>
      </c>
      <c r="Z21" s="117">
        <v>6</v>
      </c>
      <c r="AA21" s="118">
        <f t="shared" si="1"/>
        <v>9.5999999999999996E-6</v>
      </c>
      <c r="AB21" s="119">
        <f t="shared" si="2"/>
        <v>2.942E-4</v>
      </c>
      <c r="AC21" s="118">
        <f t="shared" si="3"/>
        <v>7.5999999999999992E-6</v>
      </c>
      <c r="AD21" s="118">
        <f t="shared" si="4"/>
        <v>2.3799999999999998E-4</v>
      </c>
      <c r="AE21">
        <v>13400000</v>
      </c>
      <c r="AF21" s="117">
        <v>6</v>
      </c>
      <c r="AG21" s="118">
        <v>9.6</v>
      </c>
      <c r="AH21" s="119">
        <v>294.2</v>
      </c>
      <c r="AI21" s="118">
        <v>7.6</v>
      </c>
      <c r="AJ21" s="118">
        <v>238</v>
      </c>
      <c r="AK21">
        <v>13400000</v>
      </c>
    </row>
    <row r="22" spans="1:37" ht="14.7" thickBot="1" x14ac:dyDescent="0.6">
      <c r="A22" s="117">
        <v>7</v>
      </c>
      <c r="B22" s="118">
        <v>24.4</v>
      </c>
      <c r="C22" s="119">
        <v>741.6</v>
      </c>
      <c r="D22" s="118">
        <v>25</v>
      </c>
      <c r="E22" s="119">
        <v>757.59999999999991</v>
      </c>
      <c r="F22" s="4">
        <v>36900000</v>
      </c>
      <c r="G22">
        <f t="shared" si="0"/>
        <v>36.9</v>
      </c>
      <c r="Z22" s="117">
        <v>7</v>
      </c>
      <c r="AA22" s="118">
        <f t="shared" si="1"/>
        <v>2.4399999999999997E-5</v>
      </c>
      <c r="AB22" s="119">
        <f t="shared" si="2"/>
        <v>7.4159999999999992E-4</v>
      </c>
      <c r="AC22" s="118">
        <f t="shared" si="3"/>
        <v>2.4999999999999998E-5</v>
      </c>
      <c r="AD22" s="118">
        <f t="shared" si="4"/>
        <v>7.5759999999999988E-4</v>
      </c>
      <c r="AE22">
        <v>36900000</v>
      </c>
      <c r="AF22" s="117">
        <v>7</v>
      </c>
      <c r="AG22" s="118">
        <v>24.4</v>
      </c>
      <c r="AH22" s="119">
        <v>741.6</v>
      </c>
      <c r="AI22" s="118">
        <v>25</v>
      </c>
      <c r="AJ22" s="118">
        <v>757.59999999999991</v>
      </c>
      <c r="AK22">
        <v>36900000</v>
      </c>
    </row>
    <row r="23" spans="1:37" ht="14.7" thickBot="1" x14ac:dyDescent="0.6">
      <c r="A23" s="117">
        <v>8</v>
      </c>
      <c r="B23" s="118">
        <v>10.299999999999999</v>
      </c>
      <c r="C23" s="119">
        <v>333.39999999999992</v>
      </c>
      <c r="D23" s="118">
        <v>12.399999999999999</v>
      </c>
      <c r="E23" s="119">
        <v>397</v>
      </c>
      <c r="F23" s="4">
        <v>16500000</v>
      </c>
      <c r="G23">
        <f t="shared" si="0"/>
        <v>16.5</v>
      </c>
      <c r="Z23" s="117">
        <v>8</v>
      </c>
      <c r="AA23" s="118">
        <f t="shared" si="1"/>
        <v>1.0299999999999998E-5</v>
      </c>
      <c r="AB23" s="119">
        <f t="shared" si="2"/>
        <v>3.3339999999999992E-4</v>
      </c>
      <c r="AC23" s="118">
        <f t="shared" si="3"/>
        <v>1.2399999999999998E-5</v>
      </c>
      <c r="AD23" s="118">
        <f t="shared" si="4"/>
        <v>3.97E-4</v>
      </c>
      <c r="AE23">
        <v>16500000</v>
      </c>
      <c r="AF23" s="117">
        <v>8</v>
      </c>
      <c r="AG23" s="118">
        <v>10.299999999999999</v>
      </c>
      <c r="AH23" s="119">
        <v>333.39999999999992</v>
      </c>
      <c r="AI23" s="118">
        <v>12.399999999999999</v>
      </c>
      <c r="AJ23" s="118">
        <v>397</v>
      </c>
      <c r="AK23">
        <v>16500000</v>
      </c>
    </row>
    <row r="24" spans="1:37" ht="14.7" thickBot="1" x14ac:dyDescent="0.6">
      <c r="A24" s="117">
        <v>9</v>
      </c>
      <c r="B24" s="118">
        <v>0.19499999999999998</v>
      </c>
      <c r="C24" s="119">
        <v>16.149999999999999</v>
      </c>
      <c r="D24" s="118">
        <v>0.152</v>
      </c>
      <c r="E24" s="119">
        <v>16.96</v>
      </c>
      <c r="F24" s="4">
        <v>271000</v>
      </c>
      <c r="G24">
        <f t="shared" si="0"/>
        <v>0.27099999999999996</v>
      </c>
      <c r="Z24" s="117">
        <v>9</v>
      </c>
      <c r="AA24" s="118">
        <f t="shared" si="1"/>
        <v>1.9499999999999996E-7</v>
      </c>
      <c r="AB24" s="119">
        <f t="shared" si="2"/>
        <v>1.6149999999999996E-5</v>
      </c>
      <c r="AC24" s="118">
        <f t="shared" si="3"/>
        <v>1.5199999999999998E-7</v>
      </c>
      <c r="AD24" s="118">
        <f t="shared" si="4"/>
        <v>1.696E-5</v>
      </c>
      <c r="AE24">
        <v>271000</v>
      </c>
      <c r="AF24" s="117">
        <v>9</v>
      </c>
      <c r="AG24" s="118">
        <v>0.19499999999999998</v>
      </c>
      <c r="AH24" s="119">
        <v>16.149999999999999</v>
      </c>
      <c r="AI24" s="118">
        <v>0.152</v>
      </c>
      <c r="AJ24" s="118">
        <v>16.96</v>
      </c>
      <c r="AK24">
        <v>271000</v>
      </c>
    </row>
    <row r="25" spans="1:37" ht="14.7" thickBot="1" x14ac:dyDescent="0.6">
      <c r="A25" s="117">
        <v>10</v>
      </c>
      <c r="B25" s="118">
        <v>0.151</v>
      </c>
      <c r="C25" s="119">
        <v>4.7250000000000005</v>
      </c>
      <c r="D25" s="118">
        <v>0.11799999999999999</v>
      </c>
      <c r="E25" s="119">
        <v>3.6919999999999997</v>
      </c>
      <c r="F25" s="4">
        <v>210000</v>
      </c>
      <c r="G25">
        <f t="shared" si="0"/>
        <v>0.21</v>
      </c>
      <c r="Z25" s="117">
        <v>10</v>
      </c>
      <c r="AA25" s="118">
        <f t="shared" si="1"/>
        <v>1.5099999999999999E-7</v>
      </c>
      <c r="AB25" s="119">
        <f t="shared" si="2"/>
        <v>4.7249999999999997E-6</v>
      </c>
      <c r="AC25" s="118">
        <f t="shared" si="3"/>
        <v>1.1799999999999998E-7</v>
      </c>
      <c r="AD25" s="118">
        <f t="shared" si="4"/>
        <v>3.6919999999999995E-6</v>
      </c>
      <c r="AE25">
        <v>210000</v>
      </c>
      <c r="AF25" s="117">
        <v>10</v>
      </c>
      <c r="AG25" s="118">
        <v>0.151</v>
      </c>
      <c r="AH25" s="119">
        <v>4.7250000000000005</v>
      </c>
      <c r="AI25" s="118">
        <v>0.11799999999999999</v>
      </c>
      <c r="AJ25" s="118">
        <v>3.6919999999999997</v>
      </c>
      <c r="AK25">
        <v>210000</v>
      </c>
    </row>
    <row r="26" spans="1:37" ht="14.7" thickBot="1" x14ac:dyDescent="0.6">
      <c r="A26" s="117">
        <v>11</v>
      </c>
      <c r="B26" s="118">
        <v>0.184625966666666</v>
      </c>
      <c r="C26" s="119">
        <v>5.6897789999999802</v>
      </c>
      <c r="D26" s="118">
        <v>0.14365188333333301</v>
      </c>
      <c r="E26" s="119">
        <v>4.4275564999999908</v>
      </c>
      <c r="F26" s="4">
        <v>256451.90833333251</v>
      </c>
      <c r="G26">
        <f t="shared" si="0"/>
        <v>0.25645190833333253</v>
      </c>
      <c r="Z26" s="117">
        <v>11</v>
      </c>
      <c r="AA26" s="118">
        <f t="shared" si="1"/>
        <v>1.84625966666666E-7</v>
      </c>
      <c r="AB26" s="119">
        <f t="shared" si="2"/>
        <v>5.6897789999999799E-6</v>
      </c>
      <c r="AC26" s="118">
        <f t="shared" si="3"/>
        <v>1.43651883333333E-7</v>
      </c>
      <c r="AD26" s="118">
        <f t="shared" si="4"/>
        <v>4.4275564999999906E-6</v>
      </c>
      <c r="AE26">
        <v>256451.90833333251</v>
      </c>
      <c r="AF26" s="117">
        <v>11</v>
      </c>
      <c r="AG26" s="118">
        <v>0.184625966666666</v>
      </c>
      <c r="AH26" s="119">
        <v>5.6897789999999802</v>
      </c>
      <c r="AI26" s="118">
        <v>0.14365188333333301</v>
      </c>
      <c r="AJ26" s="118">
        <v>4.4275564999999908</v>
      </c>
      <c r="AK26">
        <v>256451.90833333251</v>
      </c>
    </row>
    <row r="27" spans="1:37" ht="14.7" thickBot="1" x14ac:dyDescent="0.6">
      <c r="A27" s="117">
        <v>12</v>
      </c>
      <c r="B27" s="118">
        <v>0.15221741666666599</v>
      </c>
      <c r="C27" s="119">
        <v>4.7511484666666464</v>
      </c>
      <c r="D27" s="118">
        <v>0.11528244999999999</v>
      </c>
      <c r="E27" s="119">
        <v>3.6021253833333327</v>
      </c>
      <c r="F27" s="4">
        <v>209858.64166666599</v>
      </c>
      <c r="G27">
        <f t="shared" si="0"/>
        <v>0.20985864166666598</v>
      </c>
      <c r="Z27" s="117">
        <v>12</v>
      </c>
      <c r="AA27" s="118">
        <f t="shared" si="1"/>
        <v>1.5221741666666598E-7</v>
      </c>
      <c r="AB27" s="119">
        <f t="shared" si="2"/>
        <v>4.7511484666666458E-6</v>
      </c>
      <c r="AC27" s="118">
        <f t="shared" si="3"/>
        <v>1.1528244999999999E-7</v>
      </c>
      <c r="AD27" s="118">
        <f t="shared" si="4"/>
        <v>3.6021253833333325E-6</v>
      </c>
      <c r="AE27">
        <v>209858.64166666599</v>
      </c>
      <c r="AF27" s="117">
        <v>12</v>
      </c>
      <c r="AG27" s="118">
        <v>0.15221741666666599</v>
      </c>
      <c r="AH27" s="119">
        <v>4.7511484666666464</v>
      </c>
      <c r="AI27" s="118">
        <v>0.11528244999999999</v>
      </c>
      <c r="AJ27" s="118">
        <v>3.6021253833333327</v>
      </c>
      <c r="AK27">
        <v>209858.64166666599</v>
      </c>
    </row>
    <row r="28" spans="1:37" ht="14.7" thickBot="1" x14ac:dyDescent="0.6">
      <c r="A28" s="2">
        <v>13</v>
      </c>
      <c r="B28" s="82" t="s">
        <v>308</v>
      </c>
      <c r="C28" s="84">
        <v>2515.1439274666664</v>
      </c>
      <c r="D28" s="82"/>
      <c r="E28" s="84">
        <v>2592.9926818833328</v>
      </c>
      <c r="F28" s="4"/>
      <c r="Z28" s="2">
        <v>13</v>
      </c>
      <c r="AA28" s="82" t="s">
        <v>308</v>
      </c>
      <c r="AB28" s="84">
        <f>SUM(AB17:AB27)</f>
        <v>2.5151439274666665E-3</v>
      </c>
      <c r="AC28" s="82"/>
      <c r="AD28" s="84">
        <f>SUM(AD17:AD27)</f>
        <v>2.5929926818833329E-3</v>
      </c>
      <c r="AF28" s="2">
        <v>13</v>
      </c>
      <c r="AG28" s="82" t="s">
        <v>308</v>
      </c>
      <c r="AH28" s="84">
        <v>2515.1439274666664</v>
      </c>
      <c r="AI28" s="82"/>
      <c r="AJ28" s="84">
        <v>2592.9926818833328</v>
      </c>
    </row>
    <row r="29" spans="1:37" ht="14.7" thickBot="1" x14ac:dyDescent="0.6">
      <c r="A29" s="2">
        <v>14</v>
      </c>
      <c r="B29" s="82" t="s">
        <v>309</v>
      </c>
      <c r="C29" s="3">
        <v>2515.1439274666664</v>
      </c>
      <c r="D29" s="82"/>
      <c r="E29" s="3">
        <v>2592.9926818833328</v>
      </c>
      <c r="F29" s="4"/>
      <c r="Z29" s="2">
        <v>14</v>
      </c>
      <c r="AA29" s="82" t="s">
        <v>309</v>
      </c>
      <c r="AB29" s="84">
        <f>AB28</f>
        <v>2.5151439274666665E-3</v>
      </c>
      <c r="AC29" s="82"/>
      <c r="AD29" s="84">
        <f>AD28</f>
        <v>2.5929926818833329E-3</v>
      </c>
      <c r="AF29" s="2">
        <v>14</v>
      </c>
      <c r="AG29" s="82" t="s">
        <v>309</v>
      </c>
      <c r="AH29" s="84">
        <v>2515.1439274666664</v>
      </c>
      <c r="AI29" s="82"/>
      <c r="AJ29" s="84">
        <v>2592.9926818833328</v>
      </c>
    </row>
    <row r="30" spans="1:37" ht="14.7" thickBot="1" x14ac:dyDescent="0.6">
      <c r="A30" s="2">
        <v>15</v>
      </c>
      <c r="B30" t="s">
        <v>310</v>
      </c>
      <c r="C30">
        <v>5108.1366093499992</v>
      </c>
      <c r="F30" s="4"/>
      <c r="Z30" s="2">
        <v>15</v>
      </c>
      <c r="AA30" t="s">
        <v>310</v>
      </c>
      <c r="AB30">
        <f>AB29+AD29</f>
        <v>5.1081366093499994E-3</v>
      </c>
      <c r="AF30" s="2">
        <v>15</v>
      </c>
      <c r="AG30" t="s">
        <v>310</v>
      </c>
      <c r="AH30">
        <v>5108.1366093499992</v>
      </c>
    </row>
    <row r="31" spans="1:37" ht="14.7" thickBot="1" x14ac:dyDescent="0.6">
      <c r="A31" s="2">
        <v>16</v>
      </c>
      <c r="B31" s="116" t="s">
        <v>311</v>
      </c>
      <c r="C31">
        <v>2554.0683046749996</v>
      </c>
      <c r="F31" s="4"/>
      <c r="Z31" s="2">
        <v>16</v>
      </c>
      <c r="AA31" s="116" t="s">
        <v>311</v>
      </c>
      <c r="AB31">
        <f>(AB30+AD30)/2</f>
        <v>2.5540683046749997E-3</v>
      </c>
      <c r="AF31" s="2">
        <v>16</v>
      </c>
      <c r="AG31" s="116" t="s">
        <v>311</v>
      </c>
      <c r="AH31">
        <v>2554.0683046749996</v>
      </c>
    </row>
    <row r="32" spans="1:37" ht="14.7" thickBot="1" x14ac:dyDescent="0.6">
      <c r="A32" s="2"/>
      <c r="F32" s="4"/>
      <c r="Z32" s="2"/>
      <c r="AF32" s="2"/>
    </row>
    <row r="33" spans="1:36" ht="14.7" thickBot="1" x14ac:dyDescent="0.6">
      <c r="A33" s="2"/>
      <c r="F33" s="4"/>
      <c r="L33" t="s">
        <v>316</v>
      </c>
      <c r="Z33" s="2"/>
      <c r="AF33" s="2"/>
    </row>
    <row r="34" spans="1:36" ht="14.7" thickBot="1" x14ac:dyDescent="0.6">
      <c r="A34" s="2"/>
      <c r="F34" s="4"/>
      <c r="Z34" s="2"/>
      <c r="AF34" s="2"/>
    </row>
    <row r="35" spans="1:36" ht="14.7" thickBot="1" x14ac:dyDescent="0.6">
      <c r="A35" s="2"/>
      <c r="F35" s="4"/>
      <c r="Z35" s="2"/>
      <c r="AF35" s="2"/>
    </row>
    <row r="36" spans="1:36" ht="14.7" thickBot="1" x14ac:dyDescent="0.6">
      <c r="A36" s="2"/>
      <c r="F36" s="4"/>
      <c r="Z36" s="2"/>
      <c r="AF36" s="2"/>
    </row>
    <row r="37" spans="1:36" ht="14.7" thickBot="1" x14ac:dyDescent="0.6">
      <c r="A37" s="2"/>
      <c r="F37" s="4"/>
      <c r="Z37" s="2"/>
      <c r="AF37" s="2"/>
    </row>
    <row r="38" spans="1:36" ht="14.7" thickBot="1" x14ac:dyDescent="0.6">
      <c r="A38" s="2"/>
      <c r="F38" s="4"/>
      <c r="Z38" s="2"/>
      <c r="AF38" s="2"/>
    </row>
    <row r="39" spans="1:36" ht="14.7" thickBot="1" x14ac:dyDescent="0.6">
      <c r="A39" s="2"/>
      <c r="F39" s="4"/>
      <c r="Z39" s="2"/>
      <c r="AF39" s="2"/>
    </row>
    <row r="40" spans="1:36" ht="14.7" thickBot="1" x14ac:dyDescent="0.6">
      <c r="A40" s="2" t="s">
        <v>71</v>
      </c>
      <c r="B40" t="s">
        <v>314</v>
      </c>
      <c r="D40" t="s">
        <v>315</v>
      </c>
      <c r="F40" s="2"/>
      <c r="Z40" s="2" t="s">
        <v>71</v>
      </c>
      <c r="AA40" t="s">
        <v>314</v>
      </c>
      <c r="AC40" t="s">
        <v>315</v>
      </c>
      <c r="AF40" s="2" t="s">
        <v>71</v>
      </c>
      <c r="AG40" t="s">
        <v>314</v>
      </c>
      <c r="AI40" t="s">
        <v>315</v>
      </c>
    </row>
    <row r="41" spans="1:36" ht="14.7" thickBot="1" x14ac:dyDescent="0.6">
      <c r="A41" s="2">
        <v>1</v>
      </c>
      <c r="B41">
        <v>0.15</v>
      </c>
      <c r="D41">
        <v>0.122</v>
      </c>
      <c r="F41" s="3"/>
      <c r="Z41" s="2">
        <v>1</v>
      </c>
      <c r="AA41" s="118">
        <f>B41*0.000001</f>
        <v>1.4999999999999999E-7</v>
      </c>
      <c r="AC41" s="118">
        <f>D41*0.000001</f>
        <v>1.2199999999999998E-7</v>
      </c>
      <c r="AF41" s="2">
        <v>1</v>
      </c>
      <c r="AG41" s="118">
        <v>0.15</v>
      </c>
      <c r="AI41" s="118">
        <v>0.122</v>
      </c>
    </row>
    <row r="42" spans="1:36" ht="14.7" thickBot="1" x14ac:dyDescent="0.6">
      <c r="A42" s="2">
        <v>2</v>
      </c>
      <c r="B42">
        <v>0.16</v>
      </c>
      <c r="C42" s="84">
        <v>4.95</v>
      </c>
      <c r="D42">
        <v>0.13300000000000001</v>
      </c>
      <c r="E42" s="84">
        <v>4.1120000000000001</v>
      </c>
      <c r="F42" s="4"/>
      <c r="Z42" s="2">
        <v>2</v>
      </c>
      <c r="AA42" s="118">
        <f t="shared" ref="AA42:AA52" si="5">B42*0.000001</f>
        <v>1.6E-7</v>
      </c>
      <c r="AB42">
        <f t="shared" ref="AB42:AD52" si="6">AA41+AA42*30</f>
        <v>4.95E-6</v>
      </c>
      <c r="AC42" s="118">
        <f t="shared" ref="AC42:AC52" si="7">D42*0.000001</f>
        <v>1.3300000000000001E-7</v>
      </c>
      <c r="AD42">
        <f t="shared" si="6"/>
        <v>4.1120000000000006E-6</v>
      </c>
      <c r="AF42" s="2">
        <v>2</v>
      </c>
      <c r="AG42" s="118">
        <v>0.16</v>
      </c>
      <c r="AH42">
        <v>4.95</v>
      </c>
      <c r="AI42" s="118">
        <v>0.13300000000000001</v>
      </c>
      <c r="AJ42">
        <v>4.1120000000000001</v>
      </c>
    </row>
    <row r="43" spans="1:36" ht="14.7" thickBot="1" x14ac:dyDescent="0.6">
      <c r="A43" s="2">
        <v>3</v>
      </c>
      <c r="B43">
        <v>4.2</v>
      </c>
      <c r="C43" s="84">
        <v>126.16</v>
      </c>
      <c r="D43">
        <v>4.8999999999999995</v>
      </c>
      <c r="E43" s="84">
        <v>147.13299999999998</v>
      </c>
      <c r="F43" s="4"/>
      <c r="J43" s="2" t="s">
        <v>307</v>
      </c>
      <c r="Z43" s="2">
        <v>3</v>
      </c>
      <c r="AA43" s="118">
        <f t="shared" si="5"/>
        <v>4.1999999999999996E-6</v>
      </c>
      <c r="AB43">
        <f t="shared" si="6"/>
        <v>1.2616E-4</v>
      </c>
      <c r="AC43" s="118">
        <f t="shared" si="7"/>
        <v>4.8999999999999988E-6</v>
      </c>
      <c r="AD43">
        <f t="shared" si="6"/>
        <v>1.4713299999999998E-4</v>
      </c>
      <c r="AF43" s="2">
        <v>3</v>
      </c>
      <c r="AG43" s="118">
        <v>4.2</v>
      </c>
      <c r="AH43">
        <v>126.16</v>
      </c>
      <c r="AI43" s="118">
        <v>4.8999999999999995</v>
      </c>
      <c r="AJ43">
        <v>147.13299999999998</v>
      </c>
    </row>
    <row r="44" spans="1:36" ht="14.7" thickBot="1" x14ac:dyDescent="0.6">
      <c r="A44" s="2">
        <v>4</v>
      </c>
      <c r="B44">
        <v>1.0999999999999999</v>
      </c>
      <c r="C44" s="84">
        <v>37.199999999999996</v>
      </c>
      <c r="D44">
        <v>1.4</v>
      </c>
      <c r="E44" s="84">
        <v>46.9</v>
      </c>
      <c r="F44" s="4"/>
      <c r="J44" s="3">
        <v>9.9999999999999995E-7</v>
      </c>
      <c r="Z44" s="2">
        <v>4</v>
      </c>
      <c r="AA44" s="118">
        <f t="shared" si="5"/>
        <v>1.0999999999999998E-6</v>
      </c>
      <c r="AB44">
        <f t="shared" si="6"/>
        <v>3.7199999999999996E-5</v>
      </c>
      <c r="AC44" s="118">
        <f t="shared" si="7"/>
        <v>1.3999999999999999E-6</v>
      </c>
      <c r="AD44">
        <f t="shared" si="6"/>
        <v>4.6899999999999995E-5</v>
      </c>
      <c r="AF44" s="2">
        <v>4</v>
      </c>
      <c r="AG44" s="118">
        <v>1.0999999999999999</v>
      </c>
      <c r="AH44">
        <v>37.199999999999996</v>
      </c>
      <c r="AI44" s="118">
        <v>1.4</v>
      </c>
      <c r="AJ44">
        <v>46.9</v>
      </c>
    </row>
    <row r="45" spans="1:36" ht="14.7" thickBot="1" x14ac:dyDescent="0.6">
      <c r="A45" s="2">
        <v>5</v>
      </c>
      <c r="B45">
        <v>3.5</v>
      </c>
      <c r="C45" s="84">
        <v>106.1</v>
      </c>
      <c r="D45">
        <v>3.8</v>
      </c>
      <c r="E45" s="84">
        <v>115.4</v>
      </c>
      <c r="Z45" s="2">
        <v>5</v>
      </c>
      <c r="AA45" s="118">
        <f t="shared" si="5"/>
        <v>3.4999999999999999E-6</v>
      </c>
      <c r="AB45">
        <f t="shared" si="6"/>
        <v>1.061E-4</v>
      </c>
      <c r="AC45" s="118">
        <f t="shared" si="7"/>
        <v>3.7999999999999996E-6</v>
      </c>
      <c r="AD45">
        <f t="shared" si="6"/>
        <v>1.1539999999999999E-4</v>
      </c>
      <c r="AF45" s="2">
        <v>5</v>
      </c>
      <c r="AG45" s="118">
        <v>3.5</v>
      </c>
      <c r="AH45">
        <v>106.1</v>
      </c>
      <c r="AI45" s="118">
        <v>3.8</v>
      </c>
      <c r="AJ45">
        <v>115.4</v>
      </c>
    </row>
    <row r="46" spans="1:36" ht="14.7" thickBot="1" x14ac:dyDescent="0.6">
      <c r="A46" s="2">
        <v>6</v>
      </c>
      <c r="B46">
        <v>3.4</v>
      </c>
      <c r="C46" s="84">
        <v>105.5</v>
      </c>
      <c r="D46">
        <v>3.3</v>
      </c>
      <c r="E46" s="84">
        <v>102.8</v>
      </c>
      <c r="Z46" s="2">
        <v>6</v>
      </c>
      <c r="AA46" s="118">
        <f t="shared" si="5"/>
        <v>3.3999999999999996E-6</v>
      </c>
      <c r="AB46">
        <f t="shared" si="6"/>
        <v>1.0549999999999999E-4</v>
      </c>
      <c r="AC46" s="118">
        <f t="shared" si="7"/>
        <v>3.2999999999999997E-6</v>
      </c>
      <c r="AD46">
        <f t="shared" si="6"/>
        <v>1.0279999999999999E-4</v>
      </c>
      <c r="AF46" s="2">
        <v>6</v>
      </c>
      <c r="AG46" s="118">
        <v>3.4</v>
      </c>
      <c r="AH46">
        <v>105.5</v>
      </c>
      <c r="AI46" s="118">
        <v>3.3</v>
      </c>
      <c r="AJ46">
        <v>102.8</v>
      </c>
    </row>
    <row r="47" spans="1:36" ht="14.7" thickBot="1" x14ac:dyDescent="0.6">
      <c r="A47" s="2">
        <v>7</v>
      </c>
      <c r="B47">
        <v>1.5</v>
      </c>
      <c r="C47" s="84">
        <v>48.4</v>
      </c>
      <c r="D47">
        <v>1.5</v>
      </c>
      <c r="E47" s="84">
        <v>48.3</v>
      </c>
      <c r="Z47" s="2">
        <v>7</v>
      </c>
      <c r="AA47" s="118">
        <f t="shared" si="5"/>
        <v>1.5E-6</v>
      </c>
      <c r="AB47">
        <f t="shared" si="6"/>
        <v>4.8400000000000004E-5</v>
      </c>
      <c r="AC47" s="118">
        <f t="shared" si="7"/>
        <v>1.5E-6</v>
      </c>
      <c r="AD47">
        <f t="shared" si="6"/>
        <v>4.8300000000000002E-5</v>
      </c>
      <c r="AF47" s="2">
        <v>7</v>
      </c>
      <c r="AG47" s="118">
        <v>1.5</v>
      </c>
      <c r="AH47">
        <v>48.4</v>
      </c>
      <c r="AI47" s="118">
        <v>1.5</v>
      </c>
      <c r="AJ47">
        <v>48.3</v>
      </c>
    </row>
    <row r="48" spans="1:36" ht="14.7" thickBot="1" x14ac:dyDescent="0.6">
      <c r="A48" s="2">
        <v>8</v>
      </c>
      <c r="B48">
        <v>0.97799999999999998</v>
      </c>
      <c r="C48" s="84">
        <v>30.84</v>
      </c>
      <c r="D48">
        <v>1.0999999999999999</v>
      </c>
      <c r="E48" s="84">
        <v>34.499999999999993</v>
      </c>
      <c r="Z48" s="2">
        <v>8</v>
      </c>
      <c r="AA48" s="118">
        <f t="shared" si="5"/>
        <v>9.78E-7</v>
      </c>
      <c r="AB48">
        <f t="shared" si="6"/>
        <v>3.0840000000000003E-5</v>
      </c>
      <c r="AC48" s="118">
        <f t="shared" si="7"/>
        <v>1.0999999999999998E-6</v>
      </c>
      <c r="AD48">
        <f t="shared" si="6"/>
        <v>3.4499999999999998E-5</v>
      </c>
      <c r="AF48" s="2">
        <v>8</v>
      </c>
      <c r="AG48" s="118">
        <v>0.97799999999999998</v>
      </c>
      <c r="AH48">
        <v>30.84</v>
      </c>
      <c r="AI48" s="118">
        <v>1.0999999999999999</v>
      </c>
      <c r="AJ48">
        <v>34.499999999999993</v>
      </c>
    </row>
    <row r="49" spans="1:36" ht="14.7" thickBot="1" x14ac:dyDescent="0.6">
      <c r="A49" s="2">
        <v>9</v>
      </c>
      <c r="B49">
        <v>0.63500000000000001</v>
      </c>
      <c r="C49" s="84">
        <v>20.028000000000002</v>
      </c>
      <c r="D49">
        <v>1</v>
      </c>
      <c r="E49" s="84">
        <v>31.1</v>
      </c>
      <c r="Z49" s="2">
        <v>9</v>
      </c>
      <c r="AA49" s="118">
        <f t="shared" si="5"/>
        <v>6.3499999999999996E-7</v>
      </c>
      <c r="AB49">
        <f t="shared" si="6"/>
        <v>2.0027999999999999E-5</v>
      </c>
      <c r="AC49" s="118">
        <f t="shared" si="7"/>
        <v>9.9999999999999995E-7</v>
      </c>
      <c r="AD49">
        <f t="shared" si="6"/>
        <v>3.1099999999999997E-5</v>
      </c>
      <c r="AF49" s="2">
        <v>9</v>
      </c>
      <c r="AG49" s="118">
        <v>0.63500000000000001</v>
      </c>
      <c r="AH49">
        <v>20.028000000000002</v>
      </c>
      <c r="AI49" s="118">
        <v>1</v>
      </c>
      <c r="AJ49">
        <v>31.1</v>
      </c>
    </row>
    <row r="50" spans="1:36" ht="14.7" thickBot="1" x14ac:dyDescent="0.6">
      <c r="A50" s="2">
        <v>10</v>
      </c>
      <c r="B50">
        <v>3.0999999999999996</v>
      </c>
      <c r="C50" s="84">
        <v>93.634999999999991</v>
      </c>
      <c r="D50">
        <v>3</v>
      </c>
      <c r="E50" s="84">
        <v>91</v>
      </c>
      <c r="Z50" s="2">
        <v>10</v>
      </c>
      <c r="AA50" s="118">
        <f t="shared" si="5"/>
        <v>3.0999999999999995E-6</v>
      </c>
      <c r="AB50">
        <f t="shared" si="6"/>
        <v>9.363499999999998E-5</v>
      </c>
      <c r="AC50" s="118">
        <f t="shared" si="7"/>
        <v>3.0000000000000001E-6</v>
      </c>
      <c r="AD50">
        <f t="shared" si="6"/>
        <v>9.1000000000000003E-5</v>
      </c>
      <c r="AF50" s="2">
        <v>10</v>
      </c>
      <c r="AG50" s="118">
        <v>3.0999999999999996</v>
      </c>
      <c r="AH50">
        <v>93.634999999999991</v>
      </c>
      <c r="AI50" s="118">
        <v>3</v>
      </c>
      <c r="AJ50">
        <v>91</v>
      </c>
    </row>
    <row r="51" spans="1:36" ht="14.7" thickBot="1" x14ac:dyDescent="0.6">
      <c r="A51" s="2">
        <v>11</v>
      </c>
      <c r="B51">
        <v>0.20899999999999999</v>
      </c>
      <c r="C51" s="84">
        <v>9.3699999999999992</v>
      </c>
      <c r="D51">
        <v>0.16</v>
      </c>
      <c r="E51" s="84">
        <v>7.8</v>
      </c>
      <c r="Z51" s="2">
        <v>11</v>
      </c>
      <c r="AA51" s="118">
        <f t="shared" si="5"/>
        <v>2.0899999999999998E-7</v>
      </c>
      <c r="AB51">
        <f t="shared" si="6"/>
        <v>9.3699999999999984E-6</v>
      </c>
      <c r="AC51" s="118">
        <f t="shared" si="7"/>
        <v>1.6E-7</v>
      </c>
      <c r="AD51">
        <f t="shared" si="6"/>
        <v>7.7999999999999999E-6</v>
      </c>
      <c r="AF51" s="2">
        <v>11</v>
      </c>
      <c r="AG51" s="118">
        <v>0.20899999999999999</v>
      </c>
      <c r="AH51">
        <v>9.3699999999999992</v>
      </c>
      <c r="AI51" s="118">
        <v>0.16</v>
      </c>
      <c r="AJ51">
        <v>7.8</v>
      </c>
    </row>
    <row r="52" spans="1:36" ht="14.7" thickBot="1" x14ac:dyDescent="0.6">
      <c r="A52" s="2">
        <v>12</v>
      </c>
      <c r="B52">
        <v>0.16599999999999998</v>
      </c>
      <c r="C52" s="84">
        <v>5.1889999999999992</v>
      </c>
      <c r="D52">
        <v>0.13799999999999998</v>
      </c>
      <c r="E52" s="84">
        <v>4.3</v>
      </c>
      <c r="Z52" s="2">
        <v>12</v>
      </c>
      <c r="AA52" s="118">
        <f t="shared" si="5"/>
        <v>1.6599999999999998E-7</v>
      </c>
      <c r="AB52">
        <f t="shared" si="6"/>
        <v>5.1889999999999998E-6</v>
      </c>
      <c r="AC52" s="118">
        <f t="shared" si="7"/>
        <v>1.3799999999999997E-7</v>
      </c>
      <c r="AD52">
        <f t="shared" si="6"/>
        <v>4.2999999999999995E-6</v>
      </c>
      <c r="AF52" s="2">
        <v>12</v>
      </c>
      <c r="AG52" s="118">
        <v>0.16599999999999998</v>
      </c>
      <c r="AH52">
        <v>5.1889999999999992</v>
      </c>
      <c r="AI52" s="118">
        <v>0.13799999999999998</v>
      </c>
      <c r="AJ52">
        <v>4.3</v>
      </c>
    </row>
    <row r="53" spans="1:36" ht="14.7" thickBot="1" x14ac:dyDescent="0.6">
      <c r="A53" s="2">
        <v>13</v>
      </c>
      <c r="C53" s="84">
        <v>587.37199999999984</v>
      </c>
      <c r="E53" s="82">
        <v>633.34499999999991</v>
      </c>
      <c r="G53" s="29"/>
      <c r="Z53" s="2">
        <v>13</v>
      </c>
      <c r="AB53" s="84">
        <f>SUM(AB42:AB52)</f>
        <v>5.8737199999999996E-4</v>
      </c>
      <c r="AD53" s="84">
        <f>SUM(AD42:AD52)</f>
        <v>6.33345E-4</v>
      </c>
      <c r="AF53" s="2">
        <v>13</v>
      </c>
      <c r="AH53" s="84">
        <v>587.37199999999984</v>
      </c>
      <c r="AJ53" s="84">
        <v>633.34499999999991</v>
      </c>
    </row>
    <row r="54" spans="1:36" ht="14.7" thickBot="1" x14ac:dyDescent="0.6">
      <c r="A54" s="2">
        <v>14</v>
      </c>
      <c r="B54" s="82" t="s">
        <v>309</v>
      </c>
      <c r="C54" s="3">
        <v>587.37199999999984</v>
      </c>
      <c r="E54" s="3">
        <v>633.34499999999991</v>
      </c>
      <c r="Z54" s="2">
        <v>14</v>
      </c>
      <c r="AA54" s="82" t="s">
        <v>309</v>
      </c>
      <c r="AB54" s="84">
        <f>AB53</f>
        <v>5.8737199999999996E-4</v>
      </c>
      <c r="AC54" s="82"/>
      <c r="AD54" s="84">
        <f>AD53</f>
        <v>6.33345E-4</v>
      </c>
      <c r="AF54" s="2">
        <v>14</v>
      </c>
      <c r="AG54" s="82" t="s">
        <v>309</v>
      </c>
      <c r="AH54" s="84">
        <v>587.37199999999984</v>
      </c>
      <c r="AI54" s="82"/>
      <c r="AJ54" s="84">
        <v>633.34499999999991</v>
      </c>
    </row>
    <row r="55" spans="1:36" ht="14.7" thickBot="1" x14ac:dyDescent="0.6">
      <c r="A55" s="2">
        <v>15</v>
      </c>
      <c r="B55" t="s">
        <v>310</v>
      </c>
      <c r="C55">
        <v>1220.7169999999996</v>
      </c>
      <c r="Z55" s="2">
        <v>15</v>
      </c>
      <c r="AA55" t="s">
        <v>310</v>
      </c>
      <c r="AB55">
        <f>AB54+AD54</f>
        <v>1.2207170000000001E-3</v>
      </c>
      <c r="AF55" s="2">
        <v>15</v>
      </c>
      <c r="AG55" t="s">
        <v>310</v>
      </c>
      <c r="AH55">
        <v>1220.7169999999996</v>
      </c>
    </row>
    <row r="56" spans="1:36" ht="14.7" thickBot="1" x14ac:dyDescent="0.6">
      <c r="A56" s="2">
        <v>16</v>
      </c>
      <c r="B56" s="116" t="s">
        <v>311</v>
      </c>
      <c r="C56">
        <v>610.35849999999982</v>
      </c>
      <c r="Z56" s="2">
        <v>16</v>
      </c>
      <c r="AA56" s="116" t="s">
        <v>311</v>
      </c>
      <c r="AB56">
        <f>(AB55+AD55)/2</f>
        <v>6.1035850000000003E-4</v>
      </c>
      <c r="AF56" s="2">
        <v>16</v>
      </c>
      <c r="AG56" s="116" t="s">
        <v>311</v>
      </c>
      <c r="AH56">
        <v>610.35849999999982</v>
      </c>
    </row>
    <row r="57" spans="1:36" ht="14.7" thickBot="1" x14ac:dyDescent="0.6">
      <c r="A57" s="2">
        <v>17</v>
      </c>
      <c r="C57" s="84"/>
      <c r="Z57" s="2">
        <v>17</v>
      </c>
      <c r="AB57" s="84"/>
      <c r="AF57" s="2">
        <v>17</v>
      </c>
      <c r="AH57" s="84"/>
    </row>
    <row r="58" spans="1:36" ht="14.7" thickBot="1" x14ac:dyDescent="0.6">
      <c r="A58" s="2">
        <v>18</v>
      </c>
      <c r="C58" s="84"/>
      <c r="Z58" s="2">
        <v>18</v>
      </c>
      <c r="AB58" s="84"/>
      <c r="AF58" s="2">
        <v>18</v>
      </c>
      <c r="AH58" s="84"/>
    </row>
    <row r="59" spans="1:36" ht="14.7" thickBot="1" x14ac:dyDescent="0.6">
      <c r="A59" s="2">
        <v>19</v>
      </c>
      <c r="Z59" s="2">
        <v>19</v>
      </c>
      <c r="AF59" s="2">
        <v>19</v>
      </c>
    </row>
    <row r="60" spans="1:36" ht="14.7" thickBot="1" x14ac:dyDescent="0.6">
      <c r="A60" s="2">
        <v>20</v>
      </c>
      <c r="Z60" s="2">
        <v>20</v>
      </c>
      <c r="AF60" s="2">
        <v>20</v>
      </c>
    </row>
    <row r="61" spans="1:36" ht="14.7" thickBot="1" x14ac:dyDescent="0.6">
      <c r="A61" s="2">
        <v>21</v>
      </c>
      <c r="Z61" s="2">
        <v>21</v>
      </c>
      <c r="AF61" s="2">
        <v>21</v>
      </c>
    </row>
    <row r="62" spans="1:36" ht="14.7" thickBot="1" x14ac:dyDescent="0.6">
      <c r="A62" s="2">
        <v>22</v>
      </c>
      <c r="Z62" s="2">
        <v>22</v>
      </c>
      <c r="AF62" s="2">
        <v>22</v>
      </c>
    </row>
    <row r="63" spans="1:36" ht="14.7" thickBot="1" x14ac:dyDescent="0.6">
      <c r="A63" s="2">
        <v>23</v>
      </c>
      <c r="Z63" s="2">
        <v>23</v>
      </c>
      <c r="AF63" s="2">
        <v>23</v>
      </c>
    </row>
    <row r="64" spans="1:36" ht="14.7" thickBot="1" x14ac:dyDescent="0.6">
      <c r="A64" s="2">
        <v>24</v>
      </c>
      <c r="Z64" s="2">
        <v>24</v>
      </c>
      <c r="AF64" s="2">
        <v>24</v>
      </c>
    </row>
    <row r="65" spans="1:36" ht="14.7" thickBot="1" x14ac:dyDescent="0.6">
      <c r="A65" s="2">
        <v>25</v>
      </c>
      <c r="Z65" s="2">
        <v>25</v>
      </c>
      <c r="AF65" s="2">
        <v>25</v>
      </c>
    </row>
    <row r="66" spans="1:36" ht="14.7" thickBot="1" x14ac:dyDescent="0.6">
      <c r="A66" s="2">
        <v>26</v>
      </c>
      <c r="Z66" s="2">
        <v>26</v>
      </c>
      <c r="AF66" s="2">
        <v>26</v>
      </c>
    </row>
    <row r="67" spans="1:36" ht="14.7" thickBot="1" x14ac:dyDescent="0.6">
      <c r="A67" s="2">
        <v>27</v>
      </c>
      <c r="Z67" s="2">
        <v>27</v>
      </c>
      <c r="AF67" s="2">
        <v>27</v>
      </c>
    </row>
    <row r="68" spans="1:36" ht="14.7" thickBot="1" x14ac:dyDescent="0.6">
      <c r="A68" s="2">
        <v>28</v>
      </c>
      <c r="Z68" s="2">
        <v>28</v>
      </c>
      <c r="AF68" s="2">
        <v>28</v>
      </c>
    </row>
    <row r="69" spans="1:36" ht="14.7" thickBot="1" x14ac:dyDescent="0.6">
      <c r="A69" s="2">
        <v>29</v>
      </c>
      <c r="Z69" s="2">
        <v>29</v>
      </c>
      <c r="AF69" s="2">
        <v>29</v>
      </c>
    </row>
    <row r="70" spans="1:36" ht="14.7" thickBot="1" x14ac:dyDescent="0.6">
      <c r="A70" s="2">
        <v>30</v>
      </c>
      <c r="Z70" s="2">
        <v>30</v>
      </c>
      <c r="AF70" s="2">
        <v>30</v>
      </c>
    </row>
    <row r="71" spans="1:36" ht="14.7" thickBot="1" x14ac:dyDescent="0.6">
      <c r="A71" s="2">
        <v>31</v>
      </c>
      <c r="Z71" s="2">
        <v>31</v>
      </c>
      <c r="AF71" s="2">
        <v>31</v>
      </c>
    </row>
    <row r="72" spans="1:36" ht="14.7" thickBot="1" x14ac:dyDescent="0.6">
      <c r="A72" s="2">
        <v>32</v>
      </c>
      <c r="Z72" s="2">
        <v>32</v>
      </c>
      <c r="AF72" s="2">
        <v>32</v>
      </c>
    </row>
    <row r="73" spans="1:36" ht="14.7" thickBot="1" x14ac:dyDescent="0.6">
      <c r="A73" s="2" t="s">
        <v>312</v>
      </c>
      <c r="B73" t="s">
        <v>314</v>
      </c>
      <c r="D73" t="s">
        <v>315</v>
      </c>
      <c r="Z73" s="2" t="s">
        <v>312</v>
      </c>
      <c r="AA73" t="s">
        <v>314</v>
      </c>
      <c r="AC73" t="s">
        <v>315</v>
      </c>
      <c r="AF73" s="2" t="s">
        <v>312</v>
      </c>
      <c r="AG73" t="s">
        <v>314</v>
      </c>
      <c r="AI73" t="s">
        <v>315</v>
      </c>
    </row>
    <row r="74" spans="1:36" ht="14.7" thickBot="1" x14ac:dyDescent="0.6">
      <c r="A74" s="2">
        <v>34</v>
      </c>
      <c r="B74">
        <v>0.14599999999999999</v>
      </c>
      <c r="D74">
        <v>0.11899999999999999</v>
      </c>
      <c r="Z74" s="2">
        <v>34</v>
      </c>
      <c r="AA74" s="118">
        <f>B74*0.000001</f>
        <v>1.4599999999999998E-7</v>
      </c>
      <c r="AC74" s="118">
        <f>D74*0.000001</f>
        <v>1.1899999999999999E-7</v>
      </c>
      <c r="AF74" s="2">
        <v>34</v>
      </c>
      <c r="AG74" s="118">
        <v>0.14599999999999999</v>
      </c>
      <c r="AI74" s="118">
        <v>0.11899999999999999</v>
      </c>
    </row>
    <row r="75" spans="1:36" ht="14.7" thickBot="1" x14ac:dyDescent="0.6">
      <c r="A75" s="2">
        <v>35</v>
      </c>
      <c r="B75">
        <v>6.6</v>
      </c>
      <c r="C75">
        <v>198.14599999999999</v>
      </c>
      <c r="D75">
        <v>10.7</v>
      </c>
      <c r="E75">
        <v>321.11900000000003</v>
      </c>
      <c r="Z75" s="2">
        <v>35</v>
      </c>
      <c r="AA75" s="118">
        <f t="shared" ref="AA75:AA89" si="8">B75*0.000001</f>
        <v>6.5999999999999995E-6</v>
      </c>
      <c r="AB75">
        <f t="shared" ref="AB75:AB89" si="9">AA74+AA75*30</f>
        <v>1.9814599999999998E-4</v>
      </c>
      <c r="AC75" s="118">
        <f t="shared" ref="AC75:AC89" si="10">D75*0.000001</f>
        <v>1.0699999999999999E-5</v>
      </c>
      <c r="AD75">
        <f>AC74+AC75*30</f>
        <v>3.2111899999999997E-4</v>
      </c>
      <c r="AF75" s="2">
        <v>35</v>
      </c>
      <c r="AG75" s="118">
        <v>6.6</v>
      </c>
      <c r="AH75">
        <v>198.14599999999999</v>
      </c>
      <c r="AI75" s="118">
        <v>10.7</v>
      </c>
      <c r="AJ75">
        <v>321.11900000000003</v>
      </c>
    </row>
    <row r="76" spans="1:36" ht="14.7" thickBot="1" x14ac:dyDescent="0.6">
      <c r="A76" s="2">
        <v>36</v>
      </c>
      <c r="B76">
        <v>15.5</v>
      </c>
      <c r="C76">
        <v>471.6</v>
      </c>
      <c r="D76">
        <v>15.5</v>
      </c>
      <c r="E76">
        <v>475.7</v>
      </c>
      <c r="Z76" s="2">
        <v>36</v>
      </c>
      <c r="AA76" s="118">
        <f t="shared" si="8"/>
        <v>1.5500000000000001E-5</v>
      </c>
      <c r="AB76">
        <f t="shared" si="9"/>
        <v>4.7160000000000002E-4</v>
      </c>
      <c r="AC76" s="118">
        <f t="shared" si="10"/>
        <v>1.5500000000000001E-5</v>
      </c>
      <c r="AD76">
        <f t="shared" ref="AD76:AD89" si="11">AC75+AC76*30</f>
        <v>4.7570000000000002E-4</v>
      </c>
      <c r="AF76" s="2">
        <v>36</v>
      </c>
      <c r="AG76" s="118">
        <v>15.5</v>
      </c>
      <c r="AH76">
        <v>471.6</v>
      </c>
      <c r="AI76" s="118">
        <v>15.5</v>
      </c>
      <c r="AJ76">
        <v>475.7</v>
      </c>
    </row>
    <row r="77" spans="1:36" ht="14.7" thickBot="1" x14ac:dyDescent="0.6">
      <c r="A77" s="2">
        <v>37</v>
      </c>
      <c r="B77">
        <v>0.17899999999999999</v>
      </c>
      <c r="C77">
        <v>20.87</v>
      </c>
      <c r="D77">
        <v>0.129</v>
      </c>
      <c r="E77">
        <v>19.37</v>
      </c>
      <c r="Z77" s="2">
        <v>37</v>
      </c>
      <c r="AA77" s="118">
        <f t="shared" si="8"/>
        <v>1.7899999999999997E-7</v>
      </c>
      <c r="AB77">
        <f t="shared" si="9"/>
        <v>2.0870000000000002E-5</v>
      </c>
      <c r="AC77" s="118">
        <f t="shared" si="10"/>
        <v>1.29E-7</v>
      </c>
      <c r="AD77">
        <f t="shared" si="11"/>
        <v>1.9369999999999999E-5</v>
      </c>
      <c r="AF77" s="2">
        <v>37</v>
      </c>
      <c r="AG77" s="118">
        <v>0.17899999999999999</v>
      </c>
      <c r="AH77">
        <v>20.87</v>
      </c>
      <c r="AI77" s="118">
        <v>0.129</v>
      </c>
      <c r="AJ77">
        <v>19.37</v>
      </c>
    </row>
    <row r="78" spans="1:36" ht="14.7" thickBot="1" x14ac:dyDescent="0.6">
      <c r="A78" s="2">
        <v>38</v>
      </c>
      <c r="B78">
        <v>0.156</v>
      </c>
      <c r="C78">
        <v>4.859</v>
      </c>
      <c r="D78">
        <v>0.13699999999999998</v>
      </c>
      <c r="E78">
        <v>4.238999999999999</v>
      </c>
      <c r="Z78" s="2">
        <v>38</v>
      </c>
      <c r="AA78" s="118">
        <f t="shared" si="8"/>
        <v>1.5599999999999999E-7</v>
      </c>
      <c r="AB78">
        <f t="shared" si="9"/>
        <v>4.8590000000000004E-6</v>
      </c>
      <c r="AC78" s="118">
        <f t="shared" si="10"/>
        <v>1.3699999999999997E-7</v>
      </c>
      <c r="AD78">
        <f t="shared" si="11"/>
        <v>4.2389999999999987E-6</v>
      </c>
      <c r="AF78" s="2">
        <v>38</v>
      </c>
      <c r="AG78" s="118">
        <v>0.156</v>
      </c>
      <c r="AH78">
        <v>4.859</v>
      </c>
      <c r="AI78" s="118">
        <v>0.13699999999999998</v>
      </c>
      <c r="AJ78">
        <v>4.238999999999999</v>
      </c>
    </row>
    <row r="79" spans="1:36" ht="14.7" thickBot="1" x14ac:dyDescent="0.6">
      <c r="A79" s="2">
        <v>39</v>
      </c>
      <c r="B79">
        <v>0.154</v>
      </c>
      <c r="C79">
        <v>4.7759999999999998</v>
      </c>
      <c r="D79">
        <v>0.13799999999999998</v>
      </c>
      <c r="E79">
        <v>4.2769999999999992</v>
      </c>
      <c r="Z79" s="2">
        <v>39</v>
      </c>
      <c r="AA79" s="118">
        <f t="shared" si="8"/>
        <v>1.54E-7</v>
      </c>
      <c r="AB79">
        <f t="shared" si="9"/>
        <v>4.7759999999999997E-6</v>
      </c>
      <c r="AC79" s="118">
        <f t="shared" si="10"/>
        <v>1.3799999999999997E-7</v>
      </c>
      <c r="AD79">
        <f t="shared" si="11"/>
        <v>4.276999999999999E-6</v>
      </c>
      <c r="AF79" s="2">
        <v>39</v>
      </c>
      <c r="AG79" s="118">
        <v>0.154</v>
      </c>
      <c r="AH79">
        <v>4.7759999999999998</v>
      </c>
      <c r="AI79" s="118">
        <v>0.13799999999999998</v>
      </c>
      <c r="AJ79">
        <v>4.2769999999999992</v>
      </c>
    </row>
    <row r="80" spans="1:36" ht="14.7" thickBot="1" x14ac:dyDescent="0.6">
      <c r="A80" s="2">
        <v>40</v>
      </c>
      <c r="B80">
        <v>0.18099999999999999</v>
      </c>
      <c r="C80">
        <v>5.5839999999999996</v>
      </c>
      <c r="D80">
        <v>0.13399999999999998</v>
      </c>
      <c r="E80">
        <v>4.1579999999999995</v>
      </c>
      <c r="Z80" s="2">
        <v>40</v>
      </c>
      <c r="AA80" s="118">
        <f t="shared" si="8"/>
        <v>1.8099999999999999E-7</v>
      </c>
      <c r="AB80">
        <f t="shared" si="9"/>
        <v>5.5839999999999994E-6</v>
      </c>
      <c r="AC80" s="118">
        <f t="shared" si="10"/>
        <v>1.3399999999999998E-7</v>
      </c>
      <c r="AD80">
        <f t="shared" si="11"/>
        <v>4.1579999999999998E-6</v>
      </c>
      <c r="AF80" s="2">
        <v>40</v>
      </c>
      <c r="AG80" s="118">
        <v>0.18099999999999999</v>
      </c>
      <c r="AH80">
        <v>5.5839999999999996</v>
      </c>
      <c r="AI80" s="118">
        <v>0.13399999999999998</v>
      </c>
      <c r="AJ80">
        <v>4.1579999999999995</v>
      </c>
    </row>
    <row r="81" spans="1:36" ht="14.7" thickBot="1" x14ac:dyDescent="0.6">
      <c r="A81" s="2">
        <v>41</v>
      </c>
      <c r="B81">
        <v>0.16699999999999998</v>
      </c>
      <c r="C81">
        <v>5.1909999999999998</v>
      </c>
      <c r="D81">
        <v>0.13300000000000001</v>
      </c>
      <c r="E81">
        <v>4.1240000000000006</v>
      </c>
      <c r="Z81" s="2">
        <v>41</v>
      </c>
      <c r="AA81" s="118">
        <f t="shared" si="8"/>
        <v>1.6699999999999997E-7</v>
      </c>
      <c r="AB81">
        <f t="shared" si="9"/>
        <v>5.1909999999999991E-6</v>
      </c>
      <c r="AC81" s="118">
        <f t="shared" si="10"/>
        <v>1.3300000000000001E-7</v>
      </c>
      <c r="AD81">
        <f t="shared" si="11"/>
        <v>4.1240000000000007E-6</v>
      </c>
      <c r="AF81" s="2">
        <v>41</v>
      </c>
      <c r="AG81" s="118">
        <v>0.16699999999999998</v>
      </c>
      <c r="AH81">
        <v>5.1909999999999998</v>
      </c>
      <c r="AI81" s="118">
        <v>0.13300000000000001</v>
      </c>
      <c r="AJ81">
        <v>4.1240000000000006</v>
      </c>
    </row>
    <row r="82" spans="1:36" ht="14.7" thickBot="1" x14ac:dyDescent="0.6">
      <c r="A82" s="2">
        <v>42</v>
      </c>
      <c r="B82">
        <v>0.151</v>
      </c>
      <c r="C82">
        <v>4.6970000000000001</v>
      </c>
      <c r="D82">
        <v>0.125</v>
      </c>
      <c r="E82">
        <v>3.883</v>
      </c>
      <c r="Z82" s="2">
        <v>42</v>
      </c>
      <c r="AA82" s="118">
        <f t="shared" si="8"/>
        <v>1.5099999999999999E-7</v>
      </c>
      <c r="AB82">
        <f t="shared" si="9"/>
        <v>4.6970000000000001E-6</v>
      </c>
      <c r="AC82" s="118">
        <f t="shared" si="10"/>
        <v>1.2499999999999999E-7</v>
      </c>
      <c r="AD82">
        <f t="shared" si="11"/>
        <v>3.8829999999999999E-6</v>
      </c>
      <c r="AF82" s="2">
        <v>42</v>
      </c>
      <c r="AG82" s="118">
        <v>0.151</v>
      </c>
      <c r="AH82">
        <v>4.6970000000000001</v>
      </c>
      <c r="AI82" s="118">
        <v>0.125</v>
      </c>
      <c r="AJ82">
        <v>3.883</v>
      </c>
    </row>
    <row r="83" spans="1:36" ht="14.7" thickBot="1" x14ac:dyDescent="0.6">
      <c r="A83" s="2">
        <v>43</v>
      </c>
      <c r="B83">
        <v>0.158</v>
      </c>
      <c r="C83">
        <v>4.891</v>
      </c>
      <c r="D83">
        <v>0.13699999999999998</v>
      </c>
      <c r="E83">
        <v>4.2349999999999994</v>
      </c>
      <c r="Z83" s="2">
        <v>43</v>
      </c>
      <c r="AA83" s="118">
        <f t="shared" si="8"/>
        <v>1.5799999999999999E-7</v>
      </c>
      <c r="AB83">
        <f t="shared" si="9"/>
        <v>4.8909999999999994E-6</v>
      </c>
      <c r="AC83" s="118">
        <f t="shared" si="10"/>
        <v>1.3699999999999997E-7</v>
      </c>
      <c r="AD83">
        <f t="shared" si="11"/>
        <v>4.2349999999999984E-6</v>
      </c>
      <c r="AF83" s="2">
        <v>43</v>
      </c>
      <c r="AG83" s="118">
        <v>0.158</v>
      </c>
      <c r="AH83">
        <v>4.891</v>
      </c>
      <c r="AI83" s="118">
        <v>0.13699999999999998</v>
      </c>
      <c r="AJ83">
        <v>4.2349999999999994</v>
      </c>
    </row>
    <row r="84" spans="1:36" ht="14.7" thickBot="1" x14ac:dyDescent="0.6">
      <c r="A84" s="2">
        <v>44</v>
      </c>
      <c r="B84">
        <v>0.15</v>
      </c>
      <c r="C84">
        <v>4.6580000000000004</v>
      </c>
      <c r="D84">
        <v>0.124</v>
      </c>
      <c r="E84">
        <v>3.8569999999999998</v>
      </c>
      <c r="Z84" s="2">
        <v>44</v>
      </c>
      <c r="AA84" s="118">
        <f t="shared" si="8"/>
        <v>1.4999999999999999E-7</v>
      </c>
      <c r="AB84">
        <f t="shared" si="9"/>
        <v>4.6580000000000001E-6</v>
      </c>
      <c r="AC84" s="118">
        <f t="shared" si="10"/>
        <v>1.24E-7</v>
      </c>
      <c r="AD84">
        <f t="shared" si="11"/>
        <v>3.8569999999999997E-6</v>
      </c>
      <c r="AF84" s="2">
        <v>44</v>
      </c>
      <c r="AG84" s="118">
        <v>0.15</v>
      </c>
      <c r="AH84">
        <v>4.6580000000000004</v>
      </c>
      <c r="AI84" s="118">
        <v>0.124</v>
      </c>
      <c r="AJ84">
        <v>3.8569999999999998</v>
      </c>
    </row>
    <row r="85" spans="1:36" ht="14.7" thickBot="1" x14ac:dyDescent="0.6">
      <c r="A85" s="2">
        <v>45</v>
      </c>
      <c r="B85">
        <v>24.799999999999997</v>
      </c>
      <c r="C85">
        <v>744.14999999999986</v>
      </c>
      <c r="D85">
        <v>21.599999999999998</v>
      </c>
      <c r="E85">
        <v>648.12399999999991</v>
      </c>
      <c r="Z85" s="2">
        <v>45</v>
      </c>
      <c r="AA85" s="118">
        <f t="shared" si="8"/>
        <v>2.4799999999999996E-5</v>
      </c>
      <c r="AB85">
        <f t="shared" si="9"/>
        <v>7.4414999999999985E-4</v>
      </c>
      <c r="AC85" s="118">
        <f t="shared" si="10"/>
        <v>2.1599999999999996E-5</v>
      </c>
      <c r="AD85">
        <f t="shared" si="11"/>
        <v>6.4812399999999992E-4</v>
      </c>
      <c r="AF85" s="2">
        <v>45</v>
      </c>
      <c r="AG85" s="118">
        <v>24.799999999999997</v>
      </c>
      <c r="AH85">
        <v>744.14999999999986</v>
      </c>
      <c r="AI85" s="118">
        <v>21.599999999999998</v>
      </c>
      <c r="AJ85">
        <v>648.12399999999991</v>
      </c>
    </row>
    <row r="86" spans="1:36" ht="14.7" thickBot="1" x14ac:dyDescent="0.6">
      <c r="A86" s="2">
        <v>46</v>
      </c>
      <c r="B86">
        <v>22</v>
      </c>
      <c r="C86">
        <v>684.8</v>
      </c>
      <c r="D86">
        <v>16.599999999999998</v>
      </c>
      <c r="E86">
        <v>519.59999999999991</v>
      </c>
      <c r="Z86" s="2">
        <v>46</v>
      </c>
      <c r="AA86" s="118">
        <f t="shared" si="8"/>
        <v>2.1999999999999999E-5</v>
      </c>
      <c r="AB86">
        <f t="shared" si="9"/>
        <v>6.8479999999999995E-4</v>
      </c>
      <c r="AC86" s="118">
        <f t="shared" si="10"/>
        <v>1.6599999999999997E-5</v>
      </c>
      <c r="AD86">
        <f t="shared" si="11"/>
        <v>5.1959999999999994E-4</v>
      </c>
      <c r="AF86" s="2">
        <v>46</v>
      </c>
      <c r="AG86" s="118">
        <v>22</v>
      </c>
      <c r="AH86">
        <v>684.8</v>
      </c>
      <c r="AI86" s="118">
        <v>16.599999999999998</v>
      </c>
      <c r="AJ86">
        <v>519.59999999999991</v>
      </c>
    </row>
    <row r="87" spans="1:36" ht="14.7" thickBot="1" x14ac:dyDescent="0.6">
      <c r="A87" s="2">
        <v>47</v>
      </c>
      <c r="B87">
        <v>0.16799999999999998</v>
      </c>
      <c r="C87">
        <v>27.04</v>
      </c>
      <c r="D87">
        <v>0.125</v>
      </c>
      <c r="E87">
        <v>20.349999999999998</v>
      </c>
      <c r="Z87" s="2">
        <v>47</v>
      </c>
      <c r="AA87" s="118">
        <f t="shared" si="8"/>
        <v>1.6799999999999997E-7</v>
      </c>
      <c r="AB87">
        <f t="shared" si="9"/>
        <v>2.7039999999999999E-5</v>
      </c>
      <c r="AC87" s="118">
        <f t="shared" si="10"/>
        <v>1.2499999999999999E-7</v>
      </c>
      <c r="AD87">
        <f t="shared" si="11"/>
        <v>2.0349999999999997E-5</v>
      </c>
      <c r="AF87" s="2">
        <v>47</v>
      </c>
      <c r="AG87" s="118">
        <v>0.16799999999999998</v>
      </c>
      <c r="AH87">
        <v>27.04</v>
      </c>
      <c r="AI87" s="118">
        <v>0.125</v>
      </c>
      <c r="AJ87">
        <v>20.349999999999998</v>
      </c>
    </row>
    <row r="88" spans="1:36" ht="14.7" thickBot="1" x14ac:dyDescent="0.6">
      <c r="A88" s="2">
        <v>48</v>
      </c>
      <c r="B88">
        <v>0.154</v>
      </c>
      <c r="C88">
        <v>4.7880000000000003</v>
      </c>
      <c r="D88">
        <v>0.13699999999999998</v>
      </c>
      <c r="E88">
        <v>4.2349999999999994</v>
      </c>
      <c r="Z88" s="2">
        <v>48</v>
      </c>
      <c r="AA88" s="118">
        <f t="shared" si="8"/>
        <v>1.54E-7</v>
      </c>
      <c r="AB88">
        <f t="shared" si="9"/>
        <v>4.7879999999999997E-6</v>
      </c>
      <c r="AC88" s="118">
        <f t="shared" si="10"/>
        <v>1.3699999999999997E-7</v>
      </c>
      <c r="AD88">
        <f t="shared" si="11"/>
        <v>4.2349999999999984E-6</v>
      </c>
      <c r="AF88" s="2">
        <v>48</v>
      </c>
      <c r="AG88" s="118">
        <v>0.154</v>
      </c>
      <c r="AH88">
        <v>4.7880000000000003</v>
      </c>
      <c r="AI88" s="118">
        <v>0.13699999999999998</v>
      </c>
      <c r="AJ88">
        <v>4.2349999999999994</v>
      </c>
    </row>
    <row r="89" spans="1:36" ht="14.7" thickBot="1" x14ac:dyDescent="0.6">
      <c r="A89" s="2">
        <v>49</v>
      </c>
      <c r="B89">
        <v>0.14599999999999999</v>
      </c>
      <c r="C89">
        <v>4.5339999999999998</v>
      </c>
      <c r="D89">
        <v>0.13999999999999999</v>
      </c>
      <c r="E89">
        <v>4.3369999999999989</v>
      </c>
      <c r="Z89" s="2">
        <v>49</v>
      </c>
      <c r="AA89" s="118">
        <f t="shared" si="8"/>
        <v>1.4599999999999998E-7</v>
      </c>
      <c r="AB89">
        <f t="shared" si="9"/>
        <v>4.5339999999999993E-6</v>
      </c>
      <c r="AC89" s="118">
        <f t="shared" si="10"/>
        <v>1.3999999999999998E-7</v>
      </c>
      <c r="AD89">
        <f t="shared" si="11"/>
        <v>4.3369999999999993E-6</v>
      </c>
      <c r="AF89" s="2">
        <v>49</v>
      </c>
      <c r="AG89" s="118">
        <v>0.14599999999999999</v>
      </c>
      <c r="AH89">
        <v>4.5339999999999998</v>
      </c>
      <c r="AI89" s="118">
        <v>0.13999999999999999</v>
      </c>
      <c r="AJ89">
        <v>4.3369999999999989</v>
      </c>
    </row>
    <row r="90" spans="1:36" ht="14.7" thickBot="1" x14ac:dyDescent="0.6">
      <c r="A90" s="2">
        <v>50</v>
      </c>
      <c r="Z90" s="2">
        <v>50</v>
      </c>
      <c r="AF90" s="2">
        <v>50</v>
      </c>
    </row>
    <row r="91" spans="1:36" ht="14.7" thickBot="1" x14ac:dyDescent="0.6">
      <c r="A91" s="2">
        <v>51</v>
      </c>
      <c r="Z91" s="2">
        <v>51</v>
      </c>
      <c r="AF91" s="2">
        <v>51</v>
      </c>
    </row>
    <row r="92" spans="1:36" ht="14.7" thickBot="1" x14ac:dyDescent="0.6">
      <c r="A92" s="2">
        <v>52</v>
      </c>
      <c r="C92">
        <v>2190.5839999999998</v>
      </c>
      <c r="E92">
        <v>2041.6079999999997</v>
      </c>
      <c r="Z92" s="2">
        <v>52</v>
      </c>
      <c r="AB92">
        <f>SUM(AB75:AB91)</f>
        <v>2.1905839999999998E-3</v>
      </c>
      <c r="AD92">
        <f>SUM(AD75:AD91)</f>
        <v>2.0416079999999999E-3</v>
      </c>
      <c r="AF92" s="2">
        <v>52</v>
      </c>
      <c r="AH92">
        <v>2190.5839999999998</v>
      </c>
      <c r="AJ92">
        <v>2041.6079999999997</v>
      </c>
    </row>
    <row r="93" spans="1:36" ht="14.7" thickBot="1" x14ac:dyDescent="0.6">
      <c r="A93" s="2">
        <v>53</v>
      </c>
      <c r="B93" s="82" t="s">
        <v>309</v>
      </c>
      <c r="C93" s="3">
        <v>2190.5839999999998</v>
      </c>
      <c r="E93" s="3">
        <v>2041.6079999999997</v>
      </c>
      <c r="Z93" s="2">
        <v>53</v>
      </c>
      <c r="AA93" s="82" t="s">
        <v>309</v>
      </c>
      <c r="AB93" s="84">
        <f>AB92</f>
        <v>2.1905839999999998E-3</v>
      </c>
      <c r="AC93" s="82"/>
      <c r="AD93" s="84">
        <f>AD92</f>
        <v>2.0416079999999999E-3</v>
      </c>
      <c r="AF93" s="2">
        <v>53</v>
      </c>
      <c r="AG93" s="82" t="s">
        <v>309</v>
      </c>
      <c r="AH93" s="84">
        <v>2190.5839999999998</v>
      </c>
      <c r="AI93" s="82"/>
      <c r="AJ93" s="84">
        <v>2041.6079999999997</v>
      </c>
    </row>
    <row r="94" spans="1:36" ht="14.7" thickBot="1" x14ac:dyDescent="0.6">
      <c r="A94" s="2">
        <v>54</v>
      </c>
      <c r="B94" t="s">
        <v>310</v>
      </c>
      <c r="C94">
        <v>4232.1919999999991</v>
      </c>
      <c r="Z94" s="2">
        <v>54</v>
      </c>
      <c r="AA94" t="s">
        <v>310</v>
      </c>
      <c r="AB94">
        <f>AB93+AD93</f>
        <v>4.2321919999999992E-3</v>
      </c>
      <c r="AF94" s="2">
        <v>54</v>
      </c>
      <c r="AG94" t="s">
        <v>310</v>
      </c>
      <c r="AH94">
        <v>4232.1919999999991</v>
      </c>
    </row>
    <row r="95" spans="1:36" ht="14.7" thickBot="1" x14ac:dyDescent="0.6">
      <c r="A95" s="2">
        <v>55</v>
      </c>
      <c r="B95" s="116" t="s">
        <v>311</v>
      </c>
      <c r="C95">
        <v>2116.0959999999995</v>
      </c>
      <c r="Z95" s="2">
        <v>55</v>
      </c>
      <c r="AA95" s="116" t="s">
        <v>311</v>
      </c>
      <c r="AB95">
        <f>(AB94+AD94)/2</f>
        <v>2.1160959999999996E-3</v>
      </c>
      <c r="AF95" s="2">
        <v>55</v>
      </c>
      <c r="AG95" s="116" t="s">
        <v>311</v>
      </c>
      <c r="AH95">
        <v>2116.0959999999995</v>
      </c>
    </row>
    <row r="96" spans="1:36" ht="14.7" thickBot="1" x14ac:dyDescent="0.6">
      <c r="A96" s="2">
        <v>56</v>
      </c>
      <c r="Z96" s="2">
        <v>56</v>
      </c>
      <c r="AF96" s="2">
        <v>56</v>
      </c>
    </row>
    <row r="97" spans="1:36" ht="14.7" thickBot="1" x14ac:dyDescent="0.6">
      <c r="A97" s="2">
        <v>57</v>
      </c>
      <c r="Z97" s="2">
        <v>57</v>
      </c>
      <c r="AF97" s="2">
        <v>57</v>
      </c>
    </row>
    <row r="98" spans="1:36" ht="14.7" thickBot="1" x14ac:dyDescent="0.6">
      <c r="A98" s="2" t="s">
        <v>77</v>
      </c>
      <c r="B98" t="s">
        <v>314</v>
      </c>
      <c r="D98" t="s">
        <v>315</v>
      </c>
      <c r="Z98" s="2" t="s">
        <v>77</v>
      </c>
      <c r="AA98" t="s">
        <v>314</v>
      </c>
      <c r="AC98" t="s">
        <v>315</v>
      </c>
      <c r="AF98" s="2" t="s">
        <v>77</v>
      </c>
      <c r="AG98" t="s">
        <v>314</v>
      </c>
      <c r="AI98" t="s">
        <v>315</v>
      </c>
    </row>
    <row r="99" spans="1:36" ht="14.7" thickBot="1" x14ac:dyDescent="0.6">
      <c r="A99" s="2"/>
      <c r="B99">
        <v>0.151</v>
      </c>
      <c r="D99">
        <v>0.11599999999999999</v>
      </c>
      <c r="Z99" s="2"/>
      <c r="AA99" s="118">
        <f>B99*0.000001</f>
        <v>1.5099999999999999E-7</v>
      </c>
      <c r="AC99" s="118">
        <f>D99*0.000001</f>
        <v>1.1599999999999999E-7</v>
      </c>
      <c r="AF99" s="2"/>
      <c r="AG99" s="118">
        <v>0.151</v>
      </c>
      <c r="AI99" s="118">
        <v>0.11599999999999999</v>
      </c>
    </row>
    <row r="100" spans="1:36" ht="14.7" thickBot="1" x14ac:dyDescent="0.6">
      <c r="A100" s="2"/>
      <c r="B100">
        <v>0.14899999999999999</v>
      </c>
      <c r="C100">
        <v>4.6209999999999996</v>
      </c>
      <c r="D100">
        <v>0.11799999999999999</v>
      </c>
      <c r="E100">
        <v>3.6560000000000001</v>
      </c>
      <c r="Z100" s="2"/>
      <c r="AA100" s="118">
        <f t="shared" ref="AA100:AA110" si="12">B100*0.000001</f>
        <v>1.49E-7</v>
      </c>
      <c r="AB100">
        <f>AA99+AA100*30</f>
        <v>4.6209999999999995E-6</v>
      </c>
      <c r="AC100" s="118">
        <f t="shared" ref="AC100:AC109" si="13">D100*0.000001</f>
        <v>1.1799999999999998E-7</v>
      </c>
      <c r="AD100">
        <f>AC99+AC100*30</f>
        <v>3.6559999999999994E-6</v>
      </c>
      <c r="AF100" s="2"/>
      <c r="AG100" s="118">
        <v>0.14899999999999999</v>
      </c>
      <c r="AH100">
        <v>4.6209999999999996</v>
      </c>
      <c r="AI100" s="118">
        <v>0.11799999999999999</v>
      </c>
      <c r="AJ100">
        <v>3.6560000000000001</v>
      </c>
    </row>
    <row r="101" spans="1:36" ht="14.7" thickBot="1" x14ac:dyDescent="0.6">
      <c r="A101" s="2"/>
      <c r="B101">
        <v>17.899999999999999</v>
      </c>
      <c r="C101">
        <v>537.149</v>
      </c>
      <c r="D101">
        <v>25.4</v>
      </c>
      <c r="E101">
        <v>762.11800000000005</v>
      </c>
      <c r="Z101" s="2"/>
      <c r="AA101" s="118">
        <f t="shared" si="12"/>
        <v>1.7899999999999998E-5</v>
      </c>
      <c r="AB101">
        <f t="shared" ref="AB101:AB109" si="14">AA100+AA101*30</f>
        <v>5.3714899999999989E-4</v>
      </c>
      <c r="AC101" s="118">
        <f t="shared" si="13"/>
        <v>2.5399999999999997E-5</v>
      </c>
      <c r="AD101">
        <f t="shared" ref="AD101:AD109" si="15">AC100+AC101*30</f>
        <v>7.6211799999999989E-4</v>
      </c>
      <c r="AF101" s="2"/>
      <c r="AG101" s="118">
        <v>17.899999999999999</v>
      </c>
      <c r="AH101">
        <v>537.149</v>
      </c>
      <c r="AI101" s="118">
        <v>25.4</v>
      </c>
      <c r="AJ101">
        <v>762.11800000000005</v>
      </c>
    </row>
    <row r="102" spans="1:36" ht="14.7" thickBot="1" x14ac:dyDescent="0.6">
      <c r="A102" s="2"/>
      <c r="B102">
        <v>21</v>
      </c>
      <c r="C102">
        <v>647.9</v>
      </c>
      <c r="D102">
        <v>16.899999999999999</v>
      </c>
      <c r="E102">
        <v>532.4</v>
      </c>
      <c r="Z102" s="2"/>
      <c r="AA102" s="118">
        <f t="shared" si="12"/>
        <v>2.0999999999999999E-5</v>
      </c>
      <c r="AB102">
        <f t="shared" si="14"/>
        <v>6.4789999999999986E-4</v>
      </c>
      <c r="AC102" s="118">
        <f t="shared" si="13"/>
        <v>1.6899999999999997E-5</v>
      </c>
      <c r="AD102">
        <f t="shared" si="15"/>
        <v>5.3239999999999993E-4</v>
      </c>
      <c r="AF102" s="2"/>
      <c r="AG102" s="118">
        <v>21</v>
      </c>
      <c r="AH102">
        <v>647.9</v>
      </c>
      <c r="AI102" s="118">
        <v>16.899999999999999</v>
      </c>
      <c r="AJ102">
        <v>532.4</v>
      </c>
    </row>
    <row r="103" spans="1:36" ht="14.7" thickBot="1" x14ac:dyDescent="0.6">
      <c r="A103" s="2"/>
      <c r="B103">
        <v>11.899999999999999</v>
      </c>
      <c r="C103">
        <v>377.99999999999994</v>
      </c>
      <c r="D103">
        <v>7.8</v>
      </c>
      <c r="E103">
        <v>250.9</v>
      </c>
      <c r="Z103" s="2"/>
      <c r="AA103" s="118">
        <f t="shared" si="12"/>
        <v>1.1899999999999998E-5</v>
      </c>
      <c r="AB103">
        <f t="shared" si="14"/>
        <v>3.7799999999999997E-4</v>
      </c>
      <c r="AC103" s="118">
        <f t="shared" si="13"/>
        <v>7.7999999999999999E-6</v>
      </c>
      <c r="AD103">
        <f t="shared" si="15"/>
        <v>2.5089999999999997E-4</v>
      </c>
      <c r="AF103" s="2"/>
      <c r="AG103" s="118">
        <v>11.899999999999999</v>
      </c>
      <c r="AH103">
        <v>377.99999999999994</v>
      </c>
      <c r="AI103" s="118">
        <v>7.8</v>
      </c>
      <c r="AJ103">
        <v>250.9</v>
      </c>
    </row>
    <row r="104" spans="1:36" x14ac:dyDescent="0.55000000000000004">
      <c r="B104">
        <v>0.156</v>
      </c>
      <c r="C104">
        <v>16.579999999999998</v>
      </c>
      <c r="D104">
        <v>0.123</v>
      </c>
      <c r="E104">
        <v>11.49</v>
      </c>
      <c r="AA104" s="118">
        <f t="shared" si="12"/>
        <v>1.5599999999999999E-7</v>
      </c>
      <c r="AB104">
        <f t="shared" si="14"/>
        <v>1.6579999999999997E-5</v>
      </c>
      <c r="AC104" s="118">
        <f t="shared" si="13"/>
        <v>1.23E-7</v>
      </c>
      <c r="AD104">
        <f t="shared" si="15"/>
        <v>1.149E-5</v>
      </c>
      <c r="AG104" s="118">
        <v>0.156</v>
      </c>
      <c r="AH104">
        <v>16.579999999999998</v>
      </c>
      <c r="AI104" s="118">
        <v>0.123</v>
      </c>
      <c r="AJ104">
        <v>11.49</v>
      </c>
    </row>
    <row r="105" spans="1:36" x14ac:dyDescent="0.55000000000000004">
      <c r="B105">
        <v>2</v>
      </c>
      <c r="C105">
        <v>60.155999999999999</v>
      </c>
      <c r="D105">
        <v>4.5999999999999996</v>
      </c>
      <c r="E105">
        <v>138.12299999999999</v>
      </c>
      <c r="AA105" s="118">
        <f t="shared" si="12"/>
        <v>1.9999999999999999E-6</v>
      </c>
      <c r="AB105">
        <f t="shared" si="14"/>
        <v>6.0155999999999998E-5</v>
      </c>
      <c r="AC105" s="118">
        <f t="shared" si="13"/>
        <v>4.5999999999999992E-6</v>
      </c>
      <c r="AD105">
        <f t="shared" si="15"/>
        <v>1.3812299999999998E-4</v>
      </c>
      <c r="AG105" s="118">
        <v>2</v>
      </c>
      <c r="AH105">
        <v>60.155999999999999</v>
      </c>
      <c r="AI105" s="118">
        <v>4.5999999999999996</v>
      </c>
      <c r="AJ105">
        <v>138.12299999999999</v>
      </c>
    </row>
    <row r="106" spans="1:36" x14ac:dyDescent="0.55000000000000004">
      <c r="B106">
        <v>19.099999999999998</v>
      </c>
      <c r="C106">
        <v>574.99999999999989</v>
      </c>
      <c r="D106">
        <v>15.2</v>
      </c>
      <c r="E106">
        <v>460.6</v>
      </c>
      <c r="AA106" s="118">
        <f t="shared" si="12"/>
        <v>1.9099999999999997E-5</v>
      </c>
      <c r="AB106">
        <f t="shared" si="14"/>
        <v>5.7499999999999999E-4</v>
      </c>
      <c r="AC106" s="118">
        <f t="shared" si="13"/>
        <v>1.5199999999999998E-5</v>
      </c>
      <c r="AD106">
        <f t="shared" si="15"/>
        <v>4.6059999999999997E-4</v>
      </c>
      <c r="AG106" s="118">
        <v>19.099999999999998</v>
      </c>
      <c r="AH106">
        <v>574.99999999999989</v>
      </c>
      <c r="AI106" s="118">
        <v>15.2</v>
      </c>
      <c r="AJ106">
        <v>460.6</v>
      </c>
    </row>
    <row r="107" spans="1:36" x14ac:dyDescent="0.55000000000000004">
      <c r="B107">
        <v>0.193</v>
      </c>
      <c r="C107">
        <v>24.889999999999997</v>
      </c>
      <c r="D107">
        <v>0.152</v>
      </c>
      <c r="E107">
        <v>19.759999999999998</v>
      </c>
      <c r="AA107" s="118">
        <f t="shared" si="12"/>
        <v>1.9299999999999999E-7</v>
      </c>
      <c r="AB107">
        <f t="shared" si="14"/>
        <v>2.4889999999999997E-5</v>
      </c>
      <c r="AC107" s="118">
        <f t="shared" si="13"/>
        <v>1.5199999999999998E-7</v>
      </c>
      <c r="AD107">
        <f t="shared" si="15"/>
        <v>1.9759999999999997E-5</v>
      </c>
      <c r="AG107" s="118">
        <v>0.193</v>
      </c>
      <c r="AH107">
        <v>24.889999999999997</v>
      </c>
      <c r="AI107" s="118">
        <v>0.152</v>
      </c>
      <c r="AJ107">
        <v>19.759999999999998</v>
      </c>
    </row>
    <row r="108" spans="1:36" x14ac:dyDescent="0.55000000000000004">
      <c r="B108">
        <v>0.156</v>
      </c>
      <c r="C108">
        <v>4.8729999999999993</v>
      </c>
      <c r="D108">
        <v>0.15</v>
      </c>
      <c r="E108">
        <v>4.6520000000000001</v>
      </c>
      <c r="AA108" s="118">
        <f t="shared" si="12"/>
        <v>1.5599999999999999E-7</v>
      </c>
      <c r="AB108">
        <f t="shared" si="14"/>
        <v>4.8729999999999998E-6</v>
      </c>
      <c r="AC108" s="118">
        <f t="shared" si="13"/>
        <v>1.4999999999999999E-7</v>
      </c>
      <c r="AD108">
        <f t="shared" si="15"/>
        <v>4.6520000000000005E-6</v>
      </c>
      <c r="AG108" s="118">
        <v>0.156</v>
      </c>
      <c r="AH108">
        <v>4.8729999999999993</v>
      </c>
      <c r="AI108" s="118">
        <v>0.15</v>
      </c>
      <c r="AJ108">
        <v>4.6520000000000001</v>
      </c>
    </row>
    <row r="109" spans="1:36" x14ac:dyDescent="0.55000000000000004">
      <c r="B109">
        <v>0.152</v>
      </c>
      <c r="C109">
        <v>4.7159999999999993</v>
      </c>
      <c r="D109">
        <v>0.151</v>
      </c>
      <c r="E109">
        <v>4.6800000000000006</v>
      </c>
      <c r="AA109" s="118">
        <f t="shared" si="12"/>
        <v>1.5199999999999998E-7</v>
      </c>
      <c r="AB109">
        <f t="shared" si="14"/>
        <v>4.7159999999999994E-6</v>
      </c>
      <c r="AC109" s="118">
        <f t="shared" si="13"/>
        <v>1.5099999999999999E-7</v>
      </c>
      <c r="AD109">
        <f t="shared" si="15"/>
        <v>4.6800000000000001E-6</v>
      </c>
      <c r="AG109" s="118">
        <v>0.152</v>
      </c>
      <c r="AH109">
        <v>4.7159999999999993</v>
      </c>
      <c r="AI109" s="118">
        <v>0.151</v>
      </c>
      <c r="AJ109">
        <v>4.6800000000000006</v>
      </c>
    </row>
    <row r="110" spans="1:36" ht="14.7" thickBot="1" x14ac:dyDescent="0.6">
      <c r="B110">
        <v>0</v>
      </c>
      <c r="C110">
        <v>2253.8849999999998</v>
      </c>
      <c r="E110">
        <v>2188.3790000000004</v>
      </c>
      <c r="AA110" s="118">
        <f t="shared" si="12"/>
        <v>0</v>
      </c>
      <c r="AB110">
        <f>SUM(AB100:AB109)</f>
        <v>2.2538849999999997E-3</v>
      </c>
      <c r="AD110">
        <f t="shared" ref="AD110" si="16">SUM(AD100:AD109)</f>
        <v>2.1883789999999998E-3</v>
      </c>
      <c r="AG110" s="118">
        <v>0</v>
      </c>
      <c r="AH110">
        <v>2253.8849999999998</v>
      </c>
      <c r="AJ110">
        <v>2188.3790000000004</v>
      </c>
    </row>
    <row r="111" spans="1:36" ht="14.7" thickBot="1" x14ac:dyDescent="0.6">
      <c r="B111" s="82" t="s">
        <v>309</v>
      </c>
      <c r="C111" s="3">
        <v>2253.8849999999998</v>
      </c>
      <c r="E111" s="3">
        <v>2188.3790000000004</v>
      </c>
      <c r="AA111" s="82" t="s">
        <v>309</v>
      </c>
      <c r="AB111" s="84">
        <f>AB110</f>
        <v>2.2538849999999997E-3</v>
      </c>
      <c r="AC111" s="82"/>
      <c r="AD111" s="84">
        <f>AD110</f>
        <v>2.1883789999999998E-3</v>
      </c>
      <c r="AG111" s="82" t="s">
        <v>309</v>
      </c>
      <c r="AH111" s="84">
        <v>2253.8849999999998</v>
      </c>
      <c r="AI111" s="82"/>
      <c r="AJ111" s="84">
        <v>2188.3790000000004</v>
      </c>
    </row>
    <row r="112" spans="1:36" x14ac:dyDescent="0.55000000000000004">
      <c r="B112" t="s">
        <v>310</v>
      </c>
      <c r="C112">
        <v>4442.2640000000001</v>
      </c>
      <c r="AA112" t="s">
        <v>310</v>
      </c>
      <c r="AB112">
        <f>AB111+AD111</f>
        <v>4.4422639999999996E-3</v>
      </c>
      <c r="AG112" t="s">
        <v>310</v>
      </c>
      <c r="AH112">
        <v>4442.2640000000001</v>
      </c>
    </row>
    <row r="113" spans="1:36" x14ac:dyDescent="0.55000000000000004">
      <c r="B113" s="116" t="s">
        <v>311</v>
      </c>
      <c r="C113">
        <v>2221.1320000000001</v>
      </c>
      <c r="AA113" s="116" t="s">
        <v>311</v>
      </c>
      <c r="AB113">
        <f>(AB112+AD112)/2</f>
        <v>2.2211319999999998E-3</v>
      </c>
      <c r="AG113" s="116" t="s">
        <v>311</v>
      </c>
      <c r="AH113">
        <v>2221.1320000000001</v>
      </c>
    </row>
    <row r="117" spans="1:36" x14ac:dyDescent="0.55000000000000004">
      <c r="A117" t="s">
        <v>317</v>
      </c>
      <c r="B117" t="s">
        <v>314</v>
      </c>
      <c r="D117" t="s">
        <v>315</v>
      </c>
      <c r="G117" t="s">
        <v>326</v>
      </c>
      <c r="Z117" t="s">
        <v>317</v>
      </c>
      <c r="AA117" t="s">
        <v>314</v>
      </c>
      <c r="AC117" t="s">
        <v>315</v>
      </c>
      <c r="AF117" t="s">
        <v>317</v>
      </c>
      <c r="AG117" t="s">
        <v>314</v>
      </c>
      <c r="AI117" t="s">
        <v>315</v>
      </c>
    </row>
    <row r="118" spans="1:36" x14ac:dyDescent="0.55000000000000004">
      <c r="B118">
        <v>0.222</v>
      </c>
      <c r="D118">
        <v>0.183</v>
      </c>
      <c r="G118">
        <f>B118+D118/2</f>
        <v>0.3135</v>
      </c>
      <c r="AA118" s="118">
        <f>B118*0.000001</f>
        <v>2.22E-7</v>
      </c>
      <c r="AC118" s="118">
        <f>D118*0.000001</f>
        <v>1.8299999999999998E-7</v>
      </c>
      <c r="AG118" s="118">
        <v>0.222</v>
      </c>
      <c r="AI118" s="118">
        <v>0.183</v>
      </c>
    </row>
    <row r="119" spans="1:36" x14ac:dyDescent="0.55000000000000004">
      <c r="B119">
        <v>0.158</v>
      </c>
      <c r="C119">
        <v>4.9620000000000006</v>
      </c>
      <c r="D119">
        <v>0.129</v>
      </c>
      <c r="E119">
        <v>4.0529999999999999</v>
      </c>
      <c r="G119">
        <f t="shared" ref="G119:G128" si="17">B119+D119/2</f>
        <v>0.2225</v>
      </c>
      <c r="AA119" s="118">
        <f t="shared" ref="AA119:AA128" si="18">B119*0.000001</f>
        <v>1.5799999999999999E-7</v>
      </c>
      <c r="AB119">
        <f>AA118+AA119*30</f>
        <v>4.9619999999999992E-6</v>
      </c>
      <c r="AC119" s="118">
        <f t="shared" ref="AC119:AC128" si="19">D119*0.000001</f>
        <v>1.29E-7</v>
      </c>
      <c r="AD119">
        <f>AC118+AC119*30</f>
        <v>4.053E-6</v>
      </c>
      <c r="AG119" s="118">
        <v>0.158</v>
      </c>
      <c r="AH119">
        <v>4.9620000000000006</v>
      </c>
      <c r="AI119" s="118">
        <v>0.129</v>
      </c>
      <c r="AJ119">
        <v>4.0529999999999999</v>
      </c>
    </row>
    <row r="120" spans="1:36" x14ac:dyDescent="0.55000000000000004">
      <c r="B120">
        <v>27.2</v>
      </c>
      <c r="C120">
        <v>816.15800000000002</v>
      </c>
      <c r="D120">
        <v>17.5</v>
      </c>
      <c r="E120">
        <v>525.12900000000002</v>
      </c>
      <c r="G120">
        <f t="shared" si="17"/>
        <v>35.950000000000003</v>
      </c>
      <c r="AA120" s="118">
        <f t="shared" si="18"/>
        <v>2.7199999999999997E-5</v>
      </c>
      <c r="AB120">
        <f t="shared" ref="AB120:AB128" si="20">AA119+AA120*30</f>
        <v>8.1615799999999988E-4</v>
      </c>
      <c r="AC120" s="118">
        <f t="shared" si="19"/>
        <v>1.7499999999999998E-5</v>
      </c>
      <c r="AD120">
        <f t="shared" ref="AD120:AD128" si="21">AC119+AC120*30</f>
        <v>5.2512899999999994E-4</v>
      </c>
      <c r="AG120" s="118">
        <v>27.2</v>
      </c>
      <c r="AH120">
        <v>816.15800000000002</v>
      </c>
      <c r="AI120" s="118">
        <v>17.5</v>
      </c>
      <c r="AJ120">
        <v>525.12900000000002</v>
      </c>
    </row>
    <row r="121" spans="1:36" x14ac:dyDescent="0.55000000000000004">
      <c r="B121">
        <v>4.8999999999999995</v>
      </c>
      <c r="C121">
        <v>174.19999999999996</v>
      </c>
      <c r="D121">
        <v>6.8</v>
      </c>
      <c r="E121">
        <v>221.5</v>
      </c>
      <c r="G121">
        <f t="shared" si="17"/>
        <v>8.2999999999999989</v>
      </c>
      <c r="AA121" s="118">
        <f t="shared" si="18"/>
        <v>4.8999999999999988E-6</v>
      </c>
      <c r="AB121">
        <f t="shared" si="20"/>
        <v>1.7419999999999995E-4</v>
      </c>
      <c r="AC121" s="118">
        <f t="shared" si="19"/>
        <v>6.7999999999999993E-6</v>
      </c>
      <c r="AD121">
        <f t="shared" si="21"/>
        <v>2.2149999999999996E-4</v>
      </c>
      <c r="AG121" s="118">
        <v>4.8999999999999995</v>
      </c>
      <c r="AH121">
        <v>174.19999999999996</v>
      </c>
      <c r="AI121" s="118">
        <v>6.8</v>
      </c>
      <c r="AJ121">
        <v>221.5</v>
      </c>
    </row>
    <row r="122" spans="1:36" x14ac:dyDescent="0.55000000000000004">
      <c r="B122">
        <v>3.5</v>
      </c>
      <c r="C122">
        <v>109.9</v>
      </c>
      <c r="D122">
        <v>21.7</v>
      </c>
      <c r="E122">
        <v>657.8</v>
      </c>
      <c r="G122">
        <f t="shared" si="17"/>
        <v>14.35</v>
      </c>
      <c r="AA122" s="118">
        <f t="shared" si="18"/>
        <v>3.4999999999999999E-6</v>
      </c>
      <c r="AB122">
        <f t="shared" si="20"/>
        <v>1.099E-4</v>
      </c>
      <c r="AC122" s="118">
        <f t="shared" si="19"/>
        <v>2.1699999999999999E-5</v>
      </c>
      <c r="AD122">
        <f t="shared" si="21"/>
        <v>6.5779999999999994E-4</v>
      </c>
      <c r="AG122" s="118">
        <v>3.5</v>
      </c>
      <c r="AH122">
        <v>109.9</v>
      </c>
      <c r="AI122" s="118">
        <v>21.7</v>
      </c>
      <c r="AJ122">
        <v>657.8</v>
      </c>
    </row>
    <row r="123" spans="1:36" x14ac:dyDescent="0.55000000000000004">
      <c r="B123">
        <v>12.2</v>
      </c>
      <c r="C123">
        <v>369.5</v>
      </c>
      <c r="D123">
        <v>3.8</v>
      </c>
      <c r="E123">
        <v>135.69999999999999</v>
      </c>
      <c r="G123">
        <f t="shared" si="17"/>
        <v>14.1</v>
      </c>
      <c r="AA123" s="118">
        <f t="shared" si="18"/>
        <v>1.2199999999999998E-5</v>
      </c>
      <c r="AB123">
        <f t="shared" si="20"/>
        <v>3.6949999999999993E-4</v>
      </c>
      <c r="AC123" s="118">
        <f t="shared" si="19"/>
        <v>3.7999999999999996E-6</v>
      </c>
      <c r="AD123">
        <f t="shared" si="21"/>
        <v>1.3569999999999999E-4</v>
      </c>
      <c r="AG123" s="118">
        <v>12.2</v>
      </c>
      <c r="AH123">
        <v>369.5</v>
      </c>
      <c r="AI123" s="118">
        <v>3.8</v>
      </c>
      <c r="AJ123">
        <v>135.69999999999999</v>
      </c>
    </row>
    <row r="124" spans="1:36" x14ac:dyDescent="0.55000000000000004">
      <c r="B124">
        <v>8.4</v>
      </c>
      <c r="C124">
        <v>264.2</v>
      </c>
      <c r="D124">
        <v>6.3</v>
      </c>
      <c r="E124">
        <v>192.8</v>
      </c>
      <c r="G124">
        <f t="shared" si="17"/>
        <v>11.55</v>
      </c>
      <c r="AA124" s="118">
        <f t="shared" si="18"/>
        <v>8.3999999999999992E-6</v>
      </c>
      <c r="AB124">
        <f t="shared" si="20"/>
        <v>2.6420000000000003E-4</v>
      </c>
      <c r="AC124" s="118">
        <f t="shared" si="19"/>
        <v>6.2999999999999998E-6</v>
      </c>
      <c r="AD124">
        <f t="shared" si="21"/>
        <v>1.928E-4</v>
      </c>
      <c r="AG124" s="118">
        <v>8.4</v>
      </c>
      <c r="AH124">
        <v>264.2</v>
      </c>
      <c r="AI124" s="118">
        <v>6.3</v>
      </c>
      <c r="AJ124">
        <v>192.8</v>
      </c>
    </row>
    <row r="125" spans="1:36" x14ac:dyDescent="0.55000000000000004">
      <c r="B125">
        <v>7.1</v>
      </c>
      <c r="C125">
        <v>221.4</v>
      </c>
      <c r="D125">
        <v>4.5999999999999996</v>
      </c>
      <c r="E125">
        <v>144.30000000000001</v>
      </c>
      <c r="G125">
        <f t="shared" si="17"/>
        <v>9.3999999999999986</v>
      </c>
      <c r="AA125" s="118">
        <f t="shared" si="18"/>
        <v>7.0999999999999989E-6</v>
      </c>
      <c r="AB125">
        <f t="shared" si="20"/>
        <v>2.2139999999999996E-4</v>
      </c>
      <c r="AC125" s="118">
        <f t="shared" si="19"/>
        <v>4.5999999999999992E-6</v>
      </c>
      <c r="AD125">
        <f t="shared" si="21"/>
        <v>1.4429999999999996E-4</v>
      </c>
      <c r="AG125" s="118">
        <v>7.1</v>
      </c>
      <c r="AH125">
        <v>221.4</v>
      </c>
      <c r="AI125" s="118">
        <v>4.5999999999999996</v>
      </c>
      <c r="AJ125">
        <v>144.30000000000001</v>
      </c>
    </row>
    <row r="126" spans="1:36" x14ac:dyDescent="0.55000000000000004">
      <c r="B126">
        <v>4.5</v>
      </c>
      <c r="C126">
        <v>142.1</v>
      </c>
      <c r="D126">
        <v>0.152</v>
      </c>
      <c r="E126">
        <v>9.16</v>
      </c>
      <c r="G126">
        <f t="shared" si="17"/>
        <v>4.5759999999999996</v>
      </c>
      <c r="AA126" s="118">
        <f t="shared" si="18"/>
        <v>4.5000000000000001E-6</v>
      </c>
      <c r="AB126">
        <f t="shared" si="20"/>
        <v>1.4210000000000001E-4</v>
      </c>
      <c r="AC126" s="118">
        <f t="shared" si="19"/>
        <v>1.5199999999999998E-7</v>
      </c>
      <c r="AD126">
        <f t="shared" si="21"/>
        <v>9.1599999999999987E-6</v>
      </c>
      <c r="AG126" s="118">
        <v>4.5</v>
      </c>
      <c r="AH126">
        <v>142.1</v>
      </c>
      <c r="AI126" s="118">
        <v>0.152</v>
      </c>
      <c r="AJ126">
        <v>9.16</v>
      </c>
    </row>
    <row r="127" spans="1:36" x14ac:dyDescent="0.55000000000000004">
      <c r="B127">
        <v>0.189</v>
      </c>
      <c r="C127">
        <v>10.17</v>
      </c>
      <c r="D127">
        <v>0.13799999999999998</v>
      </c>
      <c r="E127">
        <v>4.2919999999999998</v>
      </c>
      <c r="G127">
        <f t="shared" si="17"/>
        <v>0.25800000000000001</v>
      </c>
      <c r="AA127" s="118">
        <f t="shared" si="18"/>
        <v>1.8899999999999999E-7</v>
      </c>
      <c r="AB127">
        <f t="shared" si="20"/>
        <v>1.0169999999999999E-5</v>
      </c>
      <c r="AC127" s="118">
        <f t="shared" si="19"/>
        <v>1.3799999999999997E-7</v>
      </c>
      <c r="AD127">
        <f t="shared" si="21"/>
        <v>4.2919999999999989E-6</v>
      </c>
      <c r="AG127" s="118">
        <v>0.189</v>
      </c>
      <c r="AH127">
        <v>10.17</v>
      </c>
      <c r="AI127" s="118">
        <v>0.13799999999999998</v>
      </c>
      <c r="AJ127">
        <v>4.2919999999999998</v>
      </c>
    </row>
    <row r="128" spans="1:36" x14ac:dyDescent="0.55000000000000004">
      <c r="B128">
        <v>0.16499999999999998</v>
      </c>
      <c r="C128">
        <v>5.1389999999999993</v>
      </c>
      <c r="D128">
        <v>0.14299999999999999</v>
      </c>
      <c r="E128">
        <v>4.4279999999999999</v>
      </c>
      <c r="G128">
        <f t="shared" si="17"/>
        <v>0.23649999999999999</v>
      </c>
      <c r="AA128" s="118">
        <f t="shared" si="18"/>
        <v>1.6499999999999998E-7</v>
      </c>
      <c r="AB128">
        <f t="shared" si="20"/>
        <v>5.1389999999999994E-6</v>
      </c>
      <c r="AC128" s="118">
        <f t="shared" si="19"/>
        <v>1.4299999999999997E-7</v>
      </c>
      <c r="AD128">
        <f t="shared" si="21"/>
        <v>4.4279999999999989E-6</v>
      </c>
      <c r="AG128" s="118">
        <v>0.16499999999999998</v>
      </c>
      <c r="AH128">
        <v>5.1389999999999993</v>
      </c>
      <c r="AI128" s="118">
        <v>0.14299999999999999</v>
      </c>
      <c r="AJ128">
        <v>4.4279999999999999</v>
      </c>
    </row>
    <row r="129" spans="1:36" ht="14.7" thickBot="1" x14ac:dyDescent="0.6">
      <c r="B129">
        <v>0</v>
      </c>
      <c r="C129">
        <v>2117.7290000000003</v>
      </c>
      <c r="D129">
        <v>0</v>
      </c>
      <c r="E129">
        <v>1899.162</v>
      </c>
      <c r="AA129">
        <v>0</v>
      </c>
      <c r="AB129">
        <f>SUM(AB119:AB128)</f>
        <v>2.1177289999999996E-3</v>
      </c>
      <c r="AC129">
        <v>0</v>
      </c>
      <c r="AD129">
        <f>SUM(AD119:AD128)</f>
        <v>1.8991619999999996E-3</v>
      </c>
      <c r="AG129">
        <v>0</v>
      </c>
      <c r="AH129">
        <v>2117.7290000000003</v>
      </c>
      <c r="AI129">
        <v>0</v>
      </c>
      <c r="AJ129">
        <v>1899.162</v>
      </c>
    </row>
    <row r="130" spans="1:36" ht="14.7" thickBot="1" x14ac:dyDescent="0.6">
      <c r="B130" s="82" t="s">
        <v>309</v>
      </c>
      <c r="C130" s="3">
        <v>2117.7290000000003</v>
      </c>
      <c r="E130" s="3">
        <v>1899.162</v>
      </c>
      <c r="AA130" s="82" t="s">
        <v>309</v>
      </c>
      <c r="AB130" s="84">
        <f>AB129</f>
        <v>2.1177289999999996E-3</v>
      </c>
      <c r="AC130" s="82"/>
      <c r="AD130" s="84">
        <f>AD129</f>
        <v>1.8991619999999996E-3</v>
      </c>
      <c r="AG130" s="82" t="s">
        <v>309</v>
      </c>
      <c r="AH130" s="84">
        <v>2117.7290000000003</v>
      </c>
      <c r="AI130" s="82"/>
      <c r="AJ130" s="84">
        <v>1899.162</v>
      </c>
    </row>
    <row r="131" spans="1:36" x14ac:dyDescent="0.55000000000000004">
      <c r="B131" t="s">
        <v>310</v>
      </c>
      <c r="C131">
        <v>4016.8910000000005</v>
      </c>
      <c r="AA131" t="s">
        <v>310</v>
      </c>
      <c r="AB131">
        <f>AB130+AD130</f>
        <v>4.016890999999999E-3</v>
      </c>
      <c r="AG131" t="s">
        <v>310</v>
      </c>
      <c r="AH131">
        <v>4016.8910000000005</v>
      </c>
    </row>
    <row r="132" spans="1:36" x14ac:dyDescent="0.55000000000000004">
      <c r="B132" s="116" t="s">
        <v>311</v>
      </c>
      <c r="C132">
        <v>2008.4455000000003</v>
      </c>
      <c r="AA132" s="116" t="s">
        <v>311</v>
      </c>
      <c r="AB132">
        <f>(AB131+AD131)/2</f>
        <v>2.0084454999999995E-3</v>
      </c>
      <c r="AG132" s="116" t="s">
        <v>311</v>
      </c>
      <c r="AH132">
        <v>2008.4455000000003</v>
      </c>
    </row>
    <row r="135" spans="1:36" x14ac:dyDescent="0.55000000000000004">
      <c r="A135" t="s">
        <v>2</v>
      </c>
      <c r="B135" t="s">
        <v>314</v>
      </c>
      <c r="D135" t="s">
        <v>315</v>
      </c>
      <c r="Z135" t="s">
        <v>2</v>
      </c>
      <c r="AA135" t="s">
        <v>314</v>
      </c>
      <c r="AC135" t="s">
        <v>315</v>
      </c>
      <c r="AF135" t="s">
        <v>2</v>
      </c>
      <c r="AG135" t="s">
        <v>314</v>
      </c>
      <c r="AI135" t="s">
        <v>315</v>
      </c>
    </row>
    <row r="136" spans="1:36" x14ac:dyDescent="0.55000000000000004">
      <c r="B136">
        <v>0.161</v>
      </c>
      <c r="C136" t="e">
        <v>#VALUE!</v>
      </c>
      <c r="D136">
        <v>0.13300000000000001</v>
      </c>
      <c r="E136" t="e">
        <v>#VALUE!</v>
      </c>
      <c r="AA136" s="118">
        <f>B136*0.000001</f>
        <v>1.61E-7</v>
      </c>
      <c r="AB136" t="e">
        <f>AA135+AA136*30</f>
        <v>#VALUE!</v>
      </c>
      <c r="AC136" s="118">
        <f>D136*0.000001</f>
        <v>1.3300000000000001E-7</v>
      </c>
      <c r="AD136" t="e">
        <f>AC135+AC136*30</f>
        <v>#VALUE!</v>
      </c>
      <c r="AG136" s="118">
        <v>0.161</v>
      </c>
      <c r="AH136" t="e">
        <v>#VALUE!</v>
      </c>
      <c r="AI136" s="118">
        <v>0.13300000000000001</v>
      </c>
      <c r="AJ136" t="e">
        <v>#VALUE!</v>
      </c>
    </row>
    <row r="137" spans="1:36" x14ac:dyDescent="0.55000000000000004">
      <c r="B137">
        <v>0.16200000000000001</v>
      </c>
      <c r="C137">
        <v>5.0209999999999999</v>
      </c>
      <c r="D137">
        <v>0.13300000000000001</v>
      </c>
      <c r="E137">
        <v>4.1230000000000002</v>
      </c>
      <c r="AA137" s="118">
        <f t="shared" ref="AA137:AA145" si="22">B137*0.000001</f>
        <v>1.6199999999999999E-7</v>
      </c>
      <c r="AB137">
        <f>AA136+AA137*30</f>
        <v>5.0209999999999999E-6</v>
      </c>
      <c r="AC137" s="118">
        <f t="shared" ref="AC137:AC145" si="23">D137*0.000001</f>
        <v>1.3300000000000001E-7</v>
      </c>
      <c r="AD137">
        <f>AC136+AC137*30</f>
        <v>4.123000000000001E-6</v>
      </c>
      <c r="AG137" s="118">
        <v>0.16200000000000001</v>
      </c>
      <c r="AH137">
        <v>5.0209999999999999</v>
      </c>
      <c r="AI137" s="118">
        <v>0.13300000000000001</v>
      </c>
      <c r="AJ137">
        <v>4.1230000000000002</v>
      </c>
    </row>
    <row r="138" spans="1:36" x14ac:dyDescent="0.55000000000000004">
      <c r="B138">
        <v>10.4</v>
      </c>
      <c r="C138">
        <v>312.16199999999998</v>
      </c>
      <c r="D138">
        <v>4.8</v>
      </c>
      <c r="E138">
        <v>144.13300000000001</v>
      </c>
      <c r="AA138" s="118">
        <f t="shared" si="22"/>
        <v>1.04E-5</v>
      </c>
      <c r="AB138">
        <f t="shared" ref="AB138:AB145" si="24">AA137+AA138*30</f>
        <v>3.12162E-4</v>
      </c>
      <c r="AC138" s="118">
        <f t="shared" si="23"/>
        <v>4.7999999999999998E-6</v>
      </c>
      <c r="AD138">
        <f t="shared" ref="AD138:AD145" si="25">AC137+AC138*30</f>
        <v>1.4413300000000001E-4</v>
      </c>
      <c r="AG138" s="118">
        <v>10.4</v>
      </c>
      <c r="AH138">
        <v>312.16199999999998</v>
      </c>
      <c r="AI138" s="118">
        <v>4.8</v>
      </c>
      <c r="AJ138">
        <v>144.13300000000001</v>
      </c>
    </row>
    <row r="139" spans="1:36" x14ac:dyDescent="0.55000000000000004">
      <c r="B139">
        <v>19.399999999999999</v>
      </c>
      <c r="C139">
        <v>592.4</v>
      </c>
      <c r="D139">
        <v>21.4</v>
      </c>
      <c r="E139">
        <v>646.79999999999995</v>
      </c>
      <c r="AA139" s="118">
        <f t="shared" si="22"/>
        <v>1.9399999999999997E-5</v>
      </c>
      <c r="AB139">
        <f t="shared" si="24"/>
        <v>5.9239999999999998E-4</v>
      </c>
      <c r="AC139" s="118">
        <f t="shared" si="23"/>
        <v>2.1399999999999998E-5</v>
      </c>
      <c r="AD139">
        <f t="shared" si="25"/>
        <v>6.468E-4</v>
      </c>
      <c r="AG139" s="118">
        <v>19.399999999999999</v>
      </c>
      <c r="AH139">
        <v>592.4</v>
      </c>
      <c r="AI139" s="118">
        <v>21.4</v>
      </c>
      <c r="AJ139">
        <v>646.79999999999995</v>
      </c>
    </row>
    <row r="140" spans="1:36" x14ac:dyDescent="0.55000000000000004">
      <c r="B140">
        <v>6.1999999999999993</v>
      </c>
      <c r="C140">
        <v>205.39999999999998</v>
      </c>
      <c r="D140">
        <v>15.5</v>
      </c>
      <c r="E140">
        <v>486.4</v>
      </c>
      <c r="AA140" s="118">
        <f t="shared" si="22"/>
        <v>6.1999999999999991E-6</v>
      </c>
      <c r="AB140">
        <f t="shared" si="24"/>
        <v>2.0539999999999995E-4</v>
      </c>
      <c r="AC140" s="118">
        <f t="shared" si="23"/>
        <v>1.5500000000000001E-5</v>
      </c>
      <c r="AD140">
        <f t="shared" si="25"/>
        <v>4.8640000000000001E-4</v>
      </c>
      <c r="AG140" s="118">
        <v>6.1999999999999993</v>
      </c>
      <c r="AH140">
        <v>205.39999999999998</v>
      </c>
      <c r="AI140" s="118">
        <v>15.5</v>
      </c>
      <c r="AJ140">
        <v>486.4</v>
      </c>
    </row>
    <row r="141" spans="1:36" x14ac:dyDescent="0.55000000000000004">
      <c r="B141">
        <v>15</v>
      </c>
      <c r="C141">
        <v>456.2</v>
      </c>
      <c r="D141">
        <v>4.3999999999999995</v>
      </c>
      <c r="E141">
        <v>147.49999999999997</v>
      </c>
      <c r="AA141" s="118">
        <f t="shared" si="22"/>
        <v>1.4999999999999999E-5</v>
      </c>
      <c r="AB141">
        <f t="shared" si="24"/>
        <v>4.5619999999999998E-4</v>
      </c>
      <c r="AC141" s="118">
        <f t="shared" si="23"/>
        <v>4.3999999999999994E-6</v>
      </c>
      <c r="AD141">
        <f t="shared" si="25"/>
        <v>1.4749999999999998E-4</v>
      </c>
      <c r="AG141" s="118">
        <v>15</v>
      </c>
      <c r="AH141">
        <v>456.2</v>
      </c>
      <c r="AI141" s="118">
        <v>4.3999999999999995</v>
      </c>
      <c r="AJ141">
        <v>147.49999999999997</v>
      </c>
    </row>
    <row r="142" spans="1:36" x14ac:dyDescent="0.55000000000000004">
      <c r="B142">
        <v>23</v>
      </c>
      <c r="C142">
        <v>705</v>
      </c>
      <c r="D142">
        <v>25.599999999999998</v>
      </c>
      <c r="E142">
        <v>772.39999999999986</v>
      </c>
      <c r="AA142" s="118">
        <f t="shared" si="22"/>
        <v>2.3E-5</v>
      </c>
      <c r="AB142">
        <f t="shared" si="24"/>
        <v>7.0500000000000001E-4</v>
      </c>
      <c r="AC142" s="118">
        <f t="shared" si="23"/>
        <v>2.5599999999999995E-5</v>
      </c>
      <c r="AD142">
        <f t="shared" si="25"/>
        <v>7.7239999999999991E-4</v>
      </c>
      <c r="AG142" s="118">
        <v>23</v>
      </c>
      <c r="AH142">
        <v>705</v>
      </c>
      <c r="AI142" s="118">
        <v>25.599999999999998</v>
      </c>
      <c r="AJ142">
        <v>772.39999999999986</v>
      </c>
    </row>
    <row r="143" spans="1:36" x14ac:dyDescent="0.55000000000000004">
      <c r="B143">
        <v>24.9</v>
      </c>
      <c r="C143">
        <v>770</v>
      </c>
      <c r="D143">
        <v>25.9</v>
      </c>
      <c r="E143">
        <v>802.6</v>
      </c>
      <c r="AA143" s="118">
        <f t="shared" si="22"/>
        <v>2.4899999999999999E-5</v>
      </c>
      <c r="AB143">
        <f t="shared" si="24"/>
        <v>7.6999999999999996E-4</v>
      </c>
      <c r="AC143" s="118">
        <f t="shared" si="23"/>
        <v>2.5899999999999996E-5</v>
      </c>
      <c r="AD143">
        <f t="shared" si="25"/>
        <v>8.0259999999999988E-4</v>
      </c>
      <c r="AG143" s="118">
        <v>24.9</v>
      </c>
      <c r="AH143">
        <v>770</v>
      </c>
      <c r="AI143" s="118">
        <v>25.9</v>
      </c>
      <c r="AJ143">
        <v>802.6</v>
      </c>
    </row>
    <row r="144" spans="1:36" x14ac:dyDescent="0.55000000000000004">
      <c r="B144">
        <v>0.27499999999999997</v>
      </c>
      <c r="C144">
        <v>33.15</v>
      </c>
      <c r="D144">
        <v>0.54899999999999993</v>
      </c>
      <c r="E144">
        <v>42.37</v>
      </c>
      <c r="AA144" s="118">
        <f t="shared" si="22"/>
        <v>2.7499999999999996E-7</v>
      </c>
      <c r="AB144">
        <f t="shared" si="24"/>
        <v>3.3149999999999999E-5</v>
      </c>
      <c r="AC144" s="118">
        <f t="shared" si="23"/>
        <v>5.4899999999999995E-7</v>
      </c>
      <c r="AD144">
        <f t="shared" si="25"/>
        <v>4.2369999999999996E-5</v>
      </c>
      <c r="AG144" s="118">
        <v>0.27499999999999997</v>
      </c>
      <c r="AH144">
        <v>33.15</v>
      </c>
      <c r="AI144" s="118">
        <v>0.54899999999999993</v>
      </c>
      <c r="AJ144">
        <v>42.37</v>
      </c>
    </row>
    <row r="145" spans="1:36" x14ac:dyDescent="0.55000000000000004">
      <c r="B145">
        <v>0.16499999999999998</v>
      </c>
      <c r="C145">
        <v>5.2249999999999996</v>
      </c>
      <c r="D145">
        <v>0.13899999999999998</v>
      </c>
      <c r="E145">
        <v>4.7189999999999994</v>
      </c>
      <c r="AA145" s="118">
        <f t="shared" si="22"/>
        <v>1.6499999999999998E-7</v>
      </c>
      <c r="AB145">
        <f t="shared" si="24"/>
        <v>5.2249999999999991E-6</v>
      </c>
      <c r="AC145" s="118">
        <f t="shared" si="23"/>
        <v>1.3899999999999999E-7</v>
      </c>
      <c r="AD145">
        <f t="shared" si="25"/>
        <v>4.7190000000000001E-6</v>
      </c>
      <c r="AG145" s="118">
        <v>0.16499999999999998</v>
      </c>
      <c r="AH145">
        <v>5.2249999999999996</v>
      </c>
      <c r="AI145" s="118">
        <v>0.13899999999999998</v>
      </c>
      <c r="AJ145">
        <v>4.7189999999999994</v>
      </c>
    </row>
    <row r="146" spans="1:36" ht="14.7" thickBot="1" x14ac:dyDescent="0.6">
      <c r="C146">
        <v>3084.558</v>
      </c>
      <c r="E146">
        <v>3051.0449999999996</v>
      </c>
      <c r="AB146">
        <f>SUM(AB137:AB145)</f>
        <v>3.0845579999999998E-3</v>
      </c>
      <c r="AD146">
        <f>SUM(AD137:AD145)</f>
        <v>3.0510449999999992E-3</v>
      </c>
      <c r="AH146">
        <v>3084.558</v>
      </c>
      <c r="AJ146">
        <v>3051.0449999999996</v>
      </c>
    </row>
    <row r="147" spans="1:36" ht="14.7" thickBot="1" x14ac:dyDescent="0.6">
      <c r="B147" s="82" t="s">
        <v>309</v>
      </c>
      <c r="C147" s="3">
        <v>3084.558</v>
      </c>
      <c r="E147" s="3">
        <v>3051.0449999999996</v>
      </c>
      <c r="AA147" s="82" t="s">
        <v>309</v>
      </c>
      <c r="AB147" s="84">
        <f>AB146</f>
        <v>3.0845579999999998E-3</v>
      </c>
      <c r="AC147" s="82"/>
      <c r="AD147" s="84">
        <f>AD146</f>
        <v>3.0510449999999992E-3</v>
      </c>
      <c r="AG147" s="82" t="s">
        <v>309</v>
      </c>
      <c r="AH147" s="84">
        <v>3084.558</v>
      </c>
      <c r="AI147" s="82"/>
      <c r="AJ147" s="84">
        <v>3051.0449999999996</v>
      </c>
    </row>
    <row r="148" spans="1:36" x14ac:dyDescent="0.55000000000000004">
      <c r="B148" t="s">
        <v>310</v>
      </c>
      <c r="C148">
        <v>6135.6029999999992</v>
      </c>
      <c r="AA148" t="s">
        <v>310</v>
      </c>
      <c r="AB148">
        <f>AB147+AD147</f>
        <v>6.135602999999999E-3</v>
      </c>
      <c r="AG148" t="s">
        <v>310</v>
      </c>
      <c r="AH148">
        <v>6135.6029999999992</v>
      </c>
    </row>
    <row r="149" spans="1:36" x14ac:dyDescent="0.55000000000000004">
      <c r="B149" s="116" t="s">
        <v>311</v>
      </c>
      <c r="C149">
        <v>3067.8014999999996</v>
      </c>
      <c r="AA149" s="116" t="s">
        <v>311</v>
      </c>
      <c r="AB149">
        <f>(AB148+AD148)/2</f>
        <v>3.0678014999999995E-3</v>
      </c>
      <c r="AG149" s="116" t="s">
        <v>311</v>
      </c>
      <c r="AH149">
        <v>3067.8014999999996</v>
      </c>
    </row>
    <row r="157" spans="1:36" x14ac:dyDescent="0.55000000000000004">
      <c r="A157" t="s">
        <v>318</v>
      </c>
      <c r="B157" t="s">
        <v>305</v>
      </c>
      <c r="D157" t="s">
        <v>319</v>
      </c>
      <c r="Z157" t="s">
        <v>318</v>
      </c>
      <c r="AA157" t="s">
        <v>305</v>
      </c>
      <c r="AC157" t="s">
        <v>319</v>
      </c>
      <c r="AF157" t="s">
        <v>318</v>
      </c>
      <c r="AG157" t="s">
        <v>305</v>
      </c>
      <c r="AI157" t="s">
        <v>319</v>
      </c>
    </row>
    <row r="158" spans="1:36" x14ac:dyDescent="0.55000000000000004">
      <c r="A158">
        <v>0</v>
      </c>
      <c r="B158">
        <v>0.16</v>
      </c>
      <c r="D158">
        <v>0.13499999999999998</v>
      </c>
      <c r="Z158">
        <f>Z146*1000</f>
        <v>0</v>
      </c>
      <c r="AA158" s="118">
        <f>B158*0.000001</f>
        <v>1.6E-7</v>
      </c>
      <c r="AC158" s="118">
        <f>D158*0.000001</f>
        <v>1.3499999999999998E-7</v>
      </c>
      <c r="AF158">
        <v>0</v>
      </c>
      <c r="AG158" s="118">
        <v>0.16</v>
      </c>
      <c r="AI158" s="118">
        <v>0.13499999999999998</v>
      </c>
    </row>
    <row r="159" spans="1:36" x14ac:dyDescent="0.55000000000000004">
      <c r="A159">
        <v>0</v>
      </c>
      <c r="B159">
        <v>0.16300000000000001</v>
      </c>
      <c r="C159">
        <v>5.0500000000000007</v>
      </c>
      <c r="D159">
        <v>0.13499999999999998</v>
      </c>
      <c r="E159">
        <v>4.1849999999999996</v>
      </c>
      <c r="Z159">
        <f t="shared" ref="Z159:Z166" si="26">Z147*1000</f>
        <v>0</v>
      </c>
      <c r="AA159" s="118">
        <f t="shared" ref="AA159:AA166" si="27">B159*0.000001</f>
        <v>1.6299999999999999E-7</v>
      </c>
      <c r="AB159">
        <f>AA158+AA159*30</f>
        <v>5.0499999999999999E-6</v>
      </c>
      <c r="AC159" s="118">
        <f t="shared" ref="AC159:AC166" si="28">D159*0.000001</f>
        <v>1.3499999999999998E-7</v>
      </c>
      <c r="AD159">
        <f>AC158+AC159*30</f>
        <v>4.1849999999999997E-6</v>
      </c>
      <c r="AF159">
        <v>0</v>
      </c>
      <c r="AG159" s="118">
        <v>0.16300000000000001</v>
      </c>
      <c r="AH159">
        <v>5.0500000000000007</v>
      </c>
      <c r="AI159" s="118">
        <v>0.13499999999999998</v>
      </c>
      <c r="AJ159">
        <v>4.1849999999999996</v>
      </c>
    </row>
    <row r="160" spans="1:36" x14ac:dyDescent="0.55000000000000004">
      <c r="A160">
        <v>0</v>
      </c>
      <c r="B160">
        <v>16</v>
      </c>
      <c r="C160">
        <v>480.16300000000001</v>
      </c>
      <c r="D160">
        <v>17.8</v>
      </c>
      <c r="E160">
        <v>534.13499999999999</v>
      </c>
      <c r="Z160">
        <f t="shared" si="26"/>
        <v>0</v>
      </c>
      <c r="AA160" s="118">
        <f t="shared" si="27"/>
        <v>1.5999999999999999E-5</v>
      </c>
      <c r="AB160">
        <f t="shared" ref="AB160:AB166" si="29">AA159+AA160*30</f>
        <v>4.8016299999999998E-4</v>
      </c>
      <c r="AC160" s="118">
        <f t="shared" si="28"/>
        <v>1.7799999999999999E-5</v>
      </c>
      <c r="AD160">
        <f t="shared" ref="AD160:AD166" si="30">AC159+AC160*30</f>
        <v>5.3413499999999993E-4</v>
      </c>
      <c r="AF160">
        <v>0</v>
      </c>
      <c r="AG160" s="118">
        <v>16</v>
      </c>
      <c r="AH160">
        <v>480.16300000000001</v>
      </c>
      <c r="AI160" s="118">
        <v>17.8</v>
      </c>
      <c r="AJ160">
        <v>534.13499999999999</v>
      </c>
    </row>
    <row r="161" spans="1:36" x14ac:dyDescent="0.55000000000000004">
      <c r="A161">
        <v>0</v>
      </c>
      <c r="B161">
        <v>19.7</v>
      </c>
      <c r="C161">
        <v>607</v>
      </c>
      <c r="D161">
        <v>17</v>
      </c>
      <c r="E161">
        <v>527.79999999999995</v>
      </c>
      <c r="Z161">
        <f t="shared" si="26"/>
        <v>0</v>
      </c>
      <c r="AA161" s="118">
        <f t="shared" si="27"/>
        <v>1.9699999999999998E-5</v>
      </c>
      <c r="AB161">
        <f t="shared" si="29"/>
        <v>6.069999999999999E-4</v>
      </c>
      <c r="AC161" s="118">
        <f t="shared" si="28"/>
        <v>1.7E-5</v>
      </c>
      <c r="AD161">
        <f t="shared" si="30"/>
        <v>5.2780000000000004E-4</v>
      </c>
      <c r="AF161">
        <v>0</v>
      </c>
      <c r="AG161" s="118">
        <v>19.7</v>
      </c>
      <c r="AH161">
        <v>607</v>
      </c>
      <c r="AI161" s="118">
        <v>17</v>
      </c>
      <c r="AJ161">
        <v>527.79999999999995</v>
      </c>
    </row>
    <row r="162" spans="1:36" x14ac:dyDescent="0.55000000000000004">
      <c r="A162">
        <v>0</v>
      </c>
      <c r="B162">
        <v>15</v>
      </c>
      <c r="C162">
        <v>469.7</v>
      </c>
      <c r="D162">
        <v>8</v>
      </c>
      <c r="E162">
        <v>257</v>
      </c>
      <c r="Z162">
        <f t="shared" si="26"/>
        <v>0</v>
      </c>
      <c r="AA162" s="118">
        <f t="shared" si="27"/>
        <v>1.4999999999999999E-5</v>
      </c>
      <c r="AB162">
        <f t="shared" si="29"/>
        <v>4.6969999999999998E-4</v>
      </c>
      <c r="AC162" s="118">
        <f t="shared" si="28"/>
        <v>7.9999999999999996E-6</v>
      </c>
      <c r="AD162">
        <f t="shared" si="30"/>
        <v>2.5699999999999996E-4</v>
      </c>
      <c r="AF162">
        <v>0</v>
      </c>
      <c r="AG162" s="118">
        <v>15</v>
      </c>
      <c r="AH162">
        <v>469.7</v>
      </c>
      <c r="AI162" s="118">
        <v>8</v>
      </c>
      <c r="AJ162">
        <v>257</v>
      </c>
    </row>
    <row r="163" spans="1:36" x14ac:dyDescent="0.55000000000000004">
      <c r="A163">
        <v>0</v>
      </c>
      <c r="B163">
        <v>0.17299999999999999</v>
      </c>
      <c r="C163">
        <v>20.189999999999998</v>
      </c>
      <c r="D163">
        <v>0.14399999999999999</v>
      </c>
      <c r="E163">
        <v>12.32</v>
      </c>
      <c r="Z163">
        <f t="shared" si="26"/>
        <v>0</v>
      </c>
      <c r="AA163" s="118">
        <f t="shared" si="27"/>
        <v>1.7299999999999997E-7</v>
      </c>
      <c r="AB163">
        <f t="shared" si="29"/>
        <v>2.0189999999999998E-5</v>
      </c>
      <c r="AC163" s="118">
        <f t="shared" si="28"/>
        <v>1.4399999999999999E-7</v>
      </c>
      <c r="AD163">
        <f t="shared" si="30"/>
        <v>1.2320000000000001E-5</v>
      </c>
      <c r="AF163">
        <v>0</v>
      </c>
      <c r="AG163" s="118">
        <v>0.17299999999999999</v>
      </c>
      <c r="AH163">
        <v>20.189999999999998</v>
      </c>
      <c r="AI163" s="118">
        <v>0.14399999999999999</v>
      </c>
      <c r="AJ163">
        <v>12.32</v>
      </c>
    </row>
    <row r="164" spans="1:36" x14ac:dyDescent="0.55000000000000004">
      <c r="A164">
        <v>0</v>
      </c>
      <c r="B164">
        <v>18.7</v>
      </c>
      <c r="C164">
        <v>561.173</v>
      </c>
      <c r="D164">
        <v>13.299999999999999</v>
      </c>
      <c r="E164">
        <v>399.14399999999995</v>
      </c>
      <c r="Z164">
        <f t="shared" si="26"/>
        <v>0</v>
      </c>
      <c r="AA164" s="118">
        <f t="shared" si="27"/>
        <v>1.8699999999999997E-5</v>
      </c>
      <c r="AB164">
        <f t="shared" si="29"/>
        <v>5.6117299999999988E-4</v>
      </c>
      <c r="AC164" s="118">
        <f t="shared" si="28"/>
        <v>1.3299999999999998E-5</v>
      </c>
      <c r="AD164">
        <f t="shared" si="30"/>
        <v>3.9914399999999993E-4</v>
      </c>
      <c r="AF164">
        <v>0</v>
      </c>
      <c r="AG164" s="118">
        <v>18.7</v>
      </c>
      <c r="AH164">
        <v>561.173</v>
      </c>
      <c r="AI164" s="118">
        <v>13.299999999999999</v>
      </c>
      <c r="AJ164">
        <v>399.14399999999995</v>
      </c>
    </row>
    <row r="165" spans="1:36" x14ac:dyDescent="0.55000000000000004">
      <c r="A165">
        <v>0</v>
      </c>
      <c r="B165">
        <v>4.5999999999999996</v>
      </c>
      <c r="C165">
        <v>156.69999999999999</v>
      </c>
      <c r="D165">
        <v>8.1</v>
      </c>
      <c r="E165">
        <v>256.3</v>
      </c>
      <c r="Z165">
        <f t="shared" si="26"/>
        <v>0</v>
      </c>
      <c r="AA165" s="118">
        <f t="shared" si="27"/>
        <v>4.5999999999999992E-6</v>
      </c>
      <c r="AB165">
        <f t="shared" si="29"/>
        <v>1.5669999999999996E-4</v>
      </c>
      <c r="AC165" s="118">
        <f t="shared" si="28"/>
        <v>8.0999999999999987E-6</v>
      </c>
      <c r="AD165">
        <f t="shared" si="30"/>
        <v>2.563E-4</v>
      </c>
      <c r="AF165">
        <v>0</v>
      </c>
      <c r="AG165" s="118">
        <v>4.5999999999999996</v>
      </c>
      <c r="AH165">
        <v>156.69999999999999</v>
      </c>
      <c r="AI165" s="118">
        <v>8.1</v>
      </c>
      <c r="AJ165">
        <v>256.3</v>
      </c>
    </row>
    <row r="166" spans="1:36" x14ac:dyDescent="0.55000000000000004">
      <c r="A166">
        <v>0</v>
      </c>
      <c r="B166">
        <v>0.182</v>
      </c>
      <c r="C166">
        <v>10.059999999999999</v>
      </c>
      <c r="D166">
        <v>0.153</v>
      </c>
      <c r="E166">
        <v>12.69</v>
      </c>
      <c r="Z166">
        <f t="shared" si="26"/>
        <v>0</v>
      </c>
      <c r="AA166" s="118">
        <f t="shared" si="27"/>
        <v>1.8199999999999999E-7</v>
      </c>
      <c r="AB166">
        <f t="shared" si="29"/>
        <v>1.0059999999999999E-5</v>
      </c>
      <c r="AC166" s="118">
        <f t="shared" si="28"/>
        <v>1.5299999999999998E-7</v>
      </c>
      <c r="AD166">
        <f t="shared" si="30"/>
        <v>1.2689999999999999E-5</v>
      </c>
      <c r="AF166">
        <v>0</v>
      </c>
      <c r="AG166" s="118">
        <v>0.182</v>
      </c>
      <c r="AH166">
        <v>10.059999999999999</v>
      </c>
      <c r="AI166" s="118">
        <v>0.153</v>
      </c>
      <c r="AJ166">
        <v>12.69</v>
      </c>
    </row>
    <row r="167" spans="1:36" ht="14.7" thickBot="1" x14ac:dyDescent="0.6">
      <c r="C167">
        <v>2310.0359999999996</v>
      </c>
      <c r="E167">
        <v>2003.5739999999998</v>
      </c>
      <c r="AB167">
        <f>SUM(AB159:AB166)</f>
        <v>2.3100359999999997E-3</v>
      </c>
      <c r="AD167">
        <f>SUM(AD159:AD166)</f>
        <v>2.0035739999999997E-3</v>
      </c>
      <c r="AH167">
        <v>2310.0359999999996</v>
      </c>
      <c r="AJ167">
        <v>2003.5739999999998</v>
      </c>
    </row>
    <row r="168" spans="1:36" ht="14.7" thickBot="1" x14ac:dyDescent="0.6">
      <c r="B168" s="82" t="s">
        <v>309</v>
      </c>
      <c r="C168" s="3">
        <v>2310.0359999999996</v>
      </c>
      <c r="E168" s="3">
        <v>2003.5739999999998</v>
      </c>
      <c r="AA168" s="82" t="s">
        <v>309</v>
      </c>
      <c r="AB168" s="84">
        <f>AB167</f>
        <v>2.3100359999999997E-3</v>
      </c>
      <c r="AC168" s="82"/>
      <c r="AD168" s="84">
        <f>AD167</f>
        <v>2.0035739999999997E-3</v>
      </c>
      <c r="AG168" s="82" t="s">
        <v>309</v>
      </c>
      <c r="AH168" s="84">
        <v>2310.0359999999996</v>
      </c>
      <c r="AI168" s="82"/>
      <c r="AJ168" s="84">
        <v>2003.5739999999998</v>
      </c>
    </row>
    <row r="169" spans="1:36" x14ac:dyDescent="0.55000000000000004">
      <c r="B169" t="s">
        <v>310</v>
      </c>
      <c r="C169">
        <v>4313.6099999999997</v>
      </c>
      <c r="AA169" t="s">
        <v>310</v>
      </c>
      <c r="AB169">
        <f>AB168+AD168</f>
        <v>4.313609999999999E-3</v>
      </c>
      <c r="AG169" t="s">
        <v>310</v>
      </c>
      <c r="AH169">
        <v>4313.6099999999997</v>
      </c>
    </row>
    <row r="170" spans="1:36" x14ac:dyDescent="0.55000000000000004">
      <c r="B170" s="116" t="s">
        <v>311</v>
      </c>
      <c r="C170">
        <v>2156.8049999999998</v>
      </c>
      <c r="AA170" s="116" t="s">
        <v>311</v>
      </c>
      <c r="AB170">
        <f>(AB169+AD169)/2</f>
        <v>2.1568049999999995E-3</v>
      </c>
      <c r="AG170" s="116" t="s">
        <v>311</v>
      </c>
      <c r="AH170">
        <v>2156.8049999999998</v>
      </c>
    </row>
    <row r="173" spans="1:36" x14ac:dyDescent="0.55000000000000004">
      <c r="A173" t="s">
        <v>320</v>
      </c>
      <c r="B173" t="s">
        <v>305</v>
      </c>
      <c r="D173" t="s">
        <v>319</v>
      </c>
      <c r="Z173" t="s">
        <v>320</v>
      </c>
      <c r="AA173" t="s">
        <v>305</v>
      </c>
      <c r="AC173" t="s">
        <v>319</v>
      </c>
      <c r="AF173" t="s">
        <v>320</v>
      </c>
      <c r="AG173" t="s">
        <v>305</v>
      </c>
      <c r="AI173" t="s">
        <v>319</v>
      </c>
    </row>
    <row r="174" spans="1:36" x14ac:dyDescent="0.55000000000000004">
      <c r="A174">
        <v>0</v>
      </c>
      <c r="B174">
        <v>0.161</v>
      </c>
      <c r="D174">
        <v>0.13599999999999998</v>
      </c>
      <c r="Z174">
        <f>Z162*1000</f>
        <v>0</v>
      </c>
      <c r="AA174" s="118">
        <f>B174*0.000001</f>
        <v>1.61E-7</v>
      </c>
      <c r="AC174" s="118">
        <f>D174*0.000001</f>
        <v>1.3599999999999997E-7</v>
      </c>
      <c r="AF174">
        <v>0</v>
      </c>
      <c r="AG174" s="118">
        <v>0.161</v>
      </c>
      <c r="AI174" s="118">
        <v>0.13599999999999998</v>
      </c>
    </row>
    <row r="175" spans="1:36" x14ac:dyDescent="0.55000000000000004">
      <c r="A175">
        <v>0</v>
      </c>
      <c r="B175">
        <v>0.15</v>
      </c>
      <c r="C175">
        <v>4.6609999999999996</v>
      </c>
      <c r="D175">
        <v>0.124</v>
      </c>
      <c r="E175">
        <v>3.8559999999999999</v>
      </c>
      <c r="Z175">
        <f t="shared" ref="Z175:Z182" si="31">Z163*1000</f>
        <v>0</v>
      </c>
      <c r="AA175" s="118">
        <f t="shared" ref="AA175:AA182" si="32">B175*0.000001</f>
        <v>1.4999999999999999E-7</v>
      </c>
      <c r="AB175">
        <f>AA174+AA175*30</f>
        <v>4.6609999999999999E-6</v>
      </c>
      <c r="AC175" s="118">
        <f t="shared" ref="AC175:AC182" si="33">D175*0.000001</f>
        <v>1.24E-7</v>
      </c>
      <c r="AD175">
        <f>AC174+AC175*30</f>
        <v>3.856E-6</v>
      </c>
      <c r="AF175">
        <v>0</v>
      </c>
      <c r="AG175" s="118">
        <v>0.15</v>
      </c>
      <c r="AH175">
        <v>4.6609999999999996</v>
      </c>
      <c r="AI175" s="118">
        <v>0.124</v>
      </c>
      <c r="AJ175">
        <v>3.8559999999999999</v>
      </c>
    </row>
    <row r="176" spans="1:36" x14ac:dyDescent="0.55000000000000004">
      <c r="A176">
        <v>0</v>
      </c>
      <c r="B176">
        <v>16</v>
      </c>
      <c r="C176">
        <v>480.15</v>
      </c>
      <c r="D176">
        <v>14.5</v>
      </c>
      <c r="E176">
        <v>435.12400000000002</v>
      </c>
      <c r="Z176">
        <f t="shared" si="31"/>
        <v>0</v>
      </c>
      <c r="AA176" s="118">
        <f t="shared" si="32"/>
        <v>1.5999999999999999E-5</v>
      </c>
      <c r="AB176">
        <f t="shared" ref="AB176:AB182" si="34">AA175+AA176*30</f>
        <v>4.8014999999999993E-4</v>
      </c>
      <c r="AC176" s="118">
        <f t="shared" si="33"/>
        <v>1.45E-5</v>
      </c>
      <c r="AD176">
        <f t="shared" ref="AD176:AD182" si="35">AC175+AC176*30</f>
        <v>4.35124E-4</v>
      </c>
      <c r="AF176">
        <v>0</v>
      </c>
      <c r="AG176" s="118">
        <v>16</v>
      </c>
      <c r="AH176">
        <v>480.15</v>
      </c>
      <c r="AI176" s="118">
        <v>14.5</v>
      </c>
      <c r="AJ176">
        <v>435.12400000000002</v>
      </c>
    </row>
    <row r="177" spans="1:36" x14ac:dyDescent="0.55000000000000004">
      <c r="A177">
        <v>0</v>
      </c>
      <c r="B177">
        <v>19.5</v>
      </c>
      <c r="C177">
        <v>601</v>
      </c>
      <c r="D177">
        <v>15.899999999999999</v>
      </c>
      <c r="E177">
        <v>491.49999999999994</v>
      </c>
      <c r="Z177">
        <f t="shared" si="31"/>
        <v>0</v>
      </c>
      <c r="AA177" s="118">
        <f t="shared" si="32"/>
        <v>1.95E-5</v>
      </c>
      <c r="AB177">
        <f t="shared" si="34"/>
        <v>6.0099999999999997E-4</v>
      </c>
      <c r="AC177" s="118">
        <f t="shared" si="33"/>
        <v>1.5899999999999997E-5</v>
      </c>
      <c r="AD177">
        <f t="shared" si="35"/>
        <v>4.9149999999999986E-4</v>
      </c>
      <c r="AF177">
        <v>0</v>
      </c>
      <c r="AG177" s="118">
        <v>19.5</v>
      </c>
      <c r="AH177">
        <v>601</v>
      </c>
      <c r="AI177" s="118">
        <v>15.899999999999999</v>
      </c>
      <c r="AJ177">
        <v>491.49999999999994</v>
      </c>
    </row>
    <row r="178" spans="1:36" x14ac:dyDescent="0.55000000000000004">
      <c r="A178">
        <v>0</v>
      </c>
      <c r="B178">
        <v>15.2</v>
      </c>
      <c r="C178">
        <v>475.5</v>
      </c>
      <c r="D178">
        <v>14.799999999999999</v>
      </c>
      <c r="E178">
        <v>459.89999999999992</v>
      </c>
      <c r="Z178">
        <f t="shared" si="31"/>
        <v>0</v>
      </c>
      <c r="AA178" s="118">
        <f t="shared" si="32"/>
        <v>1.5199999999999998E-5</v>
      </c>
      <c r="AB178">
        <f t="shared" si="34"/>
        <v>4.7549999999999996E-4</v>
      </c>
      <c r="AC178" s="118">
        <f t="shared" si="33"/>
        <v>1.4799999999999999E-5</v>
      </c>
      <c r="AD178">
        <f t="shared" si="35"/>
        <v>4.5989999999999996E-4</v>
      </c>
      <c r="AF178">
        <v>0</v>
      </c>
      <c r="AG178" s="118">
        <v>15.2</v>
      </c>
      <c r="AH178">
        <v>475.5</v>
      </c>
      <c r="AI178" s="118">
        <v>14.799999999999999</v>
      </c>
      <c r="AJ178">
        <v>459.89999999999992</v>
      </c>
    </row>
    <row r="179" spans="1:36" x14ac:dyDescent="0.55000000000000004">
      <c r="A179">
        <v>0</v>
      </c>
      <c r="B179">
        <v>0.18099999999999999</v>
      </c>
      <c r="C179">
        <v>20.63</v>
      </c>
      <c r="D179">
        <v>0.155</v>
      </c>
      <c r="E179">
        <v>19.45</v>
      </c>
      <c r="Z179">
        <f t="shared" si="31"/>
        <v>0</v>
      </c>
      <c r="AA179" s="118">
        <f t="shared" si="32"/>
        <v>1.8099999999999999E-7</v>
      </c>
      <c r="AB179">
        <f t="shared" si="34"/>
        <v>2.0629999999999997E-5</v>
      </c>
      <c r="AC179" s="118">
        <f t="shared" si="33"/>
        <v>1.55E-7</v>
      </c>
      <c r="AD179">
        <f t="shared" si="35"/>
        <v>1.9449999999999998E-5</v>
      </c>
      <c r="AF179">
        <v>0</v>
      </c>
      <c r="AG179" s="118">
        <v>0.18099999999999999</v>
      </c>
      <c r="AH179">
        <v>20.63</v>
      </c>
      <c r="AI179" s="118">
        <v>0.155</v>
      </c>
      <c r="AJ179">
        <v>19.45</v>
      </c>
    </row>
    <row r="180" spans="1:36" x14ac:dyDescent="0.55000000000000004">
      <c r="A180">
        <v>0</v>
      </c>
      <c r="B180">
        <v>3.1999999999999997</v>
      </c>
      <c r="C180">
        <v>96.180999999999983</v>
      </c>
      <c r="D180">
        <v>6.8999999999999995</v>
      </c>
      <c r="E180">
        <v>207.15499999999997</v>
      </c>
      <c r="Z180">
        <f t="shared" si="31"/>
        <v>0</v>
      </c>
      <c r="AA180" s="118">
        <f t="shared" si="32"/>
        <v>3.1999999999999994E-6</v>
      </c>
      <c r="AB180">
        <f t="shared" si="34"/>
        <v>9.6180999999999993E-5</v>
      </c>
      <c r="AC180" s="118">
        <f t="shared" si="33"/>
        <v>6.8999999999999992E-6</v>
      </c>
      <c r="AD180">
        <f t="shared" si="35"/>
        <v>2.0715499999999996E-4</v>
      </c>
      <c r="AF180">
        <v>0</v>
      </c>
      <c r="AG180" s="118">
        <v>3.1999999999999997</v>
      </c>
      <c r="AH180">
        <v>96.180999999999983</v>
      </c>
      <c r="AI180" s="118">
        <v>6.8999999999999995</v>
      </c>
      <c r="AJ180">
        <v>207.15499999999997</v>
      </c>
    </row>
    <row r="181" spans="1:36" x14ac:dyDescent="0.55000000000000004">
      <c r="A181">
        <v>0</v>
      </c>
      <c r="B181">
        <v>16.599999999999998</v>
      </c>
      <c r="C181">
        <v>501.19999999999993</v>
      </c>
      <c r="D181">
        <v>12.399999999999999</v>
      </c>
      <c r="E181">
        <v>378.89999999999992</v>
      </c>
      <c r="Z181">
        <f t="shared" si="31"/>
        <v>0</v>
      </c>
      <c r="AA181" s="118">
        <f t="shared" si="32"/>
        <v>1.6599999999999997E-5</v>
      </c>
      <c r="AB181">
        <f t="shared" si="34"/>
        <v>5.0119999999999993E-4</v>
      </c>
      <c r="AC181" s="118">
        <f t="shared" si="33"/>
        <v>1.2399999999999998E-5</v>
      </c>
      <c r="AD181">
        <f t="shared" si="35"/>
        <v>3.7889999999999994E-4</v>
      </c>
      <c r="AF181">
        <v>0</v>
      </c>
      <c r="AG181" s="118">
        <v>16.599999999999998</v>
      </c>
      <c r="AH181">
        <v>501.19999999999993</v>
      </c>
      <c r="AI181" s="118">
        <v>12.399999999999999</v>
      </c>
      <c r="AJ181">
        <v>378.89999999999992</v>
      </c>
    </row>
    <row r="182" spans="1:36" x14ac:dyDescent="0.55000000000000004">
      <c r="A182">
        <v>0</v>
      </c>
      <c r="B182">
        <v>0.20299999999999999</v>
      </c>
      <c r="C182">
        <v>22.689999999999998</v>
      </c>
      <c r="D182">
        <v>0.16699999999999998</v>
      </c>
      <c r="E182">
        <v>17.409999999999997</v>
      </c>
      <c r="Z182">
        <f t="shared" si="31"/>
        <v>0</v>
      </c>
      <c r="AA182" s="118">
        <f t="shared" si="32"/>
        <v>2.0299999999999998E-7</v>
      </c>
      <c r="AB182">
        <f t="shared" si="34"/>
        <v>2.2689999999999995E-5</v>
      </c>
      <c r="AC182" s="118">
        <f t="shared" si="33"/>
        <v>1.6699999999999997E-7</v>
      </c>
      <c r="AD182">
        <f t="shared" si="35"/>
        <v>1.7409999999999998E-5</v>
      </c>
      <c r="AF182">
        <v>0</v>
      </c>
      <c r="AG182" s="118">
        <v>0.20299999999999999</v>
      </c>
      <c r="AH182">
        <v>22.689999999999998</v>
      </c>
      <c r="AI182" s="118">
        <v>0.16699999999999998</v>
      </c>
      <c r="AJ182">
        <v>17.409999999999997</v>
      </c>
    </row>
    <row r="183" spans="1:36" ht="14.7" thickBot="1" x14ac:dyDescent="0.6">
      <c r="C183">
        <v>2202.0120000000002</v>
      </c>
      <c r="E183">
        <v>2013.2949999999998</v>
      </c>
      <c r="AB183">
        <f>SUM(AB175:AB182)</f>
        <v>2.2020120000000002E-3</v>
      </c>
      <c r="AD183">
        <f>SUM(AD175:AD182)</f>
        <v>2.0132949999999991E-3</v>
      </c>
      <c r="AH183">
        <v>2202.0120000000002</v>
      </c>
      <c r="AJ183">
        <v>2013.2949999999998</v>
      </c>
    </row>
    <row r="184" spans="1:36" ht="14.7" thickBot="1" x14ac:dyDescent="0.6">
      <c r="B184" s="82" t="s">
        <v>309</v>
      </c>
      <c r="C184" s="3">
        <v>2202.0120000000002</v>
      </c>
      <c r="E184" s="3">
        <v>2013.2949999999998</v>
      </c>
      <c r="AA184" s="82" t="s">
        <v>309</v>
      </c>
      <c r="AB184" s="84">
        <f>AB183</f>
        <v>2.2020120000000002E-3</v>
      </c>
      <c r="AC184" s="82"/>
      <c r="AD184" s="84">
        <f>AD183</f>
        <v>2.0132949999999991E-3</v>
      </c>
      <c r="AG184" s="82" t="s">
        <v>309</v>
      </c>
      <c r="AH184" s="84">
        <v>2202.0120000000002</v>
      </c>
      <c r="AI184" s="82"/>
      <c r="AJ184" s="84">
        <v>2013.2949999999998</v>
      </c>
    </row>
    <row r="185" spans="1:36" x14ac:dyDescent="0.55000000000000004">
      <c r="B185" t="s">
        <v>310</v>
      </c>
      <c r="C185">
        <v>4215.3069999999998</v>
      </c>
      <c r="AA185" t="s">
        <v>310</v>
      </c>
      <c r="AB185">
        <f>AB184+AD184</f>
        <v>4.2153069999999997E-3</v>
      </c>
      <c r="AG185" t="s">
        <v>310</v>
      </c>
      <c r="AH185">
        <v>4215.3069999999998</v>
      </c>
    </row>
    <row r="186" spans="1:36" x14ac:dyDescent="0.55000000000000004">
      <c r="B186" s="116" t="s">
        <v>311</v>
      </c>
      <c r="C186">
        <v>2107.6534999999999</v>
      </c>
      <c r="AA186" s="116" t="s">
        <v>311</v>
      </c>
      <c r="AB186">
        <f>(AB185+AD185)/2</f>
        <v>2.1076534999999999E-3</v>
      </c>
      <c r="AG186" s="116" t="s">
        <v>311</v>
      </c>
      <c r="AH186">
        <v>2107.6534999999999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1"/>
  <sheetViews>
    <sheetView topLeftCell="A25" workbookViewId="0">
      <selection activeCell="R73" sqref="R73:R83"/>
    </sheetView>
  </sheetViews>
  <sheetFormatPr defaultRowHeight="14.4" x14ac:dyDescent="0.55000000000000004"/>
  <cols>
    <col min="4" max="4" width="11" bestFit="1" customWidth="1"/>
    <col min="5" max="5" width="10" bestFit="1" customWidth="1"/>
    <col min="6" max="6" width="11" bestFit="1" customWidth="1"/>
    <col min="11" max="11" width="10" bestFit="1" customWidth="1"/>
    <col min="13" max="13" width="10" bestFit="1" customWidth="1"/>
    <col min="14" max="14" width="11" bestFit="1" customWidth="1"/>
    <col min="16" max="16" width="11" bestFit="1" customWidth="1"/>
    <col min="20" max="20" width="10" bestFit="1" customWidth="1"/>
    <col min="22" max="22" width="11" bestFit="1" customWidth="1"/>
    <col min="24" max="24" width="11" bestFit="1" customWidth="1"/>
  </cols>
  <sheetData>
    <row r="1" spans="1:26" x14ac:dyDescent="0.55000000000000004">
      <c r="C1" t="s">
        <v>305</v>
      </c>
      <c r="E1" t="s">
        <v>319</v>
      </c>
    </row>
    <row r="2" spans="1:26" x14ac:dyDescent="0.55000000000000004">
      <c r="C2">
        <v>148</v>
      </c>
      <c r="E2">
        <v>121</v>
      </c>
      <c r="F2" s="120">
        <v>6.3194444444444442E-2</v>
      </c>
      <c r="H2" t="s">
        <v>327</v>
      </c>
      <c r="M2" t="s">
        <v>305</v>
      </c>
      <c r="O2" t="s">
        <v>319</v>
      </c>
      <c r="U2" t="s">
        <v>305</v>
      </c>
      <c r="W2" t="s">
        <v>319</v>
      </c>
    </row>
    <row r="3" spans="1:26" x14ac:dyDescent="0.55000000000000004">
      <c r="A3" t="s">
        <v>338</v>
      </c>
      <c r="C3">
        <v>16000</v>
      </c>
      <c r="E3">
        <v>17000</v>
      </c>
      <c r="M3">
        <v>150</v>
      </c>
      <c r="O3">
        <v>122</v>
      </c>
      <c r="P3" s="120">
        <v>7.2222222222222229E-2</v>
      </c>
      <c r="R3" t="s">
        <v>329</v>
      </c>
      <c r="U3">
        <v>155</v>
      </c>
      <c r="W3">
        <v>127</v>
      </c>
      <c r="X3" s="120">
        <v>9.5138888888888884E-2</v>
      </c>
      <c r="Z3" t="s">
        <v>330</v>
      </c>
    </row>
    <row r="4" spans="1:26" x14ac:dyDescent="0.55000000000000004">
      <c r="C4">
        <v>2100</v>
      </c>
      <c r="E4">
        <v>201</v>
      </c>
      <c r="M4">
        <v>5100</v>
      </c>
      <c r="O4">
        <v>1600</v>
      </c>
      <c r="U4">
        <v>13300</v>
      </c>
      <c r="W4">
        <v>11800</v>
      </c>
    </row>
    <row r="5" spans="1:26" x14ac:dyDescent="0.55000000000000004">
      <c r="M5">
        <v>22800</v>
      </c>
      <c r="O5">
        <v>22000</v>
      </c>
      <c r="U5">
        <v>17900</v>
      </c>
      <c r="W5">
        <v>13500</v>
      </c>
    </row>
    <row r="6" spans="1:26" x14ac:dyDescent="0.55000000000000004">
      <c r="M6">
        <v>6500</v>
      </c>
      <c r="O6">
        <v>10300</v>
      </c>
      <c r="U6">
        <v>9400</v>
      </c>
      <c r="W6">
        <v>15700</v>
      </c>
    </row>
    <row r="7" spans="1:26" x14ac:dyDescent="0.55000000000000004">
      <c r="C7">
        <f>C2*1000</f>
        <v>148000</v>
      </c>
      <c r="E7">
        <f>E2*1000</f>
        <v>121000</v>
      </c>
      <c r="G7">
        <f>(C7+E7)/2</f>
        <v>134500</v>
      </c>
      <c r="M7">
        <v>6300</v>
      </c>
      <c r="O7">
        <v>6700</v>
      </c>
      <c r="U7">
        <v>11100</v>
      </c>
      <c r="W7">
        <v>4900</v>
      </c>
    </row>
    <row r="8" spans="1:26" x14ac:dyDescent="0.55000000000000004">
      <c r="C8">
        <f t="shared" ref="C8:E9" si="0">C3*1000</f>
        <v>16000000</v>
      </c>
      <c r="D8">
        <f>C7+C8*30</f>
        <v>480148000</v>
      </c>
      <c r="E8">
        <f t="shared" si="0"/>
        <v>17000000</v>
      </c>
      <c r="F8">
        <f>E7+E8*30</f>
        <v>510121000</v>
      </c>
      <c r="G8">
        <f t="shared" ref="G8:G9" si="1">(C8+E8)/2</f>
        <v>16500000</v>
      </c>
      <c r="M8">
        <v>22700</v>
      </c>
      <c r="O8">
        <v>22500</v>
      </c>
      <c r="U8">
        <v>26000</v>
      </c>
      <c r="W8">
        <v>28800</v>
      </c>
    </row>
    <row r="9" spans="1:26" x14ac:dyDescent="0.55000000000000004">
      <c r="C9">
        <f t="shared" si="0"/>
        <v>2100000</v>
      </c>
      <c r="D9">
        <f>C8+C9*30</f>
        <v>79000000</v>
      </c>
      <c r="E9">
        <f t="shared" si="0"/>
        <v>201000</v>
      </c>
      <c r="F9">
        <f>E8+E9*30</f>
        <v>23030000</v>
      </c>
      <c r="G9">
        <f t="shared" si="1"/>
        <v>1150500</v>
      </c>
      <c r="M9">
        <v>12300</v>
      </c>
      <c r="O9">
        <v>10800</v>
      </c>
      <c r="U9">
        <v>3200</v>
      </c>
      <c r="W9">
        <v>3500</v>
      </c>
    </row>
    <row r="10" spans="1:26" ht="14.7" thickBot="1" x14ac:dyDescent="0.6">
      <c r="D10">
        <f>SUM(D8:D9)</f>
        <v>559148000</v>
      </c>
      <c r="F10">
        <f>SUM(F8:F9)</f>
        <v>533151000</v>
      </c>
      <c r="M10">
        <v>162</v>
      </c>
      <c r="O10">
        <v>131</v>
      </c>
      <c r="P10" s="120">
        <v>7.7777777777777779E-2</v>
      </c>
      <c r="U10">
        <v>167</v>
      </c>
      <c r="W10">
        <v>136</v>
      </c>
      <c r="X10" s="120">
        <v>7.7777777777777779E-2</v>
      </c>
    </row>
    <row r="11" spans="1:26" ht="14.7" thickBot="1" x14ac:dyDescent="0.6">
      <c r="C11" s="82" t="s">
        <v>309</v>
      </c>
      <c r="D11" s="3">
        <f>D10*0.000001</f>
        <v>559.14800000000002</v>
      </c>
      <c r="F11" s="3">
        <f>F10*0.000001</f>
        <v>533.15099999999995</v>
      </c>
      <c r="M11">
        <v>151</v>
      </c>
      <c r="O11">
        <v>122</v>
      </c>
    </row>
    <row r="12" spans="1:26" x14ac:dyDescent="0.55000000000000004">
      <c r="C12" t="s">
        <v>310</v>
      </c>
      <c r="D12">
        <f>D11+F11</f>
        <v>1092.299</v>
      </c>
    </row>
    <row r="13" spans="1:26" x14ac:dyDescent="0.55000000000000004">
      <c r="C13" s="116" t="s">
        <v>311</v>
      </c>
      <c r="D13">
        <f>(D12+F12)/2</f>
        <v>546.14949999999999</v>
      </c>
    </row>
    <row r="14" spans="1:26" x14ac:dyDescent="0.55000000000000004">
      <c r="M14">
        <f t="shared" ref="M14:M22" si="2">M3*1000</f>
        <v>150000</v>
      </c>
      <c r="O14">
        <f>O3*1000</f>
        <v>122000</v>
      </c>
      <c r="Q14">
        <f>(M14+O14)/2</f>
        <v>136000</v>
      </c>
      <c r="U14">
        <f t="shared" ref="U14:U21" si="3">U3*1000</f>
        <v>155000</v>
      </c>
      <c r="W14">
        <f>W3*1000</f>
        <v>127000</v>
      </c>
      <c r="Y14">
        <f>(U14+W14)/2</f>
        <v>141000</v>
      </c>
    </row>
    <row r="15" spans="1:26" x14ac:dyDescent="0.55000000000000004">
      <c r="M15">
        <f t="shared" si="2"/>
        <v>5100000</v>
      </c>
      <c r="N15">
        <f>M14+M15*30</f>
        <v>153150000</v>
      </c>
      <c r="O15">
        <f t="shared" ref="O15:O21" si="4">O4*1000</f>
        <v>1600000</v>
      </c>
      <c r="P15">
        <f>O14+O15*30</f>
        <v>48122000</v>
      </c>
      <c r="Q15">
        <f t="shared" ref="Q15:Q23" si="5">(M15+O15)/2</f>
        <v>3350000</v>
      </c>
      <c r="U15">
        <f t="shared" si="3"/>
        <v>13300000</v>
      </c>
      <c r="V15">
        <f>U14+U15*30</f>
        <v>399155000</v>
      </c>
      <c r="W15">
        <f t="shared" ref="W15:W21" si="6">W4*1000</f>
        <v>11800000</v>
      </c>
      <c r="X15">
        <f>W14+W15*30</f>
        <v>354127000</v>
      </c>
      <c r="Y15">
        <f t="shared" ref="Y15:Y21" si="7">(U15+W15)/2</f>
        <v>12550000</v>
      </c>
    </row>
    <row r="16" spans="1:26" x14ac:dyDescent="0.55000000000000004">
      <c r="C16" t="s">
        <v>305</v>
      </c>
      <c r="E16" t="s">
        <v>319</v>
      </c>
      <c r="M16">
        <f t="shared" si="2"/>
        <v>22800000</v>
      </c>
      <c r="N16">
        <f t="shared" ref="N16:N22" si="8">M15+M16*30</f>
        <v>689100000</v>
      </c>
      <c r="O16">
        <f t="shared" si="4"/>
        <v>22000000</v>
      </c>
      <c r="P16">
        <f t="shared" ref="P16:P22" si="9">O15+O16*30</f>
        <v>661600000</v>
      </c>
      <c r="Q16">
        <f t="shared" si="5"/>
        <v>22400000</v>
      </c>
      <c r="U16">
        <f t="shared" si="3"/>
        <v>17900000</v>
      </c>
      <c r="V16">
        <f t="shared" ref="V16:V21" si="10">U15+U16*30</f>
        <v>550300000</v>
      </c>
      <c r="W16">
        <f t="shared" si="6"/>
        <v>13500000</v>
      </c>
      <c r="X16">
        <f t="shared" ref="X16:X21" si="11">W15+W16*30</f>
        <v>416800000</v>
      </c>
      <c r="Y16">
        <f t="shared" si="7"/>
        <v>15700000</v>
      </c>
    </row>
    <row r="17" spans="3:25" x14ac:dyDescent="0.55000000000000004">
      <c r="C17">
        <v>166</v>
      </c>
      <c r="E17">
        <v>136</v>
      </c>
      <c r="F17" s="120">
        <v>6.5972222222222224E-2</v>
      </c>
      <c r="H17" t="s">
        <v>328</v>
      </c>
      <c r="M17">
        <f t="shared" si="2"/>
        <v>6500000</v>
      </c>
      <c r="N17">
        <f t="shared" si="8"/>
        <v>217800000</v>
      </c>
      <c r="O17">
        <f t="shared" si="4"/>
        <v>10300000</v>
      </c>
      <c r="P17">
        <f t="shared" si="9"/>
        <v>331000000</v>
      </c>
      <c r="Q17">
        <f t="shared" si="5"/>
        <v>8400000</v>
      </c>
      <c r="U17">
        <f t="shared" si="3"/>
        <v>9400000</v>
      </c>
      <c r="V17">
        <f t="shared" si="10"/>
        <v>299900000</v>
      </c>
      <c r="W17">
        <f t="shared" si="6"/>
        <v>15700000</v>
      </c>
      <c r="X17">
        <f t="shared" si="11"/>
        <v>484500000</v>
      </c>
      <c r="Y17">
        <f t="shared" si="7"/>
        <v>12550000</v>
      </c>
    </row>
    <row r="18" spans="3:25" x14ac:dyDescent="0.55000000000000004">
      <c r="C18">
        <v>9500</v>
      </c>
      <c r="E18">
        <v>1100</v>
      </c>
      <c r="M18">
        <f t="shared" si="2"/>
        <v>6300000</v>
      </c>
      <c r="N18">
        <f t="shared" si="8"/>
        <v>195500000</v>
      </c>
      <c r="O18">
        <f t="shared" si="4"/>
        <v>6700000</v>
      </c>
      <c r="P18">
        <f t="shared" si="9"/>
        <v>211300000</v>
      </c>
      <c r="Q18">
        <f t="shared" si="5"/>
        <v>6500000</v>
      </c>
      <c r="U18">
        <f t="shared" si="3"/>
        <v>11100000</v>
      </c>
      <c r="V18">
        <f t="shared" si="10"/>
        <v>342400000</v>
      </c>
      <c r="W18">
        <f t="shared" si="6"/>
        <v>4900000</v>
      </c>
      <c r="X18">
        <f t="shared" si="11"/>
        <v>162700000</v>
      </c>
      <c r="Y18">
        <f t="shared" si="7"/>
        <v>8000000</v>
      </c>
    </row>
    <row r="19" spans="3:25" x14ac:dyDescent="0.55000000000000004">
      <c r="C19">
        <v>19900</v>
      </c>
      <c r="E19">
        <v>21500</v>
      </c>
      <c r="M19">
        <f t="shared" si="2"/>
        <v>22700000</v>
      </c>
      <c r="N19">
        <f t="shared" si="8"/>
        <v>687300000</v>
      </c>
      <c r="O19">
        <f t="shared" si="4"/>
        <v>22500000</v>
      </c>
      <c r="P19">
        <f t="shared" si="9"/>
        <v>681700000</v>
      </c>
      <c r="Q19">
        <f t="shared" si="5"/>
        <v>22600000</v>
      </c>
      <c r="U19">
        <f t="shared" si="3"/>
        <v>26000000</v>
      </c>
      <c r="V19">
        <f t="shared" si="10"/>
        <v>791100000</v>
      </c>
      <c r="W19">
        <f t="shared" si="6"/>
        <v>28800000</v>
      </c>
      <c r="X19">
        <f t="shared" si="11"/>
        <v>868900000</v>
      </c>
      <c r="Y19">
        <f t="shared" si="7"/>
        <v>27400000</v>
      </c>
    </row>
    <row r="20" spans="3:25" x14ac:dyDescent="0.55000000000000004">
      <c r="C20">
        <v>6600</v>
      </c>
      <c r="E20">
        <v>13600</v>
      </c>
      <c r="M20">
        <f t="shared" si="2"/>
        <v>12300000</v>
      </c>
      <c r="N20">
        <f t="shared" si="8"/>
        <v>391700000</v>
      </c>
      <c r="O20">
        <f t="shared" si="4"/>
        <v>10800000</v>
      </c>
      <c r="P20">
        <f t="shared" si="9"/>
        <v>346500000</v>
      </c>
      <c r="Q20">
        <f t="shared" si="5"/>
        <v>11550000</v>
      </c>
      <c r="U20">
        <f t="shared" si="3"/>
        <v>3200000</v>
      </c>
      <c r="V20">
        <f t="shared" si="10"/>
        <v>122000000</v>
      </c>
      <c r="W20">
        <f t="shared" si="6"/>
        <v>3500000</v>
      </c>
      <c r="X20">
        <f t="shared" si="11"/>
        <v>133800000</v>
      </c>
      <c r="Y20">
        <f t="shared" si="7"/>
        <v>3350000</v>
      </c>
    </row>
    <row r="21" spans="3:25" x14ac:dyDescent="0.55000000000000004">
      <c r="C21">
        <v>4700</v>
      </c>
      <c r="E21">
        <v>1800</v>
      </c>
      <c r="M21">
        <f t="shared" si="2"/>
        <v>162000</v>
      </c>
      <c r="N21">
        <f t="shared" si="8"/>
        <v>17160000</v>
      </c>
      <c r="O21">
        <f t="shared" si="4"/>
        <v>131000</v>
      </c>
      <c r="P21">
        <f t="shared" si="9"/>
        <v>14730000</v>
      </c>
      <c r="Q21">
        <f t="shared" si="5"/>
        <v>146500</v>
      </c>
      <c r="U21">
        <f t="shared" si="3"/>
        <v>167000</v>
      </c>
      <c r="V21">
        <f t="shared" si="10"/>
        <v>8210000</v>
      </c>
      <c r="W21">
        <f t="shared" si="6"/>
        <v>136000</v>
      </c>
      <c r="X21">
        <f t="shared" si="11"/>
        <v>7580000</v>
      </c>
      <c r="Y21">
        <f t="shared" si="7"/>
        <v>151500</v>
      </c>
    </row>
    <row r="22" spans="3:25" x14ac:dyDescent="0.55000000000000004">
      <c r="M22">
        <f t="shared" si="2"/>
        <v>151000</v>
      </c>
      <c r="N22">
        <f t="shared" si="8"/>
        <v>4692000</v>
      </c>
      <c r="O22">
        <f>O11*1000</f>
        <v>122000</v>
      </c>
      <c r="P22">
        <f t="shared" si="9"/>
        <v>3791000</v>
      </c>
      <c r="Q22">
        <f t="shared" si="5"/>
        <v>136500</v>
      </c>
    </row>
    <row r="23" spans="3:25" ht="14.7" thickBot="1" x14ac:dyDescent="0.6">
      <c r="N23">
        <f>SUM(N15:N22)</f>
        <v>2356402000</v>
      </c>
      <c r="P23">
        <f>SUM(P15:P22)</f>
        <v>2298743000</v>
      </c>
      <c r="Q23">
        <f t="shared" si="5"/>
        <v>0</v>
      </c>
      <c r="V23">
        <f>SUM(V15:V22)</f>
        <v>2513065000</v>
      </c>
      <c r="X23">
        <f>SUM(X15:X22)</f>
        <v>2428407000</v>
      </c>
    </row>
    <row r="24" spans="3:25" ht="14.7" thickBot="1" x14ac:dyDescent="0.6">
      <c r="M24" s="82" t="s">
        <v>309</v>
      </c>
      <c r="N24" s="3">
        <f>N23*0.000001</f>
        <v>2356.402</v>
      </c>
      <c r="P24" s="3">
        <f>P23*0.000001</f>
        <v>2298.7429999999999</v>
      </c>
      <c r="U24" s="82" t="s">
        <v>309</v>
      </c>
      <c r="V24" s="3">
        <f>V23*0.000001</f>
        <v>2513.0650000000001</v>
      </c>
      <c r="X24" s="3">
        <f>X23*0.000001</f>
        <v>2428.4069999999997</v>
      </c>
    </row>
    <row r="25" spans="3:25" x14ac:dyDescent="0.55000000000000004">
      <c r="M25" t="s">
        <v>310</v>
      </c>
      <c r="N25">
        <f>N24+P24</f>
        <v>4655.1450000000004</v>
      </c>
      <c r="U25" t="s">
        <v>310</v>
      </c>
      <c r="V25">
        <f>V24+X24</f>
        <v>4941.4719999999998</v>
      </c>
    </row>
    <row r="26" spans="3:25" ht="14.7" thickBot="1" x14ac:dyDescent="0.6">
      <c r="C26">
        <f t="shared" ref="C26:C31" si="12">C17*1000</f>
        <v>166000</v>
      </c>
      <c r="E26">
        <f t="shared" ref="E26:E31" si="13">E17*1000</f>
        <v>136000</v>
      </c>
      <c r="M26" s="116" t="s">
        <v>311</v>
      </c>
      <c r="N26">
        <f>(N25+P25)/2</f>
        <v>2327.5725000000002</v>
      </c>
      <c r="U26" s="116" t="s">
        <v>311</v>
      </c>
      <c r="V26">
        <f>(V25+X25)/2</f>
        <v>2470.7359999999999</v>
      </c>
    </row>
    <row r="27" spans="3:25" ht="14.7" thickBot="1" x14ac:dyDescent="0.6">
      <c r="C27">
        <f t="shared" si="12"/>
        <v>9500000</v>
      </c>
      <c r="D27">
        <f>C26+C27*30</f>
        <v>285166000</v>
      </c>
      <c r="E27">
        <f t="shared" si="13"/>
        <v>1100000</v>
      </c>
      <c r="F27">
        <f>E26+E27*30</f>
        <v>33136000</v>
      </c>
      <c r="G27">
        <f>(C27+E27)/2</f>
        <v>5300000</v>
      </c>
      <c r="M27" s="82"/>
      <c r="N27" s="3"/>
      <c r="P27" s="3" t="s">
        <v>339</v>
      </c>
      <c r="Q27" s="85">
        <v>24574</v>
      </c>
    </row>
    <row r="28" spans="3:25" x14ac:dyDescent="0.55000000000000004">
      <c r="C28">
        <f t="shared" si="12"/>
        <v>19900000</v>
      </c>
      <c r="D28">
        <f>C27+C28*30</f>
        <v>606500000</v>
      </c>
      <c r="E28">
        <f t="shared" si="13"/>
        <v>21500000</v>
      </c>
      <c r="F28">
        <f>E27+E28*30</f>
        <v>646100000</v>
      </c>
      <c r="G28">
        <f t="shared" ref="G28:G31" si="14">(C28+E28)/2</f>
        <v>20700000</v>
      </c>
      <c r="P28" t="s">
        <v>340</v>
      </c>
      <c r="Q28" s="85"/>
    </row>
    <row r="29" spans="3:25" x14ac:dyDescent="0.55000000000000004">
      <c r="C29">
        <f t="shared" si="12"/>
        <v>6600000</v>
      </c>
      <c r="D29">
        <f>C28+C29*30</f>
        <v>217900000</v>
      </c>
      <c r="E29">
        <f t="shared" si="13"/>
        <v>13600000</v>
      </c>
      <c r="F29">
        <f>E28+E29*30</f>
        <v>429500000</v>
      </c>
      <c r="G29">
        <f t="shared" si="14"/>
        <v>10100000</v>
      </c>
      <c r="K29" s="122"/>
      <c r="L29" s="122" t="s">
        <v>331</v>
      </c>
      <c r="M29" s="123"/>
      <c r="N29" s="122" t="s">
        <v>337</v>
      </c>
      <c r="O29" t="s">
        <v>71</v>
      </c>
      <c r="P29">
        <v>1</v>
      </c>
      <c r="Q29" s="85">
        <v>3189</v>
      </c>
    </row>
    <row r="30" spans="3:25" x14ac:dyDescent="0.55000000000000004">
      <c r="C30">
        <f t="shared" si="12"/>
        <v>4700000</v>
      </c>
      <c r="D30">
        <f>C29+C30*30</f>
        <v>147600000</v>
      </c>
      <c r="E30">
        <f t="shared" si="13"/>
        <v>1800000</v>
      </c>
      <c r="F30">
        <f>E29+E30*30</f>
        <v>67600000</v>
      </c>
      <c r="G30">
        <f>(C30+E30)/2</f>
        <v>3250000</v>
      </c>
      <c r="K30" s="122"/>
      <c r="L30" s="122"/>
      <c r="M30" s="122"/>
      <c r="N30" s="122"/>
      <c r="P30">
        <v>2</v>
      </c>
      <c r="Q30" s="85">
        <v>4061</v>
      </c>
    </row>
    <row r="31" spans="3:25" x14ac:dyDescent="0.55000000000000004">
      <c r="C31">
        <f t="shared" si="12"/>
        <v>0</v>
      </c>
      <c r="D31">
        <f>C30+C31*30</f>
        <v>4700000</v>
      </c>
      <c r="E31">
        <f t="shared" si="13"/>
        <v>0</v>
      </c>
      <c r="F31">
        <f>E30+E31*30</f>
        <v>1800000</v>
      </c>
      <c r="G31">
        <f t="shared" si="14"/>
        <v>0</v>
      </c>
      <c r="K31" s="122" t="s">
        <v>332</v>
      </c>
      <c r="L31" s="122">
        <v>546</v>
      </c>
      <c r="M31" s="122"/>
      <c r="N31" s="122">
        <v>548</v>
      </c>
      <c r="O31">
        <v>90</v>
      </c>
      <c r="P31">
        <v>3</v>
      </c>
      <c r="Q31" s="85">
        <v>4832</v>
      </c>
    </row>
    <row r="32" spans="3:25" ht="14.7" thickBot="1" x14ac:dyDescent="0.6">
      <c r="D32">
        <f>SUM(D27:D31)</f>
        <v>1261866000</v>
      </c>
      <c r="F32">
        <f>SUM(F27:F31)</f>
        <v>1178136000</v>
      </c>
      <c r="K32" s="122" t="s">
        <v>333</v>
      </c>
      <c r="L32" s="122">
        <f>D35-D13</f>
        <v>673.85149999999999</v>
      </c>
      <c r="M32" s="122"/>
      <c r="N32" s="122"/>
      <c r="P32">
        <v>4</v>
      </c>
      <c r="Q32" s="85">
        <v>5318</v>
      </c>
    </row>
    <row r="33" spans="1:27" ht="14.7" thickBot="1" x14ac:dyDescent="0.6">
      <c r="C33" s="82" t="s">
        <v>309</v>
      </c>
      <c r="D33" s="3">
        <f>D32*0.000001</f>
        <v>1261.866</v>
      </c>
      <c r="F33" s="3">
        <f>F32*0.000001</f>
        <v>1178.136</v>
      </c>
      <c r="K33" s="122" t="s">
        <v>334</v>
      </c>
      <c r="L33" s="122">
        <f>N26-D35</f>
        <v>1107.5715000000002</v>
      </c>
      <c r="M33" s="122"/>
      <c r="N33" s="122">
        <f>N62-C53</f>
        <v>1558.0350000000001</v>
      </c>
      <c r="O33">
        <f>508-90</f>
        <v>418</v>
      </c>
      <c r="P33">
        <v>5</v>
      </c>
      <c r="Q33" s="85">
        <v>3883</v>
      </c>
    </row>
    <row r="34" spans="1:27" x14ac:dyDescent="0.55000000000000004">
      <c r="C34" t="s">
        <v>310</v>
      </c>
      <c r="D34">
        <f>D33+F33</f>
        <v>2440.002</v>
      </c>
      <c r="K34" s="122" t="s">
        <v>335</v>
      </c>
      <c r="L34" s="122">
        <f>V26-N26</f>
        <v>143.16349999999966</v>
      </c>
      <c r="M34" s="122"/>
      <c r="N34" s="122">
        <f>V64-N62</f>
        <v>61.221999999999753</v>
      </c>
      <c r="O34">
        <f>605-508</f>
        <v>97</v>
      </c>
      <c r="P34">
        <v>6</v>
      </c>
      <c r="Q34" s="85">
        <v>2668</v>
      </c>
    </row>
    <row r="35" spans="1:27" x14ac:dyDescent="0.55000000000000004">
      <c r="C35" s="116" t="s">
        <v>311</v>
      </c>
      <c r="D35">
        <f>(D34+F34)/2</f>
        <v>1220.001</v>
      </c>
      <c r="K35" s="122" t="s">
        <v>336</v>
      </c>
      <c r="L35" s="122">
        <f>SUM(L31:L34)</f>
        <v>2470.5864999999999</v>
      </c>
      <c r="M35" s="122">
        <f t="shared" ref="M35:N35" si="15">SUM(M31:M34)</f>
        <v>0</v>
      </c>
      <c r="N35" s="122">
        <f t="shared" si="15"/>
        <v>2167.2569999999996</v>
      </c>
      <c r="P35">
        <v>7</v>
      </c>
      <c r="Q35" s="85">
        <v>545</v>
      </c>
    </row>
    <row r="36" spans="1:27" x14ac:dyDescent="0.55000000000000004">
      <c r="A36" s="121"/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>
        <v>8</v>
      </c>
      <c r="Q36" s="85">
        <v>64</v>
      </c>
      <c r="R36" s="121"/>
      <c r="S36" s="121"/>
      <c r="T36" s="121"/>
      <c r="U36" s="121"/>
      <c r="V36" s="121"/>
      <c r="W36" s="121"/>
      <c r="X36" s="121"/>
      <c r="Y36" s="121"/>
      <c r="Z36" s="121"/>
      <c r="AA36" s="121"/>
    </row>
    <row r="37" spans="1:27" x14ac:dyDescent="0.55000000000000004">
      <c r="P37">
        <v>9</v>
      </c>
      <c r="Q37" s="85">
        <v>12</v>
      </c>
    </row>
    <row r="38" spans="1:27" x14ac:dyDescent="0.55000000000000004">
      <c r="B38" t="s">
        <v>337</v>
      </c>
      <c r="M38" t="s">
        <v>305</v>
      </c>
      <c r="O38" t="s">
        <v>319</v>
      </c>
      <c r="Q38" s="85"/>
    </row>
    <row r="39" spans="1:27" x14ac:dyDescent="0.55000000000000004">
      <c r="M39">
        <v>150</v>
      </c>
      <c r="O39">
        <v>122</v>
      </c>
      <c r="P39" s="120">
        <v>0.10833333333333334</v>
      </c>
      <c r="R39" t="s">
        <v>328</v>
      </c>
      <c r="U39" t="s">
        <v>305</v>
      </c>
      <c r="W39" t="s">
        <v>319</v>
      </c>
    </row>
    <row r="40" spans="1:27" x14ac:dyDescent="0.55000000000000004">
      <c r="B40" t="s">
        <v>305</v>
      </c>
      <c r="D40" t="s">
        <v>319</v>
      </c>
      <c r="M40">
        <v>13700</v>
      </c>
      <c r="O40">
        <v>13400</v>
      </c>
      <c r="U40">
        <v>158</v>
      </c>
      <c r="W40">
        <v>125</v>
      </c>
      <c r="X40" s="120">
        <v>0.13958333333333334</v>
      </c>
      <c r="Z40" t="s">
        <v>329</v>
      </c>
    </row>
    <row r="41" spans="1:27" x14ac:dyDescent="0.55000000000000004">
      <c r="B41">
        <v>148</v>
      </c>
      <c r="D41">
        <v>119</v>
      </c>
      <c r="E41" s="120">
        <v>0.10486111111111111</v>
      </c>
      <c r="G41" t="s">
        <v>327</v>
      </c>
      <c r="M41">
        <v>16800</v>
      </c>
      <c r="O41">
        <v>16700</v>
      </c>
      <c r="U41">
        <v>9900</v>
      </c>
      <c r="W41">
        <v>2100</v>
      </c>
    </row>
    <row r="42" spans="1:27" x14ac:dyDescent="0.55000000000000004">
      <c r="B42">
        <v>16000</v>
      </c>
      <c r="D42">
        <v>16800</v>
      </c>
      <c r="M42">
        <v>4600</v>
      </c>
      <c r="O42">
        <v>7800</v>
      </c>
      <c r="U42">
        <v>18200</v>
      </c>
      <c r="W42">
        <v>21400</v>
      </c>
    </row>
    <row r="43" spans="1:27" x14ac:dyDescent="0.55000000000000004">
      <c r="B43">
        <v>2100</v>
      </c>
      <c r="D43">
        <v>205</v>
      </c>
      <c r="M43">
        <v>16000</v>
      </c>
      <c r="O43">
        <v>16400</v>
      </c>
      <c r="U43">
        <v>5400</v>
      </c>
      <c r="W43">
        <v>5500</v>
      </c>
    </row>
    <row r="44" spans="1:27" x14ac:dyDescent="0.55000000000000004">
      <c r="B44">
        <v>158</v>
      </c>
      <c r="D44">
        <v>122</v>
      </c>
      <c r="M44">
        <v>4100</v>
      </c>
      <c r="O44">
        <v>9100</v>
      </c>
      <c r="U44">
        <v>14100</v>
      </c>
      <c r="W44">
        <v>12500</v>
      </c>
    </row>
    <row r="45" spans="1:27" x14ac:dyDescent="0.55000000000000004">
      <c r="M45">
        <v>7300</v>
      </c>
      <c r="O45">
        <v>6100</v>
      </c>
      <c r="U45">
        <v>5100</v>
      </c>
      <c r="W45">
        <v>13800</v>
      </c>
    </row>
    <row r="46" spans="1:27" x14ac:dyDescent="0.55000000000000004">
      <c r="B46">
        <f>B41*1000</f>
        <v>148000</v>
      </c>
      <c r="D46">
        <f>D41*1000</f>
        <v>119000</v>
      </c>
      <c r="M46">
        <v>2000</v>
      </c>
      <c r="O46">
        <v>1600</v>
      </c>
      <c r="P46" s="120"/>
      <c r="U46">
        <v>7900</v>
      </c>
      <c r="W46">
        <v>6300</v>
      </c>
    </row>
    <row r="47" spans="1:27" x14ac:dyDescent="0.55000000000000004">
      <c r="B47">
        <f t="shared" ref="B47" si="16">B42*1000</f>
        <v>16000000</v>
      </c>
      <c r="C47">
        <f>B46+B47*30</f>
        <v>480148000</v>
      </c>
      <c r="D47">
        <f t="shared" ref="D47" si="17">D42*1000</f>
        <v>16800000</v>
      </c>
      <c r="E47">
        <f>D46+D47*30</f>
        <v>504119000</v>
      </c>
      <c r="M47">
        <v>172</v>
      </c>
      <c r="O47">
        <v>132</v>
      </c>
      <c r="U47">
        <v>8200</v>
      </c>
      <c r="W47">
        <v>7900</v>
      </c>
      <c r="X47" s="120">
        <v>7.7777777777777779E-2</v>
      </c>
    </row>
    <row r="48" spans="1:27" x14ac:dyDescent="0.55000000000000004">
      <c r="B48">
        <f>B43*1000</f>
        <v>2100000</v>
      </c>
      <c r="C48">
        <f>B47+B48*30</f>
        <v>79000000</v>
      </c>
      <c r="D48">
        <f t="shared" ref="D48:D49" si="18">D43*1000</f>
        <v>205000</v>
      </c>
      <c r="E48">
        <f>D47+D48*30</f>
        <v>22950000</v>
      </c>
      <c r="U48">
        <v>521</v>
      </c>
      <c r="W48">
        <v>712</v>
      </c>
    </row>
    <row r="49" spans="2:24" x14ac:dyDescent="0.55000000000000004">
      <c r="B49">
        <f>B44*1000</f>
        <v>158000</v>
      </c>
      <c r="C49">
        <f>B48+B49*30</f>
        <v>6840000</v>
      </c>
      <c r="D49">
        <f t="shared" si="18"/>
        <v>122000</v>
      </c>
      <c r="E49">
        <f>D48+D49*30</f>
        <v>3865000</v>
      </c>
      <c r="U49">
        <v>173</v>
      </c>
      <c r="W49">
        <v>148</v>
      </c>
    </row>
    <row r="50" spans="2:24" ht="14.7" thickBot="1" x14ac:dyDescent="0.6">
      <c r="C50">
        <f>SUM(C47:C49)</f>
        <v>565988000</v>
      </c>
      <c r="E50">
        <f>SUM(E47:E49)</f>
        <v>530934000</v>
      </c>
      <c r="M50">
        <f t="shared" ref="M50:M58" si="19">M39*1000</f>
        <v>150000</v>
      </c>
      <c r="O50">
        <f>O39*1000</f>
        <v>122000</v>
      </c>
    </row>
    <row r="51" spans="2:24" ht="14.7" thickBot="1" x14ac:dyDescent="0.6">
      <c r="B51" s="82" t="s">
        <v>309</v>
      </c>
      <c r="C51" s="3">
        <f>C50*0.000001</f>
        <v>565.98799999999994</v>
      </c>
      <c r="E51" s="3">
        <f>E50*0.000001</f>
        <v>530.93399999999997</v>
      </c>
      <c r="M51">
        <f t="shared" si="19"/>
        <v>13700000</v>
      </c>
      <c r="N51">
        <f>M50+M51*30</f>
        <v>411150000</v>
      </c>
      <c r="O51">
        <f t="shared" ref="O51:O57" si="20">O40*1000</f>
        <v>13400000</v>
      </c>
      <c r="P51">
        <f>O50+O51*30</f>
        <v>402122000</v>
      </c>
      <c r="U51">
        <f t="shared" ref="U51:U60" si="21">U40*1000</f>
        <v>158000</v>
      </c>
      <c r="W51">
        <f>W40*1000</f>
        <v>125000</v>
      </c>
    </row>
    <row r="52" spans="2:24" x14ac:dyDescent="0.55000000000000004">
      <c r="B52" t="s">
        <v>310</v>
      </c>
      <c r="C52">
        <f>C51+E51</f>
        <v>1096.922</v>
      </c>
      <c r="M52">
        <f t="shared" si="19"/>
        <v>16800000</v>
      </c>
      <c r="N52">
        <f t="shared" ref="N52:N58" si="22">M51+M52*30</f>
        <v>517700000</v>
      </c>
      <c r="O52">
        <f t="shared" si="20"/>
        <v>16700000</v>
      </c>
      <c r="P52">
        <f t="shared" ref="P52:P58" si="23">O51+O52*30</f>
        <v>514400000</v>
      </c>
      <c r="U52">
        <f t="shared" si="21"/>
        <v>9900000</v>
      </c>
      <c r="V52">
        <f>U51+U52*30</f>
        <v>297158000</v>
      </c>
      <c r="W52">
        <f t="shared" ref="W52:W60" si="24">W41*1000</f>
        <v>2100000</v>
      </c>
      <c r="X52">
        <f>W51+W52*30</f>
        <v>63125000</v>
      </c>
    </row>
    <row r="53" spans="2:24" x14ac:dyDescent="0.55000000000000004">
      <c r="B53" s="116" t="s">
        <v>311</v>
      </c>
      <c r="C53">
        <f>(C52+E52)/2</f>
        <v>548.46100000000001</v>
      </c>
      <c r="M53">
        <f t="shared" si="19"/>
        <v>4600000</v>
      </c>
      <c r="N53">
        <f t="shared" si="22"/>
        <v>154800000</v>
      </c>
      <c r="O53">
        <f t="shared" si="20"/>
        <v>7800000</v>
      </c>
      <c r="P53">
        <f t="shared" si="23"/>
        <v>250700000</v>
      </c>
      <c r="U53">
        <f t="shared" si="21"/>
        <v>18200000</v>
      </c>
      <c r="V53">
        <f t="shared" ref="V53:V60" si="25">U52+U53*30</f>
        <v>555900000</v>
      </c>
      <c r="W53">
        <f t="shared" si="24"/>
        <v>21400000</v>
      </c>
      <c r="X53">
        <f t="shared" ref="X53:X60" si="26">W52+W53*30</f>
        <v>644100000</v>
      </c>
    </row>
    <row r="54" spans="2:24" x14ac:dyDescent="0.55000000000000004">
      <c r="M54">
        <f t="shared" si="19"/>
        <v>16000000</v>
      </c>
      <c r="N54">
        <f t="shared" si="22"/>
        <v>484600000</v>
      </c>
      <c r="O54">
        <f t="shared" si="20"/>
        <v>16400000</v>
      </c>
      <c r="P54">
        <f t="shared" si="23"/>
        <v>499800000</v>
      </c>
      <c r="U54">
        <f t="shared" si="21"/>
        <v>5400000</v>
      </c>
      <c r="V54">
        <f t="shared" si="25"/>
        <v>180200000</v>
      </c>
      <c r="W54">
        <f t="shared" si="24"/>
        <v>5500000</v>
      </c>
      <c r="X54">
        <f t="shared" si="26"/>
        <v>186400000</v>
      </c>
    </row>
    <row r="55" spans="2:24" x14ac:dyDescent="0.55000000000000004">
      <c r="M55">
        <f t="shared" si="19"/>
        <v>4100000</v>
      </c>
      <c r="N55">
        <f t="shared" si="22"/>
        <v>139000000</v>
      </c>
      <c r="O55">
        <f t="shared" si="20"/>
        <v>9100000</v>
      </c>
      <c r="P55">
        <f t="shared" si="23"/>
        <v>289400000</v>
      </c>
      <c r="U55">
        <f t="shared" si="21"/>
        <v>14100000</v>
      </c>
      <c r="V55">
        <f t="shared" si="25"/>
        <v>428400000</v>
      </c>
      <c r="W55">
        <f t="shared" si="24"/>
        <v>12500000</v>
      </c>
      <c r="X55">
        <f t="shared" si="26"/>
        <v>380500000</v>
      </c>
    </row>
    <row r="56" spans="2:24" x14ac:dyDescent="0.55000000000000004">
      <c r="M56">
        <f t="shared" si="19"/>
        <v>7300000</v>
      </c>
      <c r="N56">
        <f t="shared" si="22"/>
        <v>223100000</v>
      </c>
      <c r="O56">
        <f t="shared" si="20"/>
        <v>6100000</v>
      </c>
      <c r="P56">
        <f t="shared" si="23"/>
        <v>192100000</v>
      </c>
      <c r="U56">
        <f t="shared" si="21"/>
        <v>5100000</v>
      </c>
      <c r="V56">
        <f t="shared" si="25"/>
        <v>167100000</v>
      </c>
      <c r="W56">
        <f t="shared" si="24"/>
        <v>13800000</v>
      </c>
      <c r="X56">
        <f t="shared" si="26"/>
        <v>426500000</v>
      </c>
    </row>
    <row r="57" spans="2:24" x14ac:dyDescent="0.55000000000000004">
      <c r="M57">
        <f t="shared" si="19"/>
        <v>2000000</v>
      </c>
      <c r="N57">
        <f t="shared" si="22"/>
        <v>67300000</v>
      </c>
      <c r="O57">
        <f t="shared" si="20"/>
        <v>1600000</v>
      </c>
      <c r="P57">
        <f t="shared" si="23"/>
        <v>54100000</v>
      </c>
      <c r="U57">
        <f t="shared" si="21"/>
        <v>7900000</v>
      </c>
      <c r="V57">
        <f t="shared" si="25"/>
        <v>242100000</v>
      </c>
      <c r="W57">
        <f t="shared" si="24"/>
        <v>6300000</v>
      </c>
      <c r="X57">
        <f t="shared" si="26"/>
        <v>202800000</v>
      </c>
    </row>
    <row r="58" spans="2:24" x14ac:dyDescent="0.55000000000000004">
      <c r="M58">
        <f t="shared" si="19"/>
        <v>172000</v>
      </c>
      <c r="N58">
        <f t="shared" si="22"/>
        <v>7160000</v>
      </c>
      <c r="O58">
        <f>O47*1000</f>
        <v>132000</v>
      </c>
      <c r="P58">
        <f t="shared" si="23"/>
        <v>5560000</v>
      </c>
      <c r="U58">
        <f t="shared" si="21"/>
        <v>8200000</v>
      </c>
      <c r="V58">
        <f t="shared" si="25"/>
        <v>253900000</v>
      </c>
      <c r="W58">
        <f t="shared" si="24"/>
        <v>7900000</v>
      </c>
      <c r="X58">
        <f t="shared" si="26"/>
        <v>243300000</v>
      </c>
    </row>
    <row r="59" spans="2:24" ht="14.7" thickBot="1" x14ac:dyDescent="0.6">
      <c r="N59">
        <f>SUM(N51:N58)</f>
        <v>2004810000</v>
      </c>
      <c r="P59">
        <f>SUM(P51:P58)</f>
        <v>2208182000</v>
      </c>
      <c r="U59">
        <f t="shared" si="21"/>
        <v>521000</v>
      </c>
      <c r="V59">
        <f t="shared" si="25"/>
        <v>23830000</v>
      </c>
      <c r="W59">
        <f t="shared" si="24"/>
        <v>712000</v>
      </c>
      <c r="X59">
        <f t="shared" si="26"/>
        <v>29260000</v>
      </c>
    </row>
    <row r="60" spans="2:24" ht="14.7" thickBot="1" x14ac:dyDescent="0.6">
      <c r="M60" s="82" t="s">
        <v>309</v>
      </c>
      <c r="N60" s="3">
        <f>N59*0.000001</f>
        <v>2004.81</v>
      </c>
      <c r="P60" s="3">
        <f>P59*0.000001</f>
        <v>2208.1819999999998</v>
      </c>
      <c r="U60">
        <f t="shared" si="21"/>
        <v>173000</v>
      </c>
      <c r="V60">
        <f t="shared" si="25"/>
        <v>5711000</v>
      </c>
      <c r="W60">
        <f t="shared" si="24"/>
        <v>148000</v>
      </c>
      <c r="X60">
        <f t="shared" si="26"/>
        <v>5152000</v>
      </c>
    </row>
    <row r="61" spans="2:24" ht="14.7" thickBot="1" x14ac:dyDescent="0.6">
      <c r="M61" t="s">
        <v>310</v>
      </c>
      <c r="N61">
        <f>N60+P60</f>
        <v>4212.9920000000002</v>
      </c>
      <c r="V61">
        <f>SUM(V52:V60)</f>
        <v>2154299000</v>
      </c>
      <c r="X61">
        <f>SUM(X52:X60)</f>
        <v>2181137000</v>
      </c>
    </row>
    <row r="62" spans="2:24" ht="14.7" thickBot="1" x14ac:dyDescent="0.6">
      <c r="M62" s="116" t="s">
        <v>311</v>
      </c>
      <c r="N62">
        <f>(N61+P61)/2</f>
        <v>2106.4960000000001</v>
      </c>
      <c r="U62" s="82" t="s">
        <v>309</v>
      </c>
      <c r="V62" s="3">
        <f>V61*0.000001</f>
        <v>2154.299</v>
      </c>
      <c r="X62" s="3">
        <f>X61*0.000001</f>
        <v>2181.1369999999997</v>
      </c>
    </row>
    <row r="63" spans="2:24" x14ac:dyDescent="0.55000000000000004">
      <c r="U63" t="s">
        <v>310</v>
      </c>
      <c r="V63">
        <f>V62+X62</f>
        <v>4335.4359999999997</v>
      </c>
    </row>
    <row r="64" spans="2:24" x14ac:dyDescent="0.55000000000000004">
      <c r="U64" s="116" t="s">
        <v>311</v>
      </c>
      <c r="V64">
        <f>(V63+X63)/2</f>
        <v>2167.7179999999998</v>
      </c>
    </row>
    <row r="68" spans="1:27" x14ac:dyDescent="0.55000000000000004">
      <c r="A68" s="121"/>
      <c r="B68" s="121"/>
      <c r="C68" s="121"/>
      <c r="D68" s="121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Q68" s="85"/>
      <c r="R68" s="121"/>
      <c r="S68" s="121"/>
      <c r="T68" s="121"/>
      <c r="U68" s="121"/>
      <c r="V68" s="121"/>
      <c r="W68" s="121"/>
      <c r="X68" s="121"/>
      <c r="Y68" s="121"/>
      <c r="Z68" s="121"/>
      <c r="AA68" s="121"/>
    </row>
    <row r="70" spans="1:27" x14ac:dyDescent="0.55000000000000004">
      <c r="A70" t="s">
        <v>71</v>
      </c>
      <c r="C70" t="s">
        <v>341</v>
      </c>
    </row>
    <row r="72" spans="1:27" x14ac:dyDescent="0.55000000000000004">
      <c r="B72" t="s">
        <v>305</v>
      </c>
      <c r="D72" t="s">
        <v>319</v>
      </c>
      <c r="J72" t="s">
        <v>305</v>
      </c>
      <c r="L72" t="s">
        <v>319</v>
      </c>
      <c r="S72" t="s">
        <v>305</v>
      </c>
      <c r="U72" t="s">
        <v>319</v>
      </c>
    </row>
    <row r="73" spans="1:27" x14ac:dyDescent="0.55000000000000004">
      <c r="B73">
        <v>142</v>
      </c>
      <c r="D73">
        <v>121</v>
      </c>
      <c r="E73" s="120">
        <v>0.43263888888888885</v>
      </c>
      <c r="G73" t="s">
        <v>327</v>
      </c>
      <c r="J73">
        <v>161</v>
      </c>
      <c r="L73">
        <v>134</v>
      </c>
      <c r="M73" s="120">
        <v>0.4381944444444445</v>
      </c>
      <c r="O73" t="s">
        <v>328</v>
      </c>
      <c r="S73">
        <v>160</v>
      </c>
      <c r="U73">
        <v>133</v>
      </c>
      <c r="V73" s="120">
        <v>0.4548611111111111</v>
      </c>
      <c r="X73" t="s">
        <v>329</v>
      </c>
    </row>
    <row r="74" spans="1:27" x14ac:dyDescent="0.55000000000000004">
      <c r="B74">
        <v>1800</v>
      </c>
      <c r="D74">
        <v>2900</v>
      </c>
      <c r="J74">
        <v>4200</v>
      </c>
      <c r="L74">
        <v>6100</v>
      </c>
      <c r="S74">
        <v>4200</v>
      </c>
      <c r="U74">
        <v>4900</v>
      </c>
    </row>
    <row r="75" spans="1:27" x14ac:dyDescent="0.55000000000000004">
      <c r="B75">
        <v>2600</v>
      </c>
      <c r="D75">
        <v>2200</v>
      </c>
      <c r="J75">
        <v>721</v>
      </c>
      <c r="L75">
        <v>1500</v>
      </c>
      <c r="S75">
        <v>1100</v>
      </c>
      <c r="U75">
        <v>1400</v>
      </c>
    </row>
    <row r="76" spans="1:27" x14ac:dyDescent="0.55000000000000004">
      <c r="B76">
        <v>321</v>
      </c>
      <c r="D76">
        <v>287</v>
      </c>
      <c r="J76">
        <v>3800</v>
      </c>
      <c r="L76">
        <v>3800</v>
      </c>
      <c r="S76">
        <v>3500</v>
      </c>
      <c r="U76">
        <v>3800</v>
      </c>
    </row>
    <row r="77" spans="1:27" x14ac:dyDescent="0.55000000000000004">
      <c r="B77">
        <v>168</v>
      </c>
      <c r="D77">
        <v>136</v>
      </c>
      <c r="J77">
        <v>3300</v>
      </c>
      <c r="L77">
        <v>3400</v>
      </c>
      <c r="S77">
        <v>3400</v>
      </c>
      <c r="U77">
        <v>3300</v>
      </c>
    </row>
    <row r="78" spans="1:27" x14ac:dyDescent="0.55000000000000004">
      <c r="J78">
        <v>1500</v>
      </c>
      <c r="L78">
        <v>1600</v>
      </c>
      <c r="S78">
        <v>1500</v>
      </c>
      <c r="U78">
        <v>1500</v>
      </c>
    </row>
    <row r="79" spans="1:27" x14ac:dyDescent="0.55000000000000004">
      <c r="B79">
        <f>B73*1000</f>
        <v>142000</v>
      </c>
      <c r="D79">
        <f>D73*1000</f>
        <v>121000</v>
      </c>
      <c r="F79">
        <f>(B79+D79)/2</f>
        <v>131500</v>
      </c>
      <c r="J79">
        <v>961</v>
      </c>
      <c r="L79">
        <v>1000</v>
      </c>
      <c r="S79">
        <v>978</v>
      </c>
      <c r="U79">
        <v>1100</v>
      </c>
    </row>
    <row r="80" spans="1:27" x14ac:dyDescent="0.55000000000000004">
      <c r="B80">
        <f>B74*1000</f>
        <v>1800000</v>
      </c>
      <c r="C80">
        <f>B79+B80*30</f>
        <v>54142000</v>
      </c>
      <c r="D80">
        <f>D74*1000</f>
        <v>2900000</v>
      </c>
      <c r="E80">
        <f>D79+D80*30</f>
        <v>87121000</v>
      </c>
      <c r="F80">
        <f>(B80+D80)/2</f>
        <v>2350000</v>
      </c>
      <c r="J80">
        <v>349</v>
      </c>
      <c r="L80">
        <v>305</v>
      </c>
      <c r="S80">
        <v>635</v>
      </c>
      <c r="U80">
        <v>1000</v>
      </c>
    </row>
    <row r="81" spans="2:23" x14ac:dyDescent="0.55000000000000004">
      <c r="B81">
        <f>B75*1000</f>
        <v>2600000</v>
      </c>
      <c r="C81">
        <f>B80+B81*30</f>
        <v>79800000</v>
      </c>
      <c r="D81">
        <f>D75*1000</f>
        <v>2200000</v>
      </c>
      <c r="E81">
        <f>D80+D81*30</f>
        <v>68900000</v>
      </c>
      <c r="F81">
        <f t="shared" ref="F81:F82" si="27">(B81+D81)/2</f>
        <v>2400000</v>
      </c>
      <c r="J81">
        <v>149</v>
      </c>
      <c r="L81">
        <v>139</v>
      </c>
      <c r="S81">
        <v>3100</v>
      </c>
      <c r="U81">
        <v>3000</v>
      </c>
    </row>
    <row r="82" spans="2:23" x14ac:dyDescent="0.55000000000000004">
      <c r="B82">
        <f>B76*1000</f>
        <v>321000</v>
      </c>
      <c r="C82">
        <f>B81+B82*30</f>
        <v>12230000</v>
      </c>
      <c r="D82">
        <f>D76*1000</f>
        <v>287000</v>
      </c>
      <c r="E82">
        <f>D81+D82*30</f>
        <v>10810000</v>
      </c>
      <c r="F82">
        <f t="shared" si="27"/>
        <v>304000</v>
      </c>
      <c r="S82">
        <v>209</v>
      </c>
      <c r="U82">
        <v>160</v>
      </c>
    </row>
    <row r="83" spans="2:23" x14ac:dyDescent="0.55000000000000004">
      <c r="B83">
        <f>B77*1000</f>
        <v>168000</v>
      </c>
      <c r="C83">
        <f>B82+B83*30</f>
        <v>5361000</v>
      </c>
      <c r="D83">
        <f>D77*1000</f>
        <v>136000</v>
      </c>
      <c r="E83">
        <f>D82+D83*30</f>
        <v>4367000</v>
      </c>
      <c r="F83">
        <f>(B83+D83)/2</f>
        <v>152000</v>
      </c>
      <c r="S83">
        <v>166</v>
      </c>
      <c r="U83">
        <v>138</v>
      </c>
    </row>
    <row r="84" spans="2:23" ht="14.7" thickBot="1" x14ac:dyDescent="0.6">
      <c r="C84">
        <f>SUM(C81:C83)</f>
        <v>97391000</v>
      </c>
      <c r="E84">
        <f>SUM(E81:E83)</f>
        <v>84077000</v>
      </c>
      <c r="F84">
        <f>(B84+D84)/2</f>
        <v>0</v>
      </c>
    </row>
    <row r="85" spans="2:23" ht="14.7" thickBot="1" x14ac:dyDescent="0.6">
      <c r="B85" s="82" t="s">
        <v>309</v>
      </c>
      <c r="C85" s="3">
        <f>C84*0.000001</f>
        <v>97.390999999999991</v>
      </c>
      <c r="E85" s="3">
        <f>E84*0.000001</f>
        <v>84.076999999999998</v>
      </c>
    </row>
    <row r="86" spans="2:23" x14ac:dyDescent="0.55000000000000004">
      <c r="B86" t="s">
        <v>310</v>
      </c>
      <c r="C86">
        <f>C85+E85</f>
        <v>181.46799999999999</v>
      </c>
    </row>
    <row r="87" spans="2:23" x14ac:dyDescent="0.55000000000000004">
      <c r="B87" s="116" t="s">
        <v>311</v>
      </c>
      <c r="C87">
        <f>(C86+E86)/2</f>
        <v>90.733999999999995</v>
      </c>
    </row>
    <row r="89" spans="2:23" x14ac:dyDescent="0.55000000000000004">
      <c r="J89">
        <f>J73*1000</f>
        <v>161000</v>
      </c>
      <c r="L89">
        <f>L73*1000</f>
        <v>134000</v>
      </c>
      <c r="N89">
        <f>(J89+L89)/2</f>
        <v>147500</v>
      </c>
      <c r="S89">
        <f>S73*1000</f>
        <v>160000</v>
      </c>
      <c r="U89">
        <f>U73*1000</f>
        <v>133000</v>
      </c>
      <c r="W89">
        <f>(S89+U89)/2</f>
        <v>146500</v>
      </c>
    </row>
    <row r="90" spans="2:23" x14ac:dyDescent="0.55000000000000004">
      <c r="J90">
        <f>J74*1000</f>
        <v>4200000</v>
      </c>
      <c r="K90">
        <f>J89+J90*30</f>
        <v>126161000</v>
      </c>
      <c r="L90">
        <f>L74*1000</f>
        <v>6100000</v>
      </c>
      <c r="M90">
        <f>L89+L90*30</f>
        <v>183134000</v>
      </c>
      <c r="N90">
        <f>(J90+L90)/2</f>
        <v>5150000</v>
      </c>
      <c r="S90">
        <f>S74*1000</f>
        <v>4200000</v>
      </c>
      <c r="T90">
        <f>S89+S90*30</f>
        <v>126160000</v>
      </c>
      <c r="U90">
        <f>U74*1000</f>
        <v>4900000</v>
      </c>
      <c r="V90">
        <f>U89+U90*30</f>
        <v>147133000</v>
      </c>
      <c r="W90">
        <f>(S90+U90)/2</f>
        <v>4550000</v>
      </c>
    </row>
    <row r="91" spans="2:23" x14ac:dyDescent="0.55000000000000004">
      <c r="J91">
        <f>J75*1000</f>
        <v>721000</v>
      </c>
      <c r="K91">
        <f>J90+J91*30</f>
        <v>25830000</v>
      </c>
      <c r="L91">
        <f>L75*1000</f>
        <v>1500000</v>
      </c>
      <c r="M91">
        <f>L90+L91*30</f>
        <v>51100000</v>
      </c>
      <c r="N91">
        <f t="shared" ref="N91:N98" si="28">(J91+L91)/2</f>
        <v>1110500</v>
      </c>
      <c r="S91">
        <f>S75*1000</f>
        <v>1100000</v>
      </c>
      <c r="T91">
        <f>S90+S91*30</f>
        <v>37200000</v>
      </c>
      <c r="U91">
        <f>U75*1000</f>
        <v>1400000</v>
      </c>
      <c r="V91">
        <f>U90+U91*30</f>
        <v>46900000</v>
      </c>
      <c r="W91">
        <f t="shared" ref="W91:W97" si="29">(S91+U91)/2</f>
        <v>1250000</v>
      </c>
    </row>
    <row r="92" spans="2:23" x14ac:dyDescent="0.55000000000000004">
      <c r="J92">
        <f>J76*1000</f>
        <v>3800000</v>
      </c>
      <c r="K92">
        <f>J91+J92*30</f>
        <v>114721000</v>
      </c>
      <c r="L92">
        <f>L76*1000</f>
        <v>3800000</v>
      </c>
      <c r="M92">
        <f>L91+L92*30</f>
        <v>115500000</v>
      </c>
      <c r="N92">
        <f t="shared" si="28"/>
        <v>3800000</v>
      </c>
      <c r="S92">
        <f>S76*1000</f>
        <v>3500000</v>
      </c>
      <c r="T92">
        <f>S91+S92*30</f>
        <v>106100000</v>
      </c>
      <c r="U92">
        <f>U76*1000</f>
        <v>3800000</v>
      </c>
      <c r="V92">
        <f>U91+U92*30</f>
        <v>115400000</v>
      </c>
      <c r="W92">
        <f t="shared" si="29"/>
        <v>3650000</v>
      </c>
    </row>
    <row r="93" spans="2:23" x14ac:dyDescent="0.55000000000000004">
      <c r="J93">
        <f t="shared" ref="J93:J95" si="30">J77*1000</f>
        <v>3300000</v>
      </c>
      <c r="K93">
        <f t="shared" ref="K93:K97" si="31">J92+J93*30</f>
        <v>102800000</v>
      </c>
      <c r="L93">
        <f t="shared" ref="L93:L97" si="32">L77*1000</f>
        <v>3400000</v>
      </c>
      <c r="M93">
        <f t="shared" ref="M93:M97" si="33">L92+L93*30</f>
        <v>105800000</v>
      </c>
      <c r="N93">
        <f>(J93+L93)/2</f>
        <v>3350000</v>
      </c>
      <c r="S93">
        <f t="shared" ref="S93:S95" si="34">S77*1000</f>
        <v>3400000</v>
      </c>
      <c r="T93">
        <f t="shared" ref="T93:T99" si="35">S92+S93*30</f>
        <v>105500000</v>
      </c>
      <c r="U93">
        <f t="shared" ref="U93:U99" si="36">U77*1000</f>
        <v>3300000</v>
      </c>
      <c r="V93">
        <f t="shared" ref="V93:V99" si="37">U92+U93*30</f>
        <v>102800000</v>
      </c>
      <c r="W93">
        <f>(S93+U93)/2</f>
        <v>3350000</v>
      </c>
    </row>
    <row r="94" spans="2:23" x14ac:dyDescent="0.55000000000000004">
      <c r="J94">
        <f t="shared" si="30"/>
        <v>1500000</v>
      </c>
      <c r="K94">
        <f t="shared" si="31"/>
        <v>48300000</v>
      </c>
      <c r="L94">
        <f t="shared" si="32"/>
        <v>1600000</v>
      </c>
      <c r="M94">
        <f t="shared" si="33"/>
        <v>51400000</v>
      </c>
      <c r="N94">
        <f t="shared" ref="N94" si="38">(J94+L94)/2</f>
        <v>1550000</v>
      </c>
      <c r="S94">
        <f t="shared" si="34"/>
        <v>1500000</v>
      </c>
      <c r="T94">
        <f t="shared" si="35"/>
        <v>48400000</v>
      </c>
      <c r="U94">
        <f t="shared" si="36"/>
        <v>1500000</v>
      </c>
      <c r="V94">
        <f t="shared" si="37"/>
        <v>48300000</v>
      </c>
      <c r="W94">
        <f t="shared" ref="W94" si="39">(S94+U94)/2</f>
        <v>1500000</v>
      </c>
    </row>
    <row r="95" spans="2:23" x14ac:dyDescent="0.55000000000000004">
      <c r="J95">
        <f t="shared" si="30"/>
        <v>961000</v>
      </c>
      <c r="K95">
        <f t="shared" si="31"/>
        <v>30330000</v>
      </c>
      <c r="L95">
        <f t="shared" si="32"/>
        <v>1000000</v>
      </c>
      <c r="M95">
        <f t="shared" si="33"/>
        <v>31600000</v>
      </c>
      <c r="N95">
        <f t="shared" si="28"/>
        <v>980500</v>
      </c>
      <c r="S95">
        <f t="shared" si="34"/>
        <v>978000</v>
      </c>
      <c r="T95">
        <f t="shared" si="35"/>
        <v>30840000</v>
      </c>
      <c r="U95">
        <f t="shared" si="36"/>
        <v>1100000</v>
      </c>
      <c r="V95">
        <f t="shared" si="37"/>
        <v>34500000</v>
      </c>
      <c r="W95">
        <f t="shared" si="29"/>
        <v>1039000</v>
      </c>
    </row>
    <row r="96" spans="2:23" x14ac:dyDescent="0.55000000000000004">
      <c r="J96">
        <f>J80*1000</f>
        <v>349000</v>
      </c>
      <c r="K96">
        <f t="shared" si="31"/>
        <v>11431000</v>
      </c>
      <c r="L96">
        <f t="shared" si="32"/>
        <v>305000</v>
      </c>
      <c r="M96">
        <f t="shared" si="33"/>
        <v>10150000</v>
      </c>
      <c r="N96">
        <f t="shared" si="28"/>
        <v>327000</v>
      </c>
      <c r="S96">
        <f>S80*1000</f>
        <v>635000</v>
      </c>
      <c r="T96">
        <f t="shared" si="35"/>
        <v>20028000</v>
      </c>
      <c r="U96">
        <f t="shared" si="36"/>
        <v>1000000</v>
      </c>
      <c r="V96">
        <f t="shared" si="37"/>
        <v>31100000</v>
      </c>
      <c r="W96">
        <f t="shared" si="29"/>
        <v>817500</v>
      </c>
    </row>
    <row r="97" spans="1:27" x14ac:dyDescent="0.55000000000000004">
      <c r="J97">
        <f>J81*1000</f>
        <v>149000</v>
      </c>
      <c r="K97">
        <f t="shared" si="31"/>
        <v>4819000</v>
      </c>
      <c r="L97">
        <f t="shared" si="32"/>
        <v>139000</v>
      </c>
      <c r="M97">
        <f t="shared" si="33"/>
        <v>4475000</v>
      </c>
      <c r="N97">
        <f t="shared" si="28"/>
        <v>144000</v>
      </c>
      <c r="S97">
        <f>S81*1000</f>
        <v>3100000</v>
      </c>
      <c r="T97">
        <f t="shared" si="35"/>
        <v>93635000</v>
      </c>
      <c r="U97">
        <f t="shared" si="36"/>
        <v>3000000</v>
      </c>
      <c r="V97">
        <f t="shared" si="37"/>
        <v>91000000</v>
      </c>
      <c r="W97">
        <f t="shared" si="29"/>
        <v>3050000</v>
      </c>
    </row>
    <row r="98" spans="1:27" ht="14.7" thickBot="1" x14ac:dyDescent="0.6">
      <c r="K98">
        <f>SUM(K90:K97)</f>
        <v>464392000</v>
      </c>
      <c r="M98">
        <f>SUM(M90:M97)</f>
        <v>553159000</v>
      </c>
      <c r="N98">
        <f t="shared" si="28"/>
        <v>0</v>
      </c>
      <c r="S98">
        <f t="shared" ref="S98:S99" si="40">S82*1000</f>
        <v>209000</v>
      </c>
      <c r="T98">
        <f t="shared" si="35"/>
        <v>9370000</v>
      </c>
      <c r="U98">
        <f t="shared" si="36"/>
        <v>160000</v>
      </c>
      <c r="V98">
        <f t="shared" si="37"/>
        <v>7800000</v>
      </c>
      <c r="W98">
        <f>(S98+U98)/2</f>
        <v>184500</v>
      </c>
    </row>
    <row r="99" spans="1:27" ht="14.7" thickBot="1" x14ac:dyDescent="0.6">
      <c r="J99" s="82" t="s">
        <v>309</v>
      </c>
      <c r="K99" s="3">
        <f>K98*0.000001</f>
        <v>464.392</v>
      </c>
      <c r="M99" s="3">
        <f>M98*0.000001</f>
        <v>553.15899999999999</v>
      </c>
      <c r="S99">
        <f t="shared" si="40"/>
        <v>166000</v>
      </c>
      <c r="T99">
        <f t="shared" si="35"/>
        <v>5189000</v>
      </c>
      <c r="U99">
        <f t="shared" si="36"/>
        <v>138000</v>
      </c>
      <c r="V99">
        <f t="shared" si="37"/>
        <v>4300000</v>
      </c>
      <c r="W99">
        <f>(S99+U99)/2</f>
        <v>152000</v>
      </c>
    </row>
    <row r="100" spans="1:27" ht="14.7" thickBot="1" x14ac:dyDescent="0.6">
      <c r="J100" t="s">
        <v>310</v>
      </c>
      <c r="K100">
        <f>K99+M99</f>
        <v>1017.5509999999999</v>
      </c>
      <c r="T100">
        <f>SUM(T90:T99)</f>
        <v>582422000</v>
      </c>
      <c r="V100">
        <f>SUM(V90:V99)</f>
        <v>629233000</v>
      </c>
    </row>
    <row r="101" spans="1:27" ht="14.7" thickBot="1" x14ac:dyDescent="0.6">
      <c r="J101" s="116" t="s">
        <v>311</v>
      </c>
      <c r="K101">
        <f>(K100+M100)/2</f>
        <v>508.77549999999997</v>
      </c>
      <c r="S101" s="82" t="s">
        <v>309</v>
      </c>
      <c r="T101" s="3">
        <f>T100*0.000001</f>
        <v>582.42200000000003</v>
      </c>
      <c r="V101" s="3">
        <f>V100*0.000001</f>
        <v>629.23299999999995</v>
      </c>
    </row>
    <row r="102" spans="1:27" x14ac:dyDescent="0.55000000000000004">
      <c r="S102" t="s">
        <v>310</v>
      </c>
      <c r="T102">
        <f>T101+V101</f>
        <v>1211.655</v>
      </c>
    </row>
    <row r="103" spans="1:27" x14ac:dyDescent="0.55000000000000004">
      <c r="J103" s="116"/>
      <c r="S103" s="116" t="s">
        <v>311</v>
      </c>
      <c r="T103">
        <f>(T102+V102)/2</f>
        <v>605.82749999999999</v>
      </c>
    </row>
    <row r="104" spans="1:27" x14ac:dyDescent="0.55000000000000004">
      <c r="A104" s="121"/>
      <c r="B104" s="121"/>
      <c r="C104" s="121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1"/>
      <c r="Q104" s="85"/>
      <c r="R104" s="121"/>
      <c r="S104" s="121"/>
      <c r="T104" s="121"/>
      <c r="U104" s="121"/>
      <c r="V104" s="121"/>
      <c r="W104" s="121"/>
      <c r="X104" s="121"/>
      <c r="Y104" s="121"/>
      <c r="Z104" s="121"/>
      <c r="AA104" s="121"/>
    </row>
    <row r="108" spans="1:27" x14ac:dyDescent="0.55000000000000004">
      <c r="C108" t="s">
        <v>341</v>
      </c>
    </row>
    <row r="110" spans="1:27" x14ac:dyDescent="0.55000000000000004">
      <c r="B110" t="s">
        <v>305</v>
      </c>
      <c r="D110" t="s">
        <v>319</v>
      </c>
      <c r="J110" t="s">
        <v>305</v>
      </c>
      <c r="L110" t="s">
        <v>319</v>
      </c>
      <c r="S110" t="s">
        <v>305</v>
      </c>
      <c r="U110" t="s">
        <v>319</v>
      </c>
    </row>
    <row r="111" spans="1:27" x14ac:dyDescent="0.55000000000000004">
      <c r="E111" s="120">
        <v>0.43263888888888885</v>
      </c>
      <c r="G111" t="s">
        <v>327</v>
      </c>
      <c r="M111" s="120">
        <v>0.4381944444444445</v>
      </c>
      <c r="O111" t="s">
        <v>328</v>
      </c>
      <c r="S111">
        <v>151</v>
      </c>
      <c r="U111">
        <v>121</v>
      </c>
      <c r="V111" s="120">
        <v>0.4548611111111111</v>
      </c>
      <c r="X111" t="s">
        <v>329</v>
      </c>
    </row>
    <row r="112" spans="1:27" x14ac:dyDescent="0.55000000000000004">
      <c r="S112">
        <v>4200</v>
      </c>
      <c r="U112">
        <v>4800</v>
      </c>
    </row>
    <row r="113" spans="2:23" x14ac:dyDescent="0.55000000000000004">
      <c r="S113">
        <v>188</v>
      </c>
      <c r="U113">
        <v>678</v>
      </c>
    </row>
    <row r="114" spans="2:23" x14ac:dyDescent="0.55000000000000004">
      <c r="S114">
        <v>4400</v>
      </c>
      <c r="U114">
        <v>5100</v>
      </c>
    </row>
    <row r="115" spans="2:23" x14ac:dyDescent="0.55000000000000004">
      <c r="S115">
        <v>3100</v>
      </c>
      <c r="U115">
        <v>3300</v>
      </c>
    </row>
    <row r="116" spans="2:23" x14ac:dyDescent="0.55000000000000004">
      <c r="S116">
        <v>938</v>
      </c>
      <c r="U116">
        <v>744</v>
      </c>
    </row>
    <row r="117" spans="2:23" x14ac:dyDescent="0.55000000000000004">
      <c r="B117">
        <f>B111*1000</f>
        <v>0</v>
      </c>
      <c r="D117">
        <f>D111*1000</f>
        <v>0</v>
      </c>
      <c r="F117">
        <f>(B117+D117)/2</f>
        <v>0</v>
      </c>
      <c r="S117">
        <v>1800</v>
      </c>
      <c r="U117">
        <v>1900</v>
      </c>
    </row>
    <row r="118" spans="2:23" x14ac:dyDescent="0.55000000000000004">
      <c r="B118">
        <f>B112*1000</f>
        <v>0</v>
      </c>
      <c r="C118">
        <f>B117+B118*30</f>
        <v>0</v>
      </c>
      <c r="D118">
        <f>D112*1000</f>
        <v>0</v>
      </c>
      <c r="E118">
        <f>D117+D118*30</f>
        <v>0</v>
      </c>
      <c r="F118">
        <f>(B118+D118)/2</f>
        <v>0</v>
      </c>
      <c r="S118">
        <v>637</v>
      </c>
      <c r="U118">
        <v>1400</v>
      </c>
    </row>
    <row r="119" spans="2:23" x14ac:dyDescent="0.55000000000000004">
      <c r="B119">
        <f>B113*1000</f>
        <v>0</v>
      </c>
      <c r="C119">
        <f>B118+B119*30</f>
        <v>0</v>
      </c>
      <c r="D119">
        <f>D113*1000</f>
        <v>0</v>
      </c>
      <c r="E119">
        <f>D118+D119*30</f>
        <v>0</v>
      </c>
      <c r="F119">
        <f t="shared" ref="F119:F120" si="41">(B119+D119)/2</f>
        <v>0</v>
      </c>
      <c r="S119">
        <v>3100</v>
      </c>
      <c r="U119">
        <v>1900</v>
      </c>
    </row>
    <row r="120" spans="2:23" x14ac:dyDescent="0.55000000000000004">
      <c r="B120">
        <f>B114*1000</f>
        <v>0</v>
      </c>
      <c r="C120">
        <f>B119+B120*30</f>
        <v>0</v>
      </c>
      <c r="D120">
        <f>D114*1000</f>
        <v>0</v>
      </c>
      <c r="E120">
        <f>D119+D120*30</f>
        <v>0</v>
      </c>
      <c r="F120">
        <f t="shared" si="41"/>
        <v>0</v>
      </c>
      <c r="S120">
        <v>200</v>
      </c>
      <c r="U120">
        <v>154</v>
      </c>
    </row>
    <row r="121" spans="2:23" x14ac:dyDescent="0.55000000000000004">
      <c r="B121">
        <f>B115*1000</f>
        <v>0</v>
      </c>
      <c r="C121">
        <f>B120+B121*30</f>
        <v>0</v>
      </c>
      <c r="D121">
        <f>D115*1000</f>
        <v>0</v>
      </c>
      <c r="E121">
        <f>D120+D121*30</f>
        <v>0</v>
      </c>
      <c r="F121">
        <f>(B121+D121)/2</f>
        <v>0</v>
      </c>
      <c r="S121">
        <v>155</v>
      </c>
      <c r="U121">
        <v>122</v>
      </c>
    </row>
    <row r="122" spans="2:23" ht="14.7" thickBot="1" x14ac:dyDescent="0.6">
      <c r="C122">
        <f>SUM(C119:C121)</f>
        <v>0</v>
      </c>
      <c r="E122">
        <f>SUM(E119:E121)</f>
        <v>0</v>
      </c>
      <c r="F122">
        <f>(B122+D122)/2</f>
        <v>0</v>
      </c>
    </row>
    <row r="123" spans="2:23" ht="14.7" thickBot="1" x14ac:dyDescent="0.6">
      <c r="B123" s="82" t="s">
        <v>309</v>
      </c>
      <c r="C123" s="3">
        <f>C122*0.000001</f>
        <v>0</v>
      </c>
      <c r="E123" s="3">
        <f>E122*0.000001</f>
        <v>0</v>
      </c>
    </row>
    <row r="124" spans="2:23" x14ac:dyDescent="0.55000000000000004">
      <c r="B124" t="s">
        <v>310</v>
      </c>
      <c r="C124">
        <f>C123+E123</f>
        <v>0</v>
      </c>
    </row>
    <row r="125" spans="2:23" x14ac:dyDescent="0.55000000000000004">
      <c r="B125" s="116" t="s">
        <v>311</v>
      </c>
      <c r="C125">
        <f>(C124+E124)/2</f>
        <v>0</v>
      </c>
    </row>
    <row r="127" spans="2:23" x14ac:dyDescent="0.55000000000000004">
      <c r="J127">
        <f>J111*1000</f>
        <v>0</v>
      </c>
      <c r="L127">
        <f>L111*1000</f>
        <v>0</v>
      </c>
      <c r="N127">
        <f>(J127+L127)/2</f>
        <v>0</v>
      </c>
      <c r="S127">
        <f>S111*1000</f>
        <v>151000</v>
      </c>
      <c r="U127">
        <f>U111*1000</f>
        <v>121000</v>
      </c>
      <c r="W127">
        <f>(S127+U127)/2</f>
        <v>136000</v>
      </c>
    </row>
    <row r="128" spans="2:23" x14ac:dyDescent="0.55000000000000004">
      <c r="J128">
        <f>J112*1000</f>
        <v>0</v>
      </c>
      <c r="K128">
        <f>J127+J128*30</f>
        <v>0</v>
      </c>
      <c r="L128">
        <f>L112*1000</f>
        <v>0</v>
      </c>
      <c r="M128">
        <f>L127+L128*30</f>
        <v>0</v>
      </c>
      <c r="N128">
        <f>(J128+L128)/2</f>
        <v>0</v>
      </c>
      <c r="S128">
        <f>S112*1000</f>
        <v>4200000</v>
      </c>
      <c r="T128">
        <f>S127+S128*30</f>
        <v>126151000</v>
      </c>
      <c r="U128">
        <f>U112*1000</f>
        <v>4800000</v>
      </c>
      <c r="V128">
        <f>U127+U128*30</f>
        <v>144121000</v>
      </c>
      <c r="W128">
        <f>(S128+U128)/2</f>
        <v>4500000</v>
      </c>
    </row>
    <row r="129" spans="10:23" x14ac:dyDescent="0.55000000000000004">
      <c r="J129">
        <f>J113*1000</f>
        <v>0</v>
      </c>
      <c r="K129">
        <f>J128+J129*30</f>
        <v>0</v>
      </c>
      <c r="L129">
        <f>L113*1000</f>
        <v>0</v>
      </c>
      <c r="M129">
        <f>L128+L129*30</f>
        <v>0</v>
      </c>
      <c r="N129">
        <f t="shared" ref="N129:N130" si="42">(J129+L129)/2</f>
        <v>0</v>
      </c>
      <c r="S129">
        <f>S113*1000</f>
        <v>188000</v>
      </c>
      <c r="T129">
        <f>S128+S129*30</f>
        <v>9840000</v>
      </c>
      <c r="U129">
        <f>U113*1000</f>
        <v>678000</v>
      </c>
      <c r="V129">
        <f>U128+U129*30</f>
        <v>25140000</v>
      </c>
      <c r="W129">
        <f t="shared" ref="W129:W130" si="43">(S129+U129)/2</f>
        <v>433000</v>
      </c>
    </row>
    <row r="130" spans="10:23" x14ac:dyDescent="0.55000000000000004">
      <c r="J130">
        <f>J114*1000</f>
        <v>0</v>
      </c>
      <c r="K130">
        <f>J129+J130*30</f>
        <v>0</v>
      </c>
      <c r="L130">
        <f>L114*1000</f>
        <v>0</v>
      </c>
      <c r="M130">
        <f>L129+L130*30</f>
        <v>0</v>
      </c>
      <c r="N130">
        <f t="shared" si="42"/>
        <v>0</v>
      </c>
      <c r="S130">
        <f>S114*1000</f>
        <v>4400000</v>
      </c>
      <c r="T130">
        <f>S129+S130*30</f>
        <v>132188000</v>
      </c>
      <c r="U130">
        <f>U114*1000</f>
        <v>5100000</v>
      </c>
      <c r="V130">
        <f>U129+U130*30</f>
        <v>153678000</v>
      </c>
      <c r="W130">
        <f t="shared" si="43"/>
        <v>4750000</v>
      </c>
    </row>
    <row r="131" spans="10:23" x14ac:dyDescent="0.55000000000000004">
      <c r="J131">
        <f t="shared" ref="J131:J133" si="44">J115*1000</f>
        <v>0</v>
      </c>
      <c r="K131">
        <f t="shared" ref="K131:K135" si="45">J130+J131*30</f>
        <v>0</v>
      </c>
      <c r="L131">
        <f t="shared" ref="L131:L135" si="46">L115*1000</f>
        <v>0</v>
      </c>
      <c r="M131">
        <f t="shared" ref="M131:M135" si="47">L130+L131*30</f>
        <v>0</v>
      </c>
      <c r="N131">
        <f>(J131+L131)/2</f>
        <v>0</v>
      </c>
      <c r="S131">
        <f t="shared" ref="S131:S133" si="48">S115*1000</f>
        <v>3100000</v>
      </c>
      <c r="T131">
        <f t="shared" ref="T131:T137" si="49">S130+S131*30</f>
        <v>97400000</v>
      </c>
      <c r="U131">
        <f t="shared" ref="U131:U137" si="50">U115*1000</f>
        <v>3300000</v>
      </c>
      <c r="V131">
        <f t="shared" ref="V131:V137" si="51">U130+U131*30</f>
        <v>104100000</v>
      </c>
      <c r="W131">
        <f>(S131+U131)/2</f>
        <v>3200000</v>
      </c>
    </row>
    <row r="132" spans="10:23" x14ac:dyDescent="0.55000000000000004">
      <c r="J132">
        <f t="shared" si="44"/>
        <v>0</v>
      </c>
      <c r="K132">
        <f t="shared" si="45"/>
        <v>0</v>
      </c>
      <c r="L132">
        <f t="shared" si="46"/>
        <v>0</v>
      </c>
      <c r="M132">
        <f t="shared" si="47"/>
        <v>0</v>
      </c>
      <c r="N132">
        <f t="shared" ref="N132:N136" si="52">(J132+L132)/2</f>
        <v>0</v>
      </c>
      <c r="S132">
        <f t="shared" si="48"/>
        <v>938000</v>
      </c>
      <c r="T132">
        <f t="shared" si="49"/>
        <v>31240000</v>
      </c>
      <c r="U132">
        <f t="shared" si="50"/>
        <v>744000</v>
      </c>
      <c r="V132">
        <f t="shared" si="51"/>
        <v>25620000</v>
      </c>
      <c r="W132">
        <f t="shared" ref="W132:W135" si="53">(S132+U132)/2</f>
        <v>841000</v>
      </c>
    </row>
    <row r="133" spans="10:23" x14ac:dyDescent="0.55000000000000004">
      <c r="J133">
        <f t="shared" si="44"/>
        <v>0</v>
      </c>
      <c r="K133">
        <f t="shared" si="45"/>
        <v>0</v>
      </c>
      <c r="L133">
        <f t="shared" si="46"/>
        <v>0</v>
      </c>
      <c r="M133">
        <f t="shared" si="47"/>
        <v>0</v>
      </c>
      <c r="N133">
        <f t="shared" si="52"/>
        <v>0</v>
      </c>
      <c r="S133">
        <f t="shared" si="48"/>
        <v>1800000</v>
      </c>
      <c r="T133">
        <f t="shared" si="49"/>
        <v>54938000</v>
      </c>
      <c r="U133">
        <f t="shared" si="50"/>
        <v>1900000</v>
      </c>
      <c r="V133">
        <f t="shared" si="51"/>
        <v>57744000</v>
      </c>
      <c r="W133">
        <f t="shared" si="53"/>
        <v>1850000</v>
      </c>
    </row>
    <row r="134" spans="10:23" x14ac:dyDescent="0.55000000000000004">
      <c r="J134">
        <f>J118*1000</f>
        <v>0</v>
      </c>
      <c r="K134">
        <f t="shared" si="45"/>
        <v>0</v>
      </c>
      <c r="L134">
        <f t="shared" si="46"/>
        <v>0</v>
      </c>
      <c r="M134">
        <f t="shared" si="47"/>
        <v>0</v>
      </c>
      <c r="N134">
        <f t="shared" si="52"/>
        <v>0</v>
      </c>
      <c r="S134">
        <f>S118*1000</f>
        <v>637000</v>
      </c>
      <c r="T134">
        <f t="shared" si="49"/>
        <v>20910000</v>
      </c>
      <c r="U134">
        <f t="shared" si="50"/>
        <v>1400000</v>
      </c>
      <c r="V134">
        <f t="shared" si="51"/>
        <v>43900000</v>
      </c>
      <c r="W134">
        <f t="shared" si="53"/>
        <v>1018500</v>
      </c>
    </row>
    <row r="135" spans="10:23" x14ac:dyDescent="0.55000000000000004">
      <c r="J135">
        <f>J119*1000</f>
        <v>0</v>
      </c>
      <c r="K135">
        <f t="shared" si="45"/>
        <v>0</v>
      </c>
      <c r="L135">
        <f t="shared" si="46"/>
        <v>0</v>
      </c>
      <c r="M135">
        <f t="shared" si="47"/>
        <v>0</v>
      </c>
      <c r="N135">
        <f t="shared" si="52"/>
        <v>0</v>
      </c>
      <c r="S135">
        <f>S119*1000</f>
        <v>3100000</v>
      </c>
      <c r="T135">
        <f t="shared" si="49"/>
        <v>93637000</v>
      </c>
      <c r="U135">
        <f t="shared" si="50"/>
        <v>1900000</v>
      </c>
      <c r="V135">
        <f t="shared" si="51"/>
        <v>58400000</v>
      </c>
      <c r="W135">
        <f t="shared" si="53"/>
        <v>2500000</v>
      </c>
    </row>
    <row r="136" spans="10:23" ht="14.7" thickBot="1" x14ac:dyDescent="0.6">
      <c r="K136">
        <f>SUM(K128:K135)</f>
        <v>0</v>
      </c>
      <c r="M136">
        <f>SUM(M128:M135)</f>
        <v>0</v>
      </c>
      <c r="N136">
        <f t="shared" si="52"/>
        <v>0</v>
      </c>
      <c r="S136">
        <f t="shared" ref="S136:S137" si="54">S120*1000</f>
        <v>200000</v>
      </c>
      <c r="T136">
        <f t="shared" si="49"/>
        <v>9100000</v>
      </c>
      <c r="U136">
        <f t="shared" si="50"/>
        <v>154000</v>
      </c>
      <c r="V136">
        <f t="shared" si="51"/>
        <v>6520000</v>
      </c>
      <c r="W136">
        <f>(S136+U136)/2</f>
        <v>177000</v>
      </c>
    </row>
    <row r="137" spans="10:23" ht="14.7" thickBot="1" x14ac:dyDescent="0.6">
      <c r="J137" s="82" t="s">
        <v>309</v>
      </c>
      <c r="K137" s="3">
        <f>K136*0.000001</f>
        <v>0</v>
      </c>
      <c r="M137" s="3">
        <f>M136*0.000001</f>
        <v>0</v>
      </c>
      <c r="S137">
        <f t="shared" si="54"/>
        <v>155000</v>
      </c>
      <c r="T137">
        <f t="shared" si="49"/>
        <v>4850000</v>
      </c>
      <c r="U137">
        <f t="shared" si="50"/>
        <v>122000</v>
      </c>
      <c r="V137">
        <f t="shared" si="51"/>
        <v>3814000</v>
      </c>
      <c r="W137">
        <f>(S137+U137)/2</f>
        <v>138500</v>
      </c>
    </row>
    <row r="138" spans="10:23" ht="14.7" thickBot="1" x14ac:dyDescent="0.6">
      <c r="J138" t="s">
        <v>310</v>
      </c>
      <c r="K138">
        <f>K137+M137</f>
        <v>0</v>
      </c>
      <c r="T138">
        <f>SUM(T128:T137)</f>
        <v>580254000</v>
      </c>
      <c r="V138">
        <f>SUM(V128:V137)</f>
        <v>623037000</v>
      </c>
    </row>
    <row r="139" spans="10:23" ht="14.7" thickBot="1" x14ac:dyDescent="0.6">
      <c r="J139" s="116" t="s">
        <v>311</v>
      </c>
      <c r="K139">
        <f>(K138+M138)/2</f>
        <v>0</v>
      </c>
      <c r="S139" s="82" t="s">
        <v>309</v>
      </c>
      <c r="T139" s="3">
        <f>T138*0.000001</f>
        <v>580.25400000000002</v>
      </c>
      <c r="V139" s="3">
        <f>V138*0.000001</f>
        <v>623.03699999999992</v>
      </c>
    </row>
    <row r="140" spans="10:23" x14ac:dyDescent="0.55000000000000004">
      <c r="S140" t="s">
        <v>310</v>
      </c>
      <c r="T140">
        <f>T139+V139</f>
        <v>1203.2909999999999</v>
      </c>
    </row>
    <row r="141" spans="10:23" x14ac:dyDescent="0.55000000000000004">
      <c r="J141" s="116"/>
      <c r="S141" s="116" t="s">
        <v>311</v>
      </c>
      <c r="T141">
        <f>(T140+V140)/2</f>
        <v>601.64549999999997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115" zoomScaleNormal="115" workbookViewId="0">
      <selection activeCell="A7" sqref="A7:F14"/>
    </sheetView>
  </sheetViews>
  <sheetFormatPr defaultRowHeight="14.4" x14ac:dyDescent="0.55000000000000004"/>
  <cols>
    <col min="12" max="12" width="12" bestFit="1" customWidth="1"/>
  </cols>
  <sheetData>
    <row r="1" spans="1:6" ht="14.7" thickBot="1" x14ac:dyDescent="0.6">
      <c r="E1">
        <f>100000/10000000</f>
        <v>0.01</v>
      </c>
    </row>
    <row r="2" spans="1:6" ht="15.6" thickBot="1" x14ac:dyDescent="0.6">
      <c r="A2" s="138" t="s">
        <v>83</v>
      </c>
      <c r="B2" s="139"/>
      <c r="C2" s="140"/>
      <c r="D2" s="34"/>
    </row>
    <row r="3" spans="1:6" ht="15.6" thickBot="1" x14ac:dyDescent="0.6">
      <c r="A3" s="52" t="s">
        <v>84</v>
      </c>
      <c r="B3" s="2"/>
      <c r="C3" s="2"/>
      <c r="D3" s="53"/>
      <c r="F3" t="s">
        <v>247</v>
      </c>
    </row>
    <row r="4" spans="1:6" ht="15.6" thickBot="1" x14ac:dyDescent="0.6">
      <c r="A4" s="52" t="s">
        <v>250</v>
      </c>
      <c r="B4" s="25" t="s">
        <v>18</v>
      </c>
      <c r="C4" s="25" t="s">
        <v>71</v>
      </c>
      <c r="D4" s="54" t="s">
        <v>75</v>
      </c>
      <c r="E4" s="72" t="s">
        <v>77</v>
      </c>
    </row>
    <row r="5" spans="1:6" ht="15.6" thickBot="1" x14ac:dyDescent="0.6">
      <c r="A5" s="52" t="s">
        <v>48</v>
      </c>
      <c r="B5" s="7"/>
      <c r="C5" s="2">
        <v>188</v>
      </c>
      <c r="D5" s="53"/>
      <c r="F5" t="s">
        <v>354</v>
      </c>
    </row>
    <row r="6" spans="1:6" ht="15.6" thickBot="1" x14ac:dyDescent="0.6">
      <c r="A6" s="52" t="s">
        <v>58</v>
      </c>
      <c r="B6" s="7"/>
      <c r="C6" s="2">
        <v>201</v>
      </c>
      <c r="D6" s="55"/>
      <c r="F6" t="s">
        <v>355</v>
      </c>
    </row>
    <row r="7" spans="1:6" ht="15.6" thickBot="1" x14ac:dyDescent="0.6">
      <c r="A7" s="52" t="s">
        <v>68</v>
      </c>
      <c r="B7" s="26">
        <v>228</v>
      </c>
      <c r="C7" s="26">
        <v>213</v>
      </c>
      <c r="D7" s="55"/>
      <c r="E7" s="21"/>
      <c r="F7" s="86">
        <v>555</v>
      </c>
    </row>
    <row r="8" spans="1:6" ht="15.6" thickBot="1" x14ac:dyDescent="0.6">
      <c r="A8" s="52" t="s">
        <v>85</v>
      </c>
      <c r="B8" s="26">
        <v>249</v>
      </c>
      <c r="C8" s="26">
        <v>271</v>
      </c>
      <c r="D8" s="55"/>
    </row>
    <row r="9" spans="1:6" ht="15.6" thickBot="1" x14ac:dyDescent="0.6">
      <c r="A9" s="52" t="s">
        <v>86</v>
      </c>
      <c r="B9" s="26">
        <v>364</v>
      </c>
      <c r="C9" s="26">
        <v>372</v>
      </c>
      <c r="D9" s="55"/>
    </row>
    <row r="10" spans="1:6" ht="15.6" thickBot="1" x14ac:dyDescent="0.6">
      <c r="A10" s="52" t="s">
        <v>87</v>
      </c>
      <c r="B10" s="26">
        <v>440</v>
      </c>
      <c r="C10" s="26">
        <v>456</v>
      </c>
      <c r="D10" s="55"/>
      <c r="F10" s="86">
        <v>6532</v>
      </c>
    </row>
    <row r="11" spans="1:6" ht="15.6" thickBot="1" x14ac:dyDescent="0.6">
      <c r="A11" s="52" t="s">
        <v>88</v>
      </c>
      <c r="B11" s="26">
        <v>551</v>
      </c>
      <c r="C11" s="26">
        <v>558</v>
      </c>
      <c r="D11" s="126"/>
      <c r="E11" t="s">
        <v>375</v>
      </c>
      <c r="F11">
        <v>10728</v>
      </c>
    </row>
    <row r="12" spans="1:6" ht="15.6" thickBot="1" x14ac:dyDescent="0.6">
      <c r="A12" s="52" t="s">
        <v>89</v>
      </c>
      <c r="B12" s="26">
        <v>709</v>
      </c>
      <c r="C12" s="26">
        <v>906</v>
      </c>
      <c r="D12" s="56"/>
    </row>
    <row r="13" spans="1:6" ht="15.6" thickBot="1" x14ac:dyDescent="0.6">
      <c r="A13" s="52" t="s">
        <v>90</v>
      </c>
      <c r="B13" s="26">
        <v>940</v>
      </c>
      <c r="C13" s="26">
        <v>1404</v>
      </c>
      <c r="D13" s="56"/>
    </row>
    <row r="14" spans="1:6" ht="15.6" thickBot="1" x14ac:dyDescent="0.6">
      <c r="A14" s="57" t="s">
        <v>91</v>
      </c>
      <c r="B14" s="58">
        <v>1206</v>
      </c>
      <c r="C14" s="58">
        <v>1870</v>
      </c>
      <c r="D14" s="59"/>
      <c r="F14">
        <v>29763</v>
      </c>
    </row>
    <row r="17" spans="1:11" ht="14.7" thickBot="1" x14ac:dyDescent="0.6"/>
    <row r="18" spans="1:11" ht="15.6" thickBot="1" x14ac:dyDescent="0.6">
      <c r="A18" s="141" t="s">
        <v>83</v>
      </c>
      <c r="B18" s="142"/>
      <c r="C18" s="143"/>
      <c r="D18" s="2"/>
    </row>
    <row r="19" spans="1:11" ht="15.6" thickBot="1" x14ac:dyDescent="0.6">
      <c r="A19" s="25" t="s">
        <v>84</v>
      </c>
      <c r="B19" s="2"/>
      <c r="C19" s="2"/>
      <c r="D19" s="2"/>
    </row>
    <row r="20" spans="1:11" ht="15.6" thickBot="1" x14ac:dyDescent="0.6">
      <c r="A20" s="25" t="s">
        <v>70</v>
      </c>
      <c r="B20" s="25" t="s">
        <v>35</v>
      </c>
      <c r="C20" s="25" t="s">
        <v>33</v>
      </c>
      <c r="D20" s="25" t="s">
        <v>34</v>
      </c>
      <c r="E20" s="72" t="s">
        <v>77</v>
      </c>
      <c r="K20">
        <f>100000/10000000</f>
        <v>0.01</v>
      </c>
    </row>
    <row r="21" spans="1:11" ht="15.6" thickBot="1" x14ac:dyDescent="0.6">
      <c r="A21" s="25">
        <v>10</v>
      </c>
      <c r="B21" s="25"/>
      <c r="C21" s="2">
        <v>188</v>
      </c>
      <c r="D21" s="53">
        <v>221</v>
      </c>
      <c r="E21" s="72" t="s">
        <v>350</v>
      </c>
    </row>
    <row r="22" spans="1:11" ht="15.6" thickBot="1" x14ac:dyDescent="0.6">
      <c r="A22" s="25">
        <v>20</v>
      </c>
      <c r="B22" s="25"/>
      <c r="C22" s="2">
        <v>201</v>
      </c>
      <c r="D22" s="55">
        <f>3*60+43</f>
        <v>223</v>
      </c>
      <c r="E22" s="72">
        <f>6*60+22</f>
        <v>382</v>
      </c>
    </row>
    <row r="23" spans="1:11" ht="15.6" thickBot="1" x14ac:dyDescent="0.6">
      <c r="A23" s="25">
        <v>30</v>
      </c>
      <c r="B23" s="26">
        <v>228</v>
      </c>
      <c r="C23" s="26">
        <v>213</v>
      </c>
      <c r="D23" s="26">
        <v>254</v>
      </c>
      <c r="E23" s="21"/>
    </row>
    <row r="24" spans="1:11" ht="15.6" thickBot="1" x14ac:dyDescent="0.6">
      <c r="A24" s="25">
        <v>40</v>
      </c>
      <c r="B24" s="26">
        <v>249</v>
      </c>
      <c r="C24" s="26">
        <v>271</v>
      </c>
      <c r="D24" s="26">
        <f>8*60+51</f>
        <v>531</v>
      </c>
    </row>
    <row r="25" spans="1:11" ht="15.6" thickBot="1" x14ac:dyDescent="0.6">
      <c r="A25" s="25">
        <v>50</v>
      </c>
      <c r="B25" s="26">
        <v>364</v>
      </c>
      <c r="C25" s="26">
        <v>372</v>
      </c>
      <c r="D25" s="26">
        <f>23*60+45</f>
        <v>1425</v>
      </c>
    </row>
    <row r="26" spans="1:11" ht="15.6" thickBot="1" x14ac:dyDescent="0.6">
      <c r="A26" s="25">
        <v>60</v>
      </c>
      <c r="B26" s="26">
        <v>440</v>
      </c>
      <c r="C26" s="26">
        <v>456</v>
      </c>
      <c r="D26" s="26">
        <f>54*60+1</f>
        <v>3241</v>
      </c>
    </row>
    <row r="27" spans="1:11" ht="15.6" thickBot="1" x14ac:dyDescent="0.6">
      <c r="A27" s="25">
        <v>70</v>
      </c>
      <c r="B27" s="26">
        <v>551</v>
      </c>
      <c r="C27" s="26">
        <v>558</v>
      </c>
      <c r="D27" s="20"/>
    </row>
    <row r="28" spans="1:11" ht="15.6" thickBot="1" x14ac:dyDescent="0.6">
      <c r="A28" s="25">
        <v>80</v>
      </c>
      <c r="B28" s="26">
        <v>709</v>
      </c>
      <c r="C28" s="26">
        <v>906</v>
      </c>
      <c r="D28" s="20"/>
    </row>
    <row r="29" spans="1:11" ht="15.6" thickBot="1" x14ac:dyDescent="0.6">
      <c r="A29" s="25">
        <v>90</v>
      </c>
      <c r="B29" s="26">
        <v>940</v>
      </c>
      <c r="C29" s="26">
        <v>1404</v>
      </c>
      <c r="D29" s="20"/>
    </row>
    <row r="30" spans="1:11" ht="15.6" thickBot="1" x14ac:dyDescent="0.6">
      <c r="A30" s="25">
        <v>100</v>
      </c>
      <c r="B30" s="26">
        <v>1206</v>
      </c>
      <c r="C30" s="26">
        <v>1870</v>
      </c>
      <c r="D30" s="20"/>
    </row>
    <row r="34" spans="1:13" ht="14.7" thickBot="1" x14ac:dyDescent="0.6">
      <c r="H34">
        <f>5000/10000000</f>
        <v>5.0000000000000001E-4</v>
      </c>
    </row>
    <row r="35" spans="1:13" ht="15.6" thickBot="1" x14ac:dyDescent="0.6">
      <c r="A35" s="141" t="s">
        <v>342</v>
      </c>
      <c r="B35" s="142"/>
      <c r="C35" s="143"/>
      <c r="D35" s="2"/>
      <c r="F35" t="s">
        <v>345</v>
      </c>
      <c r="K35" t="s">
        <v>349</v>
      </c>
    </row>
    <row r="36" spans="1:13" ht="15.6" thickBot="1" x14ac:dyDescent="0.6">
      <c r="A36" s="25" t="s">
        <v>84</v>
      </c>
      <c r="B36" s="2"/>
      <c r="C36" s="2"/>
      <c r="D36" s="2"/>
      <c r="F36" s="25" t="s">
        <v>84</v>
      </c>
      <c r="G36" s="2"/>
      <c r="H36" s="2"/>
      <c r="I36" s="2"/>
      <c r="K36" s="25" t="s">
        <v>84</v>
      </c>
      <c r="L36" s="2"/>
      <c r="M36" s="2"/>
    </row>
    <row r="37" spans="1:13" ht="15.6" thickBot="1" x14ac:dyDescent="0.6">
      <c r="A37" s="25" t="s">
        <v>70</v>
      </c>
      <c r="B37" s="25" t="s">
        <v>369</v>
      </c>
      <c r="C37" s="25" t="s">
        <v>370</v>
      </c>
      <c r="D37" s="25"/>
      <c r="F37" s="25" t="s">
        <v>70</v>
      </c>
      <c r="G37" s="25" t="s">
        <v>368</v>
      </c>
      <c r="H37" s="25" t="s">
        <v>367</v>
      </c>
      <c r="I37" s="25"/>
      <c r="K37" s="25" t="s">
        <v>70</v>
      </c>
      <c r="L37" s="25" t="s">
        <v>34</v>
      </c>
      <c r="M37" s="25" t="s">
        <v>33</v>
      </c>
    </row>
    <row r="38" spans="1:13" ht="15.6" thickBot="1" x14ac:dyDescent="0.6">
      <c r="A38" s="25">
        <v>10</v>
      </c>
      <c r="B38" s="25">
        <f>23*60</f>
        <v>1380</v>
      </c>
      <c r="C38">
        <f>16*60+12</f>
        <v>972</v>
      </c>
      <c r="F38" s="25">
        <v>10</v>
      </c>
      <c r="G38" s="25">
        <f>28*60+47</f>
        <v>1727</v>
      </c>
      <c r="H38">
        <f>26*60+30</f>
        <v>1590</v>
      </c>
      <c r="K38" s="25">
        <v>10</v>
      </c>
      <c r="L38">
        <f>30*60</f>
        <v>1800</v>
      </c>
      <c r="M38">
        <f>32*60</f>
        <v>1920</v>
      </c>
    </row>
    <row r="39" spans="1:13" ht="15.6" thickBot="1" x14ac:dyDescent="0.6">
      <c r="A39" s="25">
        <v>20</v>
      </c>
      <c r="B39" s="25"/>
      <c r="C39" s="55">
        <f>34*60+46</f>
        <v>2086</v>
      </c>
      <c r="F39" s="25">
        <v>20</v>
      </c>
      <c r="G39" s="25">
        <f>81*60+37</f>
        <v>4897</v>
      </c>
      <c r="H39" s="55"/>
      <c r="K39" s="25">
        <v>20</v>
      </c>
      <c r="L39">
        <f>85*60+15</f>
        <v>5115</v>
      </c>
      <c r="M39">
        <f>73*60+15</f>
        <v>4395</v>
      </c>
    </row>
    <row r="40" spans="1:13" ht="15.6" thickBot="1" x14ac:dyDescent="0.6">
      <c r="A40" s="25">
        <v>30</v>
      </c>
      <c r="B40" s="26">
        <f>149*60</f>
        <v>8940</v>
      </c>
      <c r="C40" s="26">
        <f>71*60+30</f>
        <v>4290</v>
      </c>
      <c r="F40" s="25">
        <v>30</v>
      </c>
      <c r="G40" s="26">
        <f>175*60+17</f>
        <v>10517</v>
      </c>
      <c r="H40" s="26"/>
      <c r="K40" s="25">
        <v>30</v>
      </c>
      <c r="L40">
        <f>168*60</f>
        <v>10080</v>
      </c>
      <c r="M40">
        <f>262*60</f>
        <v>15720</v>
      </c>
    </row>
    <row r="41" spans="1:13" ht="15.6" thickBot="1" x14ac:dyDescent="0.6">
      <c r="A41" s="25"/>
      <c r="B41" s="26" t="s">
        <v>343</v>
      </c>
      <c r="C41" s="26"/>
      <c r="D41" s="26"/>
      <c r="G41" t="s">
        <v>346</v>
      </c>
    </row>
    <row r="42" spans="1:13" ht="15.6" thickBot="1" x14ac:dyDescent="0.6">
      <c r="A42" s="25"/>
      <c r="B42" s="26"/>
      <c r="C42" s="26"/>
      <c r="D42" s="26"/>
    </row>
    <row r="43" spans="1:13" ht="15.6" thickBot="1" x14ac:dyDescent="0.6">
      <c r="A43" s="25"/>
      <c r="B43" s="26"/>
      <c r="C43" s="26"/>
      <c r="D43" s="26"/>
    </row>
    <row r="44" spans="1:13" ht="15.6" thickBot="1" x14ac:dyDescent="0.6">
      <c r="A44" s="141" t="s">
        <v>344</v>
      </c>
      <c r="B44" s="142"/>
      <c r="C44" s="143"/>
      <c r="D44" s="89"/>
      <c r="F44" t="s">
        <v>347</v>
      </c>
      <c r="K44" t="s">
        <v>353</v>
      </c>
    </row>
    <row r="45" spans="1:13" ht="15.6" thickBot="1" x14ac:dyDescent="0.6">
      <c r="A45" s="25" t="s">
        <v>84</v>
      </c>
      <c r="B45" s="2"/>
      <c r="C45" s="2"/>
      <c r="D45" s="89"/>
      <c r="F45" s="25" t="s">
        <v>84</v>
      </c>
      <c r="G45" s="2"/>
      <c r="H45" s="2"/>
      <c r="I45" s="2"/>
      <c r="K45" s="25" t="s">
        <v>84</v>
      </c>
      <c r="L45" s="2"/>
      <c r="M45" s="2"/>
    </row>
    <row r="46" spans="1:13" ht="15.6" thickBot="1" x14ac:dyDescent="0.6">
      <c r="A46" s="25" t="s">
        <v>70</v>
      </c>
      <c r="B46" s="25" t="s">
        <v>371</v>
      </c>
      <c r="C46" s="25" t="s">
        <v>372</v>
      </c>
      <c r="D46" s="89" t="s">
        <v>18</v>
      </c>
      <c r="E46" s="124" t="s">
        <v>77</v>
      </c>
      <c r="F46" s="25" t="s">
        <v>70</v>
      </c>
      <c r="G46" s="25" t="s">
        <v>366</v>
      </c>
      <c r="H46" s="25" t="s">
        <v>367</v>
      </c>
      <c r="I46" s="25"/>
      <c r="K46" s="25" t="s">
        <v>70</v>
      </c>
      <c r="L46" s="25" t="s">
        <v>34</v>
      </c>
      <c r="M46" s="25" t="s">
        <v>33</v>
      </c>
    </row>
    <row r="47" spans="1:13" ht="15.6" thickBot="1" x14ac:dyDescent="0.6">
      <c r="A47" s="25">
        <v>10</v>
      </c>
      <c r="B47" s="125">
        <f>34*60+21</f>
        <v>2061</v>
      </c>
      <c r="C47">
        <f>62*60</f>
        <v>3720</v>
      </c>
      <c r="D47" s="89" t="s">
        <v>356</v>
      </c>
      <c r="E47">
        <f>14*60</f>
        <v>840</v>
      </c>
      <c r="F47" s="25">
        <v>10</v>
      </c>
      <c r="G47" s="25">
        <f>30*60+46</f>
        <v>1846</v>
      </c>
      <c r="H47">
        <f>33*60</f>
        <v>1980</v>
      </c>
      <c r="K47" s="25">
        <v>10</v>
      </c>
    </row>
    <row r="48" spans="1:13" ht="15.6" thickBot="1" x14ac:dyDescent="0.6">
      <c r="A48" s="25">
        <v>20</v>
      </c>
      <c r="B48" s="25"/>
      <c r="C48" s="55">
        <f>339*60</f>
        <v>20340</v>
      </c>
      <c r="D48" s="89"/>
      <c r="E48" s="89">
        <f>41*60+28</f>
        <v>2488</v>
      </c>
      <c r="F48" s="25">
        <v>20</v>
      </c>
      <c r="G48" s="25">
        <f>83*60</f>
        <v>4980</v>
      </c>
      <c r="H48" s="55">
        <f>93*60</f>
        <v>5580</v>
      </c>
      <c r="K48" s="25">
        <v>20</v>
      </c>
    </row>
    <row r="49" spans="1:13" ht="15.6" thickBot="1" x14ac:dyDescent="0.6">
      <c r="A49" s="25">
        <v>30</v>
      </c>
      <c r="B49">
        <f>9990</f>
        <v>9990</v>
      </c>
      <c r="C49" s="26">
        <f>1190*60</f>
        <v>71400</v>
      </c>
      <c r="F49" s="25">
        <v>30</v>
      </c>
      <c r="G49" s="26">
        <f>168*60</f>
        <v>10080</v>
      </c>
      <c r="H49" s="26"/>
      <c r="I49" t="s">
        <v>348</v>
      </c>
      <c r="K49" s="25">
        <v>30</v>
      </c>
      <c r="M49">
        <f>234*60</f>
        <v>14040</v>
      </c>
    </row>
    <row r="50" spans="1:13" ht="15.6" thickBot="1" x14ac:dyDescent="0.6">
      <c r="A50" s="25" t="s">
        <v>85</v>
      </c>
      <c r="B50" s="26">
        <f>279*60</f>
        <v>16740</v>
      </c>
      <c r="C50" s="26"/>
    </row>
  </sheetData>
  <mergeCells count="4">
    <mergeCell ref="A2:C2"/>
    <mergeCell ref="A18:C18"/>
    <mergeCell ref="A35:C35"/>
    <mergeCell ref="A44:C44"/>
  </mergeCells>
  <pageMargins left="0.7" right="0.7" top="0.75" bottom="0.75" header="0.3" footer="0.3"/>
  <pageSetup paperSize="9" orientation="portrait" horizontalDpi="4294967294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opLeftCell="A7" zoomScale="70" zoomScaleNormal="70" workbookViewId="0">
      <selection activeCell="A52" sqref="A52"/>
    </sheetView>
  </sheetViews>
  <sheetFormatPr defaultRowHeight="14.4" x14ac:dyDescent="0.55000000000000004"/>
  <cols>
    <col min="12" max="12" width="12" bestFit="1" customWidth="1"/>
  </cols>
  <sheetData>
    <row r="1" spans="1:6" ht="14.7" thickBot="1" x14ac:dyDescent="0.6"/>
    <row r="2" spans="1:6" ht="15.6" thickBot="1" x14ac:dyDescent="0.6">
      <c r="A2" s="138" t="s">
        <v>83</v>
      </c>
      <c r="B2" s="139"/>
      <c r="C2" s="140"/>
      <c r="D2" s="34"/>
    </row>
    <row r="3" spans="1:6" ht="15.6" thickBot="1" x14ac:dyDescent="0.6">
      <c r="A3" s="52" t="s">
        <v>84</v>
      </c>
      <c r="B3" s="2"/>
      <c r="C3" s="2"/>
      <c r="D3" s="53"/>
      <c r="F3" t="s">
        <v>247</v>
      </c>
    </row>
    <row r="4" spans="1:6" ht="15.6" thickBot="1" x14ac:dyDescent="0.6">
      <c r="A4" s="52" t="s">
        <v>250</v>
      </c>
      <c r="B4" s="25" t="s">
        <v>18</v>
      </c>
      <c r="C4" s="25" t="s">
        <v>71</v>
      </c>
      <c r="D4" s="54" t="s">
        <v>75</v>
      </c>
      <c r="E4" s="72" t="s">
        <v>77</v>
      </c>
    </row>
    <row r="5" spans="1:6" ht="15.6" thickBot="1" x14ac:dyDescent="0.6">
      <c r="A5" s="52" t="s">
        <v>48</v>
      </c>
      <c r="B5" s="7"/>
      <c r="C5" s="2">
        <v>188</v>
      </c>
      <c r="D5" s="53">
        <v>156</v>
      </c>
      <c r="F5" t="s">
        <v>354</v>
      </c>
    </row>
    <row r="6" spans="1:6" ht="15.6" thickBot="1" x14ac:dyDescent="0.6">
      <c r="A6" s="52" t="s">
        <v>58</v>
      </c>
      <c r="B6" s="7"/>
      <c r="C6" s="2">
        <v>201</v>
      </c>
      <c r="D6" s="55">
        <v>163</v>
      </c>
      <c r="F6" t="s">
        <v>355</v>
      </c>
    </row>
    <row r="7" spans="1:6" ht="15.6" thickBot="1" x14ac:dyDescent="0.6">
      <c r="A7" s="52" t="s">
        <v>68</v>
      </c>
      <c r="B7" s="26">
        <v>228</v>
      </c>
      <c r="C7" s="26">
        <v>213</v>
      </c>
      <c r="D7" s="55">
        <v>198</v>
      </c>
      <c r="E7" s="21"/>
      <c r="F7" s="86">
        <v>555</v>
      </c>
    </row>
    <row r="8" spans="1:6" ht="15.6" thickBot="1" x14ac:dyDescent="0.6">
      <c r="A8" s="52" t="s">
        <v>85</v>
      </c>
      <c r="B8" s="26">
        <v>249</v>
      </c>
      <c r="C8" s="26">
        <v>271</v>
      </c>
      <c r="D8" s="55">
        <v>480</v>
      </c>
    </row>
    <row r="9" spans="1:6" ht="15.6" thickBot="1" x14ac:dyDescent="0.6">
      <c r="A9" s="52" t="s">
        <v>86</v>
      </c>
      <c r="B9" s="26">
        <v>364</v>
      </c>
      <c r="C9" s="26">
        <v>372</v>
      </c>
      <c r="D9" s="55">
        <v>1361</v>
      </c>
    </row>
    <row r="10" spans="1:6" ht="15.6" thickBot="1" x14ac:dyDescent="0.6">
      <c r="A10" s="52" t="s">
        <v>87</v>
      </c>
      <c r="B10" s="26">
        <v>440</v>
      </c>
      <c r="C10" s="26">
        <v>456</v>
      </c>
      <c r="D10" s="55">
        <v>3217</v>
      </c>
      <c r="F10" s="86">
        <v>6532</v>
      </c>
    </row>
    <row r="11" spans="1:6" ht="15.6" thickBot="1" x14ac:dyDescent="0.6">
      <c r="A11" s="52" t="s">
        <v>88</v>
      </c>
      <c r="B11" s="26">
        <v>551</v>
      </c>
      <c r="C11" s="26">
        <v>558</v>
      </c>
      <c r="D11" s="56"/>
      <c r="F11">
        <v>10728</v>
      </c>
    </row>
    <row r="12" spans="1:6" ht="15.6" thickBot="1" x14ac:dyDescent="0.6">
      <c r="A12" s="52" t="s">
        <v>89</v>
      </c>
      <c r="B12" s="26">
        <v>709</v>
      </c>
      <c r="C12" s="26">
        <v>906</v>
      </c>
      <c r="D12" s="56"/>
    </row>
    <row r="13" spans="1:6" ht="15.6" thickBot="1" x14ac:dyDescent="0.6">
      <c r="A13" s="52" t="s">
        <v>90</v>
      </c>
      <c r="B13" s="26">
        <v>940</v>
      </c>
      <c r="C13" s="26">
        <v>1404</v>
      </c>
      <c r="D13" s="56"/>
    </row>
    <row r="14" spans="1:6" ht="15.6" thickBot="1" x14ac:dyDescent="0.6">
      <c r="A14" s="57" t="s">
        <v>91</v>
      </c>
      <c r="B14" s="58">
        <v>1206</v>
      </c>
      <c r="C14" s="58">
        <v>1870</v>
      </c>
      <c r="D14" s="59"/>
      <c r="F14">
        <v>29763</v>
      </c>
    </row>
    <row r="17" spans="1:11" ht="14.7" thickBot="1" x14ac:dyDescent="0.6"/>
    <row r="18" spans="1:11" ht="15.6" thickBot="1" x14ac:dyDescent="0.6">
      <c r="A18" s="141" t="s">
        <v>83</v>
      </c>
      <c r="B18" s="142"/>
      <c r="C18" s="143"/>
      <c r="D18" s="2"/>
    </row>
    <row r="19" spans="1:11" ht="15.6" thickBot="1" x14ac:dyDescent="0.6">
      <c r="A19" s="25" t="s">
        <v>84</v>
      </c>
      <c r="B19" s="2"/>
      <c r="C19" s="2"/>
      <c r="D19" s="2"/>
    </row>
    <row r="20" spans="1:11" ht="15.6" thickBot="1" x14ac:dyDescent="0.6">
      <c r="A20" s="25" t="s">
        <v>70</v>
      </c>
      <c r="B20" s="25" t="s">
        <v>35</v>
      </c>
      <c r="C20" s="25" t="s">
        <v>33</v>
      </c>
      <c r="D20" s="25" t="s">
        <v>34</v>
      </c>
      <c r="E20" s="72" t="s">
        <v>77</v>
      </c>
      <c r="K20">
        <f>100000/10000000</f>
        <v>0.01</v>
      </c>
    </row>
    <row r="21" spans="1:11" ht="15.6" thickBot="1" x14ac:dyDescent="0.6">
      <c r="A21" s="25">
        <v>10</v>
      </c>
      <c r="B21" s="25"/>
      <c r="C21" s="2">
        <v>188</v>
      </c>
      <c r="D21" s="53">
        <v>156</v>
      </c>
      <c r="E21" s="72" t="s">
        <v>350</v>
      </c>
    </row>
    <row r="22" spans="1:11" ht="15.6" thickBot="1" x14ac:dyDescent="0.6">
      <c r="A22" s="25">
        <v>20</v>
      </c>
      <c r="B22" s="25"/>
      <c r="C22" s="2">
        <v>201</v>
      </c>
      <c r="D22" s="55">
        <v>163</v>
      </c>
      <c r="E22" s="72">
        <f>6*60+22</f>
        <v>382</v>
      </c>
    </row>
    <row r="23" spans="1:11" ht="15.6" thickBot="1" x14ac:dyDescent="0.6">
      <c r="A23" s="25">
        <v>30</v>
      </c>
      <c r="B23" s="26">
        <v>228</v>
      </c>
      <c r="C23" s="26">
        <v>213</v>
      </c>
      <c r="D23" s="26">
        <v>198</v>
      </c>
      <c r="E23" s="21"/>
    </row>
    <row r="24" spans="1:11" ht="15.6" thickBot="1" x14ac:dyDescent="0.6">
      <c r="A24" s="25">
        <v>40</v>
      </c>
      <c r="B24" s="26">
        <v>249</v>
      </c>
      <c r="C24" s="26">
        <v>271</v>
      </c>
      <c r="D24" s="26">
        <v>480</v>
      </c>
    </row>
    <row r="25" spans="1:11" ht="15.6" thickBot="1" x14ac:dyDescent="0.6">
      <c r="A25" s="25">
        <v>50</v>
      </c>
      <c r="B25" s="26">
        <v>364</v>
      </c>
      <c r="C25" s="26">
        <v>372</v>
      </c>
      <c r="D25" s="26">
        <v>1361</v>
      </c>
    </row>
    <row r="26" spans="1:11" ht="15.6" thickBot="1" x14ac:dyDescent="0.6">
      <c r="A26" s="25">
        <v>60</v>
      </c>
      <c r="B26" s="26">
        <v>440</v>
      </c>
      <c r="C26" s="26">
        <v>456</v>
      </c>
      <c r="D26" s="26">
        <v>3217</v>
      </c>
    </row>
    <row r="27" spans="1:11" ht="15.6" thickBot="1" x14ac:dyDescent="0.6">
      <c r="A27" s="25">
        <v>70</v>
      </c>
      <c r="B27" s="26">
        <v>551</v>
      </c>
      <c r="C27" s="26">
        <v>558</v>
      </c>
      <c r="D27" s="20"/>
    </row>
    <row r="28" spans="1:11" ht="15.6" thickBot="1" x14ac:dyDescent="0.6">
      <c r="A28" s="25">
        <v>80</v>
      </c>
      <c r="B28" s="26">
        <v>709</v>
      </c>
      <c r="C28" s="26">
        <v>906</v>
      </c>
      <c r="D28" s="20"/>
    </row>
    <row r="29" spans="1:11" ht="15.6" thickBot="1" x14ac:dyDescent="0.6">
      <c r="A29" s="25">
        <v>90</v>
      </c>
      <c r="B29" s="26">
        <v>940</v>
      </c>
      <c r="C29" s="26">
        <v>1404</v>
      </c>
      <c r="D29" s="20"/>
    </row>
    <row r="30" spans="1:11" ht="15.6" thickBot="1" x14ac:dyDescent="0.6">
      <c r="A30" s="25">
        <v>100</v>
      </c>
      <c r="B30" s="26">
        <v>1206</v>
      </c>
      <c r="C30" s="26">
        <v>1870</v>
      </c>
      <c r="D30" s="20"/>
    </row>
    <row r="35" spans="1:5" ht="14.7" thickBot="1" x14ac:dyDescent="0.6"/>
    <row r="36" spans="1:5" ht="15.6" thickBot="1" x14ac:dyDescent="0.6">
      <c r="A36" s="141" t="s">
        <v>376</v>
      </c>
      <c r="B36" s="142"/>
      <c r="C36" s="143"/>
      <c r="D36" s="2"/>
    </row>
    <row r="37" spans="1:5" ht="15.6" thickBot="1" x14ac:dyDescent="0.6">
      <c r="A37" s="25" t="s">
        <v>84</v>
      </c>
      <c r="B37" s="2"/>
      <c r="C37" s="2"/>
      <c r="D37" s="2"/>
    </row>
    <row r="38" spans="1:5" ht="15.6" thickBot="1" x14ac:dyDescent="0.6">
      <c r="A38" s="25" t="s">
        <v>70</v>
      </c>
      <c r="B38" s="25" t="s">
        <v>35</v>
      </c>
      <c r="C38" s="25" t="s">
        <v>33</v>
      </c>
      <c r="D38" s="25" t="s">
        <v>34</v>
      </c>
      <c r="E38" s="72" t="s">
        <v>77</v>
      </c>
    </row>
    <row r="39" spans="1:5" ht="15.9" thickBot="1" x14ac:dyDescent="0.65">
      <c r="A39" s="25">
        <v>10</v>
      </c>
      <c r="B39" s="131">
        <v>333</v>
      </c>
      <c r="C39" s="133">
        <f>451</f>
        <v>451</v>
      </c>
      <c r="D39" s="134">
        <f>13*60+3</f>
        <v>783</v>
      </c>
      <c r="E39" s="72">
        <f>8*60+13</f>
        <v>493</v>
      </c>
    </row>
    <row r="40" spans="1:5" ht="15.6" thickBot="1" x14ac:dyDescent="0.6">
      <c r="A40" s="25">
        <v>20</v>
      </c>
      <c r="B40" s="132"/>
      <c r="C40" s="133">
        <f>18*60+31</f>
        <v>1111</v>
      </c>
      <c r="D40" s="135">
        <f>74*60+58</f>
        <v>4498</v>
      </c>
      <c r="E40" s="129">
        <f>36*60+12</f>
        <v>2172</v>
      </c>
    </row>
    <row r="41" spans="1:5" ht="15.6" thickBot="1" x14ac:dyDescent="0.6">
      <c r="A41" s="25">
        <v>30</v>
      </c>
      <c r="B41" s="130"/>
      <c r="C41" s="136">
        <f>28*60+2</f>
        <v>1682</v>
      </c>
      <c r="D41" s="137">
        <f>200*60+12</f>
        <v>12012</v>
      </c>
      <c r="E41" s="21"/>
    </row>
    <row r="42" spans="1:5" ht="15.6" thickBot="1" x14ac:dyDescent="0.6">
      <c r="A42" s="25">
        <v>40</v>
      </c>
      <c r="B42" s="130"/>
      <c r="C42" s="26">
        <f>49*60+3</f>
        <v>2943</v>
      </c>
      <c r="D42" s="130"/>
    </row>
    <row r="43" spans="1:5" ht="15.6" thickBot="1" x14ac:dyDescent="0.6">
      <c r="A43" s="25">
        <v>50</v>
      </c>
      <c r="B43" s="130"/>
      <c r="C43" s="26">
        <f>114*60+54</f>
        <v>6894</v>
      </c>
      <c r="D43" s="130"/>
    </row>
    <row r="44" spans="1:5" ht="15.6" thickBot="1" x14ac:dyDescent="0.6">
      <c r="A44" s="25">
        <v>60</v>
      </c>
      <c r="B44" s="130"/>
      <c r="C44" s="26">
        <f>297*60+43</f>
        <v>17863</v>
      </c>
      <c r="D44" s="130"/>
    </row>
    <row r="45" spans="1:5" ht="15.6" thickBot="1" x14ac:dyDescent="0.6">
      <c r="A45" s="25">
        <v>70</v>
      </c>
      <c r="B45" s="130"/>
      <c r="C45" s="26"/>
      <c r="D45" s="20"/>
    </row>
    <row r="46" spans="1:5" ht="15.6" thickBot="1" x14ac:dyDescent="0.6">
      <c r="A46" s="25">
        <v>80</v>
      </c>
      <c r="B46" s="130"/>
      <c r="C46" s="26"/>
      <c r="D46" s="20"/>
    </row>
    <row r="47" spans="1:5" ht="15.6" thickBot="1" x14ac:dyDescent="0.6">
      <c r="A47" s="25">
        <v>90</v>
      </c>
      <c r="B47" s="130"/>
      <c r="C47" s="26"/>
      <c r="D47" s="20"/>
    </row>
    <row r="48" spans="1:5" ht="15.6" thickBot="1" x14ac:dyDescent="0.6">
      <c r="A48" s="25">
        <v>100</v>
      </c>
      <c r="B48" s="130"/>
      <c r="C48" s="26"/>
      <c r="D48" s="20"/>
    </row>
    <row r="60" spans="1:13" ht="14.7" thickBot="1" x14ac:dyDescent="0.6">
      <c r="H60">
        <f>5000/10000000</f>
        <v>5.0000000000000001E-4</v>
      </c>
    </row>
    <row r="61" spans="1:13" ht="15.6" thickBot="1" x14ac:dyDescent="0.6">
      <c r="A61" s="141" t="s">
        <v>342</v>
      </c>
      <c r="B61" s="142"/>
      <c r="C61" s="143"/>
      <c r="D61" s="2"/>
      <c r="F61" t="s">
        <v>345</v>
      </c>
      <c r="K61" t="s">
        <v>349</v>
      </c>
    </row>
    <row r="62" spans="1:13" ht="15.6" thickBot="1" x14ac:dyDescent="0.6">
      <c r="A62" s="25" t="s">
        <v>84</v>
      </c>
      <c r="B62" s="2"/>
      <c r="C62" s="2"/>
      <c r="D62" s="2"/>
      <c r="F62" s="25" t="s">
        <v>84</v>
      </c>
      <c r="G62" s="2"/>
      <c r="H62" s="2"/>
      <c r="I62" s="2"/>
      <c r="K62" s="25" t="s">
        <v>84</v>
      </c>
      <c r="L62" s="2"/>
      <c r="M62" s="2"/>
    </row>
    <row r="63" spans="1:13" ht="15.6" thickBot="1" x14ac:dyDescent="0.6">
      <c r="A63" s="25" t="s">
        <v>70</v>
      </c>
      <c r="B63" s="25" t="s">
        <v>369</v>
      </c>
      <c r="C63" s="25" t="s">
        <v>370</v>
      </c>
      <c r="D63" s="25"/>
      <c r="F63" s="25" t="s">
        <v>70</v>
      </c>
      <c r="G63" s="25" t="s">
        <v>368</v>
      </c>
      <c r="H63" s="25" t="s">
        <v>367</v>
      </c>
      <c r="I63" s="25"/>
      <c r="K63" s="25" t="s">
        <v>70</v>
      </c>
      <c r="L63" s="25" t="s">
        <v>34</v>
      </c>
      <c r="M63" s="25" t="s">
        <v>33</v>
      </c>
    </row>
    <row r="64" spans="1:13" ht="15.6" thickBot="1" x14ac:dyDescent="0.6">
      <c r="A64" s="25">
        <v>10</v>
      </c>
      <c r="B64" s="25">
        <f>21*60</f>
        <v>1260</v>
      </c>
      <c r="C64">
        <f>16*60+12</f>
        <v>972</v>
      </c>
      <c r="F64" s="25">
        <v>10</v>
      </c>
      <c r="G64" s="25">
        <f>28*60+47</f>
        <v>1727</v>
      </c>
      <c r="H64">
        <f>26*60+30</f>
        <v>1590</v>
      </c>
      <c r="K64" s="25">
        <v>10</v>
      </c>
      <c r="L64">
        <f>30*60</f>
        <v>1800</v>
      </c>
      <c r="M64">
        <f>32*60</f>
        <v>1920</v>
      </c>
    </row>
    <row r="65" spans="1:13" ht="15.6" thickBot="1" x14ac:dyDescent="0.6">
      <c r="A65" s="25">
        <v>20</v>
      </c>
      <c r="B65" s="25">
        <f>76*60</f>
        <v>4560</v>
      </c>
      <c r="C65" s="55">
        <f>34*60+46</f>
        <v>2086</v>
      </c>
      <c r="F65" s="25">
        <v>20</v>
      </c>
      <c r="G65" s="25">
        <f>81*60+37</f>
        <v>4897</v>
      </c>
      <c r="H65" s="55"/>
      <c r="K65" s="25">
        <v>20</v>
      </c>
      <c r="L65">
        <f>85*60+15</f>
        <v>5115</v>
      </c>
      <c r="M65">
        <f>73*60+15</f>
        <v>4395</v>
      </c>
    </row>
    <row r="66" spans="1:13" ht="15.6" thickBot="1" x14ac:dyDescent="0.6">
      <c r="A66" s="25">
        <v>30</v>
      </c>
      <c r="B66" s="26">
        <f>149*60</f>
        <v>8940</v>
      </c>
      <c r="C66" s="26">
        <f>71*60+30</f>
        <v>4290</v>
      </c>
      <c r="F66" s="25">
        <v>30</v>
      </c>
      <c r="G66" s="26">
        <f>175*60+17</f>
        <v>10517</v>
      </c>
      <c r="H66" s="26"/>
      <c r="K66" s="25">
        <v>30</v>
      </c>
      <c r="L66">
        <f>168*60</f>
        <v>10080</v>
      </c>
      <c r="M66">
        <f>262*60</f>
        <v>15720</v>
      </c>
    </row>
    <row r="67" spans="1:13" ht="15.6" thickBot="1" x14ac:dyDescent="0.6">
      <c r="A67" s="25"/>
      <c r="B67" s="26" t="s">
        <v>343</v>
      </c>
      <c r="C67" s="26"/>
      <c r="D67" s="26"/>
      <c r="G67" t="s">
        <v>346</v>
      </c>
    </row>
    <row r="68" spans="1:13" ht="15.6" thickBot="1" x14ac:dyDescent="0.6">
      <c r="A68" s="25"/>
      <c r="B68" s="26"/>
      <c r="C68" s="26"/>
      <c r="D68" s="26"/>
    </row>
    <row r="69" spans="1:13" ht="15.6" thickBot="1" x14ac:dyDescent="0.6">
      <c r="A69" s="25"/>
      <c r="B69" s="26"/>
      <c r="C69" s="26"/>
      <c r="D69" s="26"/>
    </row>
    <row r="70" spans="1:13" ht="15.6" thickBot="1" x14ac:dyDescent="0.6">
      <c r="A70" s="141" t="s">
        <v>344</v>
      </c>
      <c r="B70" s="142"/>
      <c r="C70" s="143"/>
      <c r="D70" s="89"/>
      <c r="F70" t="s">
        <v>347</v>
      </c>
      <c r="K70" t="s">
        <v>353</v>
      </c>
    </row>
    <row r="71" spans="1:13" ht="15.6" thickBot="1" x14ac:dyDescent="0.6">
      <c r="A71" s="25" t="s">
        <v>84</v>
      </c>
      <c r="B71" s="2"/>
      <c r="C71" s="2"/>
      <c r="D71" s="89"/>
      <c r="F71" s="25" t="s">
        <v>84</v>
      </c>
      <c r="G71" s="2"/>
      <c r="H71" s="2"/>
      <c r="I71" s="2"/>
      <c r="K71" s="25" t="s">
        <v>84</v>
      </c>
      <c r="L71" s="2"/>
      <c r="M71" s="2"/>
    </row>
    <row r="72" spans="1:13" ht="15.6" thickBot="1" x14ac:dyDescent="0.6">
      <c r="A72" s="25" t="s">
        <v>70</v>
      </c>
      <c r="B72" s="25" t="s">
        <v>371</v>
      </c>
      <c r="C72" s="25" t="s">
        <v>372</v>
      </c>
      <c r="D72" s="89" t="s">
        <v>18</v>
      </c>
      <c r="E72" s="124" t="s">
        <v>77</v>
      </c>
      <c r="F72" s="25" t="s">
        <v>70</v>
      </c>
      <c r="G72" s="25" t="s">
        <v>366</v>
      </c>
      <c r="H72" s="25" t="s">
        <v>367</v>
      </c>
      <c r="I72" s="25"/>
      <c r="K72" s="25" t="s">
        <v>70</v>
      </c>
      <c r="L72" s="25" t="s">
        <v>34</v>
      </c>
      <c r="M72" s="25" t="s">
        <v>33</v>
      </c>
    </row>
    <row r="73" spans="1:13" ht="15.6" thickBot="1" x14ac:dyDescent="0.6">
      <c r="A73" s="25">
        <v>10</v>
      </c>
      <c r="B73" s="25">
        <f>32*60</f>
        <v>1920</v>
      </c>
      <c r="C73">
        <f>62*60</f>
        <v>3720</v>
      </c>
      <c r="D73" s="89" t="s">
        <v>356</v>
      </c>
      <c r="E73">
        <f>14*60</f>
        <v>840</v>
      </c>
      <c r="F73" s="25">
        <v>10</v>
      </c>
      <c r="G73" s="25">
        <f>30*60+46</f>
        <v>1846</v>
      </c>
      <c r="H73">
        <f>33*60</f>
        <v>1980</v>
      </c>
      <c r="K73" s="25">
        <v>10</v>
      </c>
    </row>
    <row r="74" spans="1:13" ht="15.6" thickBot="1" x14ac:dyDescent="0.6">
      <c r="A74" s="25">
        <v>20</v>
      </c>
      <c r="B74" s="25">
        <f>87*60</f>
        <v>5220</v>
      </c>
      <c r="C74" s="55">
        <f>339*60</f>
        <v>20340</v>
      </c>
      <c r="D74" s="89"/>
      <c r="E74" s="89">
        <f>41*60+28</f>
        <v>2488</v>
      </c>
      <c r="F74" s="25">
        <v>20</v>
      </c>
      <c r="G74" s="25">
        <f>83*60</f>
        <v>4980</v>
      </c>
      <c r="H74" s="55">
        <f>93*60</f>
        <v>5580</v>
      </c>
      <c r="K74" s="25">
        <v>20</v>
      </c>
    </row>
    <row r="75" spans="1:13" ht="15.6" thickBot="1" x14ac:dyDescent="0.6">
      <c r="A75" s="25">
        <v>30</v>
      </c>
      <c r="B75">
        <f>9990</f>
        <v>9990</v>
      </c>
      <c r="C75" s="26">
        <f>1190*60</f>
        <v>71400</v>
      </c>
      <c r="F75" s="25">
        <v>30</v>
      </c>
      <c r="G75" s="26">
        <f>168*60</f>
        <v>10080</v>
      </c>
      <c r="H75" s="26"/>
      <c r="I75" t="s">
        <v>348</v>
      </c>
      <c r="K75" s="25">
        <v>30</v>
      </c>
      <c r="M75">
        <f>234*60</f>
        <v>14040</v>
      </c>
    </row>
    <row r="76" spans="1:13" ht="15.6" thickBot="1" x14ac:dyDescent="0.6">
      <c r="A76" s="25" t="s">
        <v>85</v>
      </c>
      <c r="B76" s="26">
        <f>279*60</f>
        <v>16740</v>
      </c>
      <c r="C76" s="26"/>
    </row>
  </sheetData>
  <mergeCells count="5">
    <mergeCell ref="A2:C2"/>
    <mergeCell ref="A18:C18"/>
    <mergeCell ref="A61:C61"/>
    <mergeCell ref="A70:C70"/>
    <mergeCell ref="A36:C36"/>
  </mergeCells>
  <pageMargins left="0.7" right="0.7" top="0.75" bottom="0.75" header="0.3" footer="0.3"/>
  <pageSetup paperSize="9" orientation="portrait" horizont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6"/>
  <sheetViews>
    <sheetView topLeftCell="A4" workbookViewId="0">
      <selection activeCell="C19" sqref="C19"/>
    </sheetView>
  </sheetViews>
  <sheetFormatPr defaultRowHeight="14.4" x14ac:dyDescent="0.55000000000000004"/>
  <sheetData>
    <row r="2" spans="1:3" x14ac:dyDescent="0.55000000000000004">
      <c r="A2" t="s">
        <v>377</v>
      </c>
      <c r="B2" t="s">
        <v>378</v>
      </c>
      <c r="C2" t="s">
        <v>379</v>
      </c>
    </row>
    <row r="3" spans="1:3" x14ac:dyDescent="0.55000000000000004">
      <c r="A3">
        <v>2</v>
      </c>
    </row>
    <row r="4" spans="1:3" x14ac:dyDescent="0.55000000000000004">
      <c r="A4">
        <v>3</v>
      </c>
      <c r="B4">
        <f>B14/333*100</f>
        <v>100</v>
      </c>
      <c r="C4">
        <f>C14/1967*100</f>
        <v>100</v>
      </c>
    </row>
    <row r="5" spans="1:3" x14ac:dyDescent="0.55000000000000004">
      <c r="A5">
        <v>4</v>
      </c>
      <c r="B5">
        <f t="shared" ref="B5:B9" si="0">B15/333*100</f>
        <v>115.91591591591592</v>
      </c>
      <c r="C5">
        <f t="shared" ref="C5:C9" si="1">C15/1967*100</f>
        <v>101.16929334011185</v>
      </c>
    </row>
    <row r="6" spans="1:3" x14ac:dyDescent="0.55000000000000004">
      <c r="A6">
        <v>5</v>
      </c>
      <c r="B6">
        <f t="shared" si="0"/>
        <v>121.02102102102101</v>
      </c>
      <c r="C6">
        <f t="shared" si="1"/>
        <v>102.64361972547027</v>
      </c>
    </row>
    <row r="7" spans="1:3" x14ac:dyDescent="0.55000000000000004">
      <c r="A7">
        <v>6</v>
      </c>
      <c r="B7">
        <f t="shared" si="0"/>
        <v>143.24324324324326</v>
      </c>
      <c r="C7">
        <f t="shared" si="1"/>
        <v>102.23690899847485</v>
      </c>
    </row>
    <row r="8" spans="1:3" x14ac:dyDescent="0.55000000000000004">
      <c r="A8">
        <v>7</v>
      </c>
      <c r="B8">
        <f t="shared" si="0"/>
        <v>145.64564564564563</v>
      </c>
      <c r="C8">
        <f t="shared" si="1"/>
        <v>94.051855617691913</v>
      </c>
    </row>
    <row r="9" spans="1:3" x14ac:dyDescent="0.55000000000000004">
      <c r="A9">
        <v>8</v>
      </c>
      <c r="B9">
        <f t="shared" si="0"/>
        <v>159.75975975975976</v>
      </c>
      <c r="C9">
        <f t="shared" si="1"/>
        <v>91.154041687849514</v>
      </c>
    </row>
    <row r="12" spans="1:3" x14ac:dyDescent="0.55000000000000004">
      <c r="A12" t="s">
        <v>377</v>
      </c>
      <c r="B12" t="s">
        <v>378</v>
      </c>
      <c r="C12" t="s">
        <v>379</v>
      </c>
    </row>
    <row r="13" spans="1:3" x14ac:dyDescent="0.55000000000000004">
      <c r="A13">
        <v>2</v>
      </c>
    </row>
    <row r="14" spans="1:3" x14ac:dyDescent="0.55000000000000004">
      <c r="A14">
        <v>3</v>
      </c>
      <c r="B14">
        <v>333</v>
      </c>
      <c r="C14">
        <f>32*60+47</f>
        <v>1967</v>
      </c>
    </row>
    <row r="15" spans="1:3" x14ac:dyDescent="0.55000000000000004">
      <c r="A15">
        <v>4</v>
      </c>
      <c r="B15">
        <f>386</f>
        <v>386</v>
      </c>
      <c r="C15">
        <f>33*60+10</f>
        <v>1990</v>
      </c>
    </row>
    <row r="16" spans="1:3" x14ac:dyDescent="0.55000000000000004">
      <c r="A16">
        <v>5</v>
      </c>
      <c r="B16">
        <v>403</v>
      </c>
      <c r="C16">
        <f>33*60+39</f>
        <v>2019</v>
      </c>
    </row>
    <row r="17" spans="1:3" x14ac:dyDescent="0.55000000000000004">
      <c r="A17">
        <v>6</v>
      </c>
      <c r="B17">
        <v>477</v>
      </c>
      <c r="C17">
        <f>33*60+31</f>
        <v>2011</v>
      </c>
    </row>
    <row r="18" spans="1:3" x14ac:dyDescent="0.55000000000000004">
      <c r="A18">
        <v>7</v>
      </c>
      <c r="B18">
        <v>485</v>
      </c>
      <c r="C18">
        <f>30*60+50</f>
        <v>1850</v>
      </c>
    </row>
    <row r="19" spans="1:3" x14ac:dyDescent="0.55000000000000004">
      <c r="A19">
        <v>8</v>
      </c>
      <c r="B19">
        <v>532</v>
      </c>
      <c r="C19">
        <f>29*60+53</f>
        <v>1793</v>
      </c>
    </row>
    <row r="24" spans="1:3" x14ac:dyDescent="0.55000000000000004">
      <c r="A24" t="s">
        <v>380</v>
      </c>
    </row>
    <row r="25" spans="1:3" x14ac:dyDescent="0.55000000000000004">
      <c r="A25" t="s">
        <v>381</v>
      </c>
    </row>
    <row r="26" spans="1:3" x14ac:dyDescent="0.55000000000000004">
      <c r="A26" t="s">
        <v>382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topLeftCell="P49" zoomScaleNormal="100" workbookViewId="0">
      <selection activeCell="AA58" sqref="AA58"/>
    </sheetView>
  </sheetViews>
  <sheetFormatPr defaultRowHeight="14.4" x14ac:dyDescent="0.55000000000000004"/>
  <cols>
    <col min="1" max="1" width="11" bestFit="1" customWidth="1"/>
  </cols>
  <sheetData>
    <row r="1" spans="1:10" ht="15.6" thickBot="1" x14ac:dyDescent="0.6">
      <c r="A1" s="52" t="s">
        <v>255</v>
      </c>
      <c r="E1" t="s">
        <v>257</v>
      </c>
      <c r="G1" s="95">
        <v>4.0000000000000001E-3</v>
      </c>
    </row>
    <row r="4" spans="1:10" x14ac:dyDescent="0.55000000000000004">
      <c r="J4">
        <f>40000/10000000</f>
        <v>4.0000000000000001E-3</v>
      </c>
    </row>
    <row r="6" spans="1:10" ht="14.7" thickBot="1" x14ac:dyDescent="0.6"/>
    <row r="7" spans="1:10" ht="25.8" thickBot="1" x14ac:dyDescent="0.6">
      <c r="A7" s="31" t="s">
        <v>260</v>
      </c>
      <c r="B7" s="32" t="s">
        <v>35</v>
      </c>
      <c r="C7" s="32" t="s">
        <v>33</v>
      </c>
      <c r="D7" s="32" t="s">
        <v>34</v>
      </c>
      <c r="E7" s="33" t="s">
        <v>118</v>
      </c>
      <c r="F7" s="34" t="s">
        <v>248</v>
      </c>
      <c r="G7" s="98" t="s">
        <v>256</v>
      </c>
    </row>
    <row r="8" spans="1:10" ht="14.7" thickBot="1" x14ac:dyDescent="0.6">
      <c r="A8" s="35">
        <f>A15/10^7</f>
        <v>1</v>
      </c>
      <c r="B8" s="38">
        <v>165</v>
      </c>
      <c r="C8" s="38">
        <v>203</v>
      </c>
      <c r="D8" s="38">
        <v>243</v>
      </c>
      <c r="E8" s="100">
        <v>166</v>
      </c>
      <c r="F8" s="48">
        <v>222</v>
      </c>
      <c r="G8">
        <f>A8*J4</f>
        <v>4.0000000000000001E-3</v>
      </c>
    </row>
    <row r="9" spans="1:10" ht="14.7" thickBot="1" x14ac:dyDescent="0.6">
      <c r="A9" s="35">
        <f t="shared" ref="A9:A12" si="0">A16/10^7</f>
        <v>5</v>
      </c>
      <c r="B9" s="3">
        <v>330</v>
      </c>
      <c r="C9" s="3">
        <v>305</v>
      </c>
      <c r="D9" s="3">
        <v>254</v>
      </c>
      <c r="E9" s="96"/>
      <c r="F9" s="37">
        <v>234</v>
      </c>
      <c r="G9">
        <f>A9*J4</f>
        <v>0.02</v>
      </c>
      <c r="H9">
        <f>(5*10^7)*0.4%</f>
        <v>200000</v>
      </c>
      <c r="I9" t="s">
        <v>351</v>
      </c>
    </row>
    <row r="10" spans="1:10" ht="14.7" thickBot="1" x14ac:dyDescent="0.6">
      <c r="A10" s="35">
        <f t="shared" si="0"/>
        <v>10</v>
      </c>
      <c r="B10" s="3">
        <v>487</v>
      </c>
      <c r="C10" s="3">
        <v>418</v>
      </c>
      <c r="D10" s="3">
        <v>304</v>
      </c>
      <c r="E10" s="38"/>
      <c r="F10" s="37">
        <v>234</v>
      </c>
      <c r="G10">
        <f>A10*J4</f>
        <v>0.04</v>
      </c>
    </row>
    <row r="11" spans="1:10" ht="14.7" thickBot="1" x14ac:dyDescent="0.6">
      <c r="A11" s="35">
        <f t="shared" si="0"/>
        <v>50</v>
      </c>
      <c r="B11" s="3">
        <f>39*60+25</f>
        <v>2365</v>
      </c>
      <c r="C11" s="3">
        <f>24*60+58</f>
        <v>1498</v>
      </c>
      <c r="D11" s="3">
        <f>7*60+35</f>
        <v>455</v>
      </c>
      <c r="E11" s="38"/>
      <c r="F11" s="37">
        <v>234</v>
      </c>
      <c r="G11">
        <f>A11*J4</f>
        <v>0.2</v>
      </c>
      <c r="H11">
        <f t="shared" ref="H11" si="1">G11*A11*10^7</f>
        <v>100000000</v>
      </c>
    </row>
    <row r="12" spans="1:10" ht="14.7" thickBot="1" x14ac:dyDescent="0.6">
      <c r="A12" s="35">
        <f t="shared" si="0"/>
        <v>100</v>
      </c>
      <c r="B12" s="97">
        <f>68*60</f>
        <v>4080</v>
      </c>
      <c r="C12" s="40">
        <f>48*60+58</f>
        <v>2938</v>
      </c>
      <c r="D12" s="40">
        <v>633</v>
      </c>
      <c r="E12" s="41"/>
      <c r="F12" s="42">
        <v>234</v>
      </c>
      <c r="G12">
        <f>A12*J4</f>
        <v>0.4</v>
      </c>
      <c r="H12">
        <f>(100*10^7)*0.4%</f>
        <v>4000000</v>
      </c>
    </row>
    <row r="14" spans="1:10" ht="14.7" thickBot="1" x14ac:dyDescent="0.6"/>
    <row r="15" spans="1:10" ht="14.7" thickBot="1" x14ac:dyDescent="0.6">
      <c r="A15" s="35">
        <v>10000000</v>
      </c>
    </row>
    <row r="16" spans="1:10" ht="14.7" thickBot="1" x14ac:dyDescent="0.6">
      <c r="A16" s="35">
        <v>50000000</v>
      </c>
    </row>
    <row r="17" spans="1:7" ht="14.7" thickBot="1" x14ac:dyDescent="0.6">
      <c r="A17" s="35">
        <v>100000000</v>
      </c>
    </row>
    <row r="18" spans="1:7" ht="14.7" thickBot="1" x14ac:dyDescent="0.6">
      <c r="A18" s="35">
        <v>500000000</v>
      </c>
    </row>
    <row r="19" spans="1:7" ht="14.7" thickBot="1" x14ac:dyDescent="0.6">
      <c r="A19" s="39">
        <v>1000000000</v>
      </c>
    </row>
    <row r="22" spans="1:7" ht="14.7" thickBot="1" x14ac:dyDescent="0.6"/>
    <row r="23" spans="1:7" ht="25.8" thickBot="1" x14ac:dyDescent="0.6">
      <c r="A23" s="31" t="s">
        <v>260</v>
      </c>
      <c r="B23" s="32" t="s">
        <v>35</v>
      </c>
      <c r="C23" s="32" t="s">
        <v>33</v>
      </c>
      <c r="D23" s="32" t="s">
        <v>34</v>
      </c>
      <c r="E23" s="33" t="s">
        <v>118</v>
      </c>
      <c r="F23" s="34" t="s">
        <v>248</v>
      </c>
      <c r="G23" s="98" t="s">
        <v>256</v>
      </c>
    </row>
    <row r="24" spans="1:7" ht="14.7" thickBot="1" x14ac:dyDescent="0.6">
      <c r="A24" s="35">
        <v>1</v>
      </c>
      <c r="B24" s="38">
        <v>165</v>
      </c>
      <c r="C24" s="38">
        <v>203</v>
      </c>
      <c r="D24" s="38">
        <v>179</v>
      </c>
      <c r="E24" s="100">
        <v>166</v>
      </c>
      <c r="F24" s="48">
        <v>222</v>
      </c>
      <c r="G24">
        <v>4.0000000000000001E-3</v>
      </c>
    </row>
    <row r="25" spans="1:7" ht="14.7" thickBot="1" x14ac:dyDescent="0.6">
      <c r="A25" s="35">
        <v>5</v>
      </c>
      <c r="B25" s="3">
        <v>330</v>
      </c>
      <c r="C25" s="3">
        <v>305</v>
      </c>
      <c r="D25" s="3">
        <v>249</v>
      </c>
      <c r="E25" s="96"/>
      <c r="F25" s="37">
        <v>234</v>
      </c>
      <c r="G25">
        <v>0.02</v>
      </c>
    </row>
    <row r="26" spans="1:7" ht="14.7" thickBot="1" x14ac:dyDescent="0.6">
      <c r="A26" s="35">
        <v>10</v>
      </c>
      <c r="B26" s="3">
        <v>487</v>
      </c>
      <c r="C26" s="3">
        <v>418</v>
      </c>
      <c r="D26" s="3">
        <v>534</v>
      </c>
      <c r="E26" s="38"/>
      <c r="F26" s="37">
        <v>234</v>
      </c>
      <c r="G26">
        <v>0.04</v>
      </c>
    </row>
    <row r="27" spans="1:7" ht="14.7" thickBot="1" x14ac:dyDescent="0.6">
      <c r="A27" s="35">
        <v>50</v>
      </c>
      <c r="B27" s="3">
        <v>2365</v>
      </c>
      <c r="C27" s="3">
        <v>1498</v>
      </c>
      <c r="D27" s="3">
        <v>509</v>
      </c>
      <c r="E27" s="38"/>
      <c r="F27" s="37">
        <v>234</v>
      </c>
      <c r="G27">
        <v>0.2</v>
      </c>
    </row>
    <row r="28" spans="1:7" ht="14.7" thickBot="1" x14ac:dyDescent="0.6">
      <c r="A28" s="35">
        <v>100</v>
      </c>
      <c r="B28" s="97">
        <f>68*60</f>
        <v>4080</v>
      </c>
      <c r="C28" s="40">
        <v>2938</v>
      </c>
      <c r="D28" s="40">
        <v>585</v>
      </c>
      <c r="E28" s="41"/>
      <c r="F28" s="42">
        <v>234</v>
      </c>
      <c r="G28">
        <v>0.4</v>
      </c>
    </row>
    <row r="31" spans="1:7" ht="14.7" thickBot="1" x14ac:dyDescent="0.6"/>
    <row r="32" spans="1:7" ht="15.6" thickBot="1" x14ac:dyDescent="0.6">
      <c r="A32" s="52" t="s">
        <v>352</v>
      </c>
      <c r="E32" t="s">
        <v>257</v>
      </c>
      <c r="G32" s="95">
        <v>4.0000000000000001E-3</v>
      </c>
    </row>
    <row r="33" spans="1:6" ht="25.8" thickBot="1" x14ac:dyDescent="0.6">
      <c r="A33" s="31" t="s">
        <v>260</v>
      </c>
      <c r="B33" s="32" t="s">
        <v>35</v>
      </c>
      <c r="C33" s="32" t="s">
        <v>33</v>
      </c>
      <c r="D33" s="32" t="s">
        <v>34</v>
      </c>
      <c r="E33" s="33" t="s">
        <v>118</v>
      </c>
      <c r="F33" s="34" t="s">
        <v>248</v>
      </c>
    </row>
    <row r="34" spans="1:6" ht="14.7" thickBot="1" x14ac:dyDescent="0.6">
      <c r="A34" s="35">
        <v>1</v>
      </c>
      <c r="B34" s="38"/>
      <c r="C34" s="38"/>
      <c r="D34" s="38"/>
      <c r="E34" s="100"/>
      <c r="F34" s="48"/>
    </row>
    <row r="35" spans="1:6" ht="14.7" thickBot="1" x14ac:dyDescent="0.6">
      <c r="A35" s="35">
        <v>5</v>
      </c>
      <c r="B35" s="3"/>
      <c r="C35" s="3"/>
      <c r="D35" s="3"/>
      <c r="E35" s="96"/>
      <c r="F35" s="37"/>
    </row>
    <row r="36" spans="1:6" ht="14.7" thickBot="1" x14ac:dyDescent="0.6">
      <c r="A36" s="35">
        <v>10</v>
      </c>
      <c r="B36" s="3"/>
      <c r="C36" s="3"/>
      <c r="D36" s="3"/>
      <c r="E36" s="38"/>
      <c r="F36" s="37"/>
    </row>
    <row r="37" spans="1:6" ht="14.7" thickBot="1" x14ac:dyDescent="0.6">
      <c r="A37" s="35">
        <v>50</v>
      </c>
      <c r="B37" s="3"/>
      <c r="C37" s="3"/>
      <c r="D37" s="3"/>
      <c r="E37" s="38"/>
      <c r="F37" s="37"/>
    </row>
    <row r="38" spans="1:6" ht="14.7" thickBot="1" x14ac:dyDescent="0.6">
      <c r="A38" s="35">
        <v>100</v>
      </c>
      <c r="B38" s="97"/>
      <c r="C38" s="40"/>
      <c r="D38" s="40"/>
      <c r="E38" s="41"/>
      <c r="F38" s="4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9" zoomScaleNormal="100" workbookViewId="0">
      <selection activeCell="G24" sqref="G24"/>
    </sheetView>
  </sheetViews>
  <sheetFormatPr defaultRowHeight="14.4" x14ac:dyDescent="0.55000000000000004"/>
  <cols>
    <col min="1" max="1" width="11" bestFit="1" customWidth="1"/>
  </cols>
  <sheetData>
    <row r="1" spans="1:10" ht="15.6" thickBot="1" x14ac:dyDescent="0.6">
      <c r="A1" s="52" t="s">
        <v>255</v>
      </c>
      <c r="E1" t="s">
        <v>257</v>
      </c>
      <c r="G1" s="95">
        <v>4.0000000000000001E-3</v>
      </c>
    </row>
    <row r="4" spans="1:10" x14ac:dyDescent="0.55000000000000004">
      <c r="J4">
        <f>40000/10000000</f>
        <v>4.0000000000000001E-3</v>
      </c>
    </row>
    <row r="6" spans="1:10" ht="14.7" thickBot="1" x14ac:dyDescent="0.6"/>
    <row r="7" spans="1:10" ht="25.8" thickBot="1" x14ac:dyDescent="0.6">
      <c r="A7" s="31" t="s">
        <v>260</v>
      </c>
      <c r="B7" s="32" t="s">
        <v>35</v>
      </c>
      <c r="C7" s="32" t="s">
        <v>33</v>
      </c>
      <c r="D7" s="32" t="s">
        <v>34</v>
      </c>
      <c r="E7" s="33" t="s">
        <v>118</v>
      </c>
      <c r="F7" s="34" t="s">
        <v>248</v>
      </c>
      <c r="G7" s="98" t="s">
        <v>256</v>
      </c>
    </row>
    <row r="8" spans="1:10" ht="14.7" thickBot="1" x14ac:dyDescent="0.6">
      <c r="A8" s="35">
        <f>A15/10^7</f>
        <v>1</v>
      </c>
      <c r="B8" s="38">
        <v>165</v>
      </c>
      <c r="C8" s="38">
        <v>203</v>
      </c>
      <c r="D8" s="38">
        <v>147</v>
      </c>
      <c r="E8" s="100">
        <v>166</v>
      </c>
      <c r="F8" s="48">
        <v>222</v>
      </c>
      <c r="G8">
        <f>A8*J4</f>
        <v>4.0000000000000001E-3</v>
      </c>
    </row>
    <row r="9" spans="1:10" ht="14.7" thickBot="1" x14ac:dyDescent="0.6">
      <c r="A9" s="35">
        <f t="shared" ref="A9:A12" si="0">A16/10^7</f>
        <v>5</v>
      </c>
      <c r="B9" s="3">
        <v>330</v>
      </c>
      <c r="C9" s="3">
        <v>305</v>
      </c>
      <c r="D9" s="3">
        <v>178</v>
      </c>
      <c r="E9" s="96"/>
      <c r="F9" s="37">
        <v>234</v>
      </c>
      <c r="G9">
        <f>A9*J4</f>
        <v>0.02</v>
      </c>
      <c r="H9">
        <f>(5*10^7)*0.4%</f>
        <v>200000</v>
      </c>
      <c r="I9" t="s">
        <v>351</v>
      </c>
    </row>
    <row r="10" spans="1:10" ht="14.7" thickBot="1" x14ac:dyDescent="0.6">
      <c r="A10" s="35">
        <f t="shared" si="0"/>
        <v>10</v>
      </c>
      <c r="B10" s="3">
        <v>487</v>
      </c>
      <c r="C10" s="3">
        <v>418</v>
      </c>
      <c r="D10" s="3">
        <v>199</v>
      </c>
      <c r="E10" s="38"/>
      <c r="F10" s="37">
        <v>234</v>
      </c>
      <c r="G10">
        <f>A10*J4</f>
        <v>0.04</v>
      </c>
    </row>
    <row r="11" spans="1:10" ht="14.7" thickBot="1" x14ac:dyDescent="0.6">
      <c r="A11" s="35">
        <f t="shared" si="0"/>
        <v>50</v>
      </c>
      <c r="B11" s="3">
        <f>39*60+25</f>
        <v>2365</v>
      </c>
      <c r="C11" s="3">
        <f>24*60+58</f>
        <v>1498</v>
      </c>
      <c r="D11" s="3">
        <v>359</v>
      </c>
      <c r="E11" s="38"/>
      <c r="F11" s="37">
        <v>234</v>
      </c>
      <c r="G11">
        <f>A11*J4</f>
        <v>0.2</v>
      </c>
      <c r="H11">
        <f t="shared" ref="H11" si="1">G11*A11*10^7</f>
        <v>100000000</v>
      </c>
    </row>
    <row r="12" spans="1:10" ht="14.7" thickBot="1" x14ac:dyDescent="0.6">
      <c r="A12" s="35">
        <f t="shared" si="0"/>
        <v>100</v>
      </c>
      <c r="B12" s="97">
        <f>68*60</f>
        <v>4080</v>
      </c>
      <c r="C12" s="40">
        <f>48*60+58</f>
        <v>2938</v>
      </c>
      <c r="D12" s="40">
        <v>538</v>
      </c>
      <c r="E12" s="41"/>
      <c r="F12" s="42">
        <v>234</v>
      </c>
      <c r="G12">
        <f>A12*J4</f>
        <v>0.4</v>
      </c>
      <c r="H12">
        <f>(100*10^7)*0.4%</f>
        <v>4000000</v>
      </c>
    </row>
    <row r="14" spans="1:10" ht="14.7" thickBot="1" x14ac:dyDescent="0.6"/>
    <row r="15" spans="1:10" ht="14.7" thickBot="1" x14ac:dyDescent="0.6">
      <c r="A15" s="35">
        <v>10000000</v>
      </c>
    </row>
    <row r="16" spans="1:10" ht="14.7" thickBot="1" x14ac:dyDescent="0.6">
      <c r="A16" s="35">
        <v>50000000</v>
      </c>
    </row>
    <row r="17" spans="1:7" ht="14.7" thickBot="1" x14ac:dyDescent="0.6">
      <c r="A17" s="35">
        <v>100000000</v>
      </c>
    </row>
    <row r="18" spans="1:7" ht="14.7" thickBot="1" x14ac:dyDescent="0.6">
      <c r="A18" s="35">
        <v>500000000</v>
      </c>
    </row>
    <row r="19" spans="1:7" ht="14.7" thickBot="1" x14ac:dyDescent="0.6">
      <c r="A19" s="39">
        <v>1000000000</v>
      </c>
    </row>
    <row r="22" spans="1:7" ht="14.7" thickBot="1" x14ac:dyDescent="0.6"/>
    <row r="23" spans="1:7" ht="25.8" thickBot="1" x14ac:dyDescent="0.6">
      <c r="A23" s="31" t="s">
        <v>260</v>
      </c>
      <c r="B23" s="32" t="s">
        <v>35</v>
      </c>
      <c r="C23" s="32" t="s">
        <v>33</v>
      </c>
      <c r="D23" s="32" t="s">
        <v>34</v>
      </c>
      <c r="E23" s="33" t="s">
        <v>118</v>
      </c>
      <c r="F23" s="34" t="s">
        <v>248</v>
      </c>
      <c r="G23" s="98" t="s">
        <v>256</v>
      </c>
    </row>
    <row r="24" spans="1:7" ht="14.7" thickBot="1" x14ac:dyDescent="0.6">
      <c r="A24" s="35">
        <v>1</v>
      </c>
      <c r="B24" s="38">
        <v>165</v>
      </c>
      <c r="C24" s="38">
        <v>203</v>
      </c>
      <c r="D24" s="38">
        <v>179</v>
      </c>
      <c r="E24" s="100">
        <v>166</v>
      </c>
      <c r="F24" s="48">
        <v>222</v>
      </c>
      <c r="G24">
        <v>4.0000000000000001E-3</v>
      </c>
    </row>
    <row r="25" spans="1:7" ht="14.7" thickBot="1" x14ac:dyDescent="0.6">
      <c r="A25" s="35">
        <v>5</v>
      </c>
      <c r="B25" s="3">
        <v>330</v>
      </c>
      <c r="C25" s="3">
        <v>305</v>
      </c>
      <c r="D25" s="3">
        <v>249</v>
      </c>
      <c r="E25" s="96"/>
      <c r="F25" s="37">
        <v>234</v>
      </c>
      <c r="G25">
        <v>0.02</v>
      </c>
    </row>
    <row r="26" spans="1:7" ht="14.7" thickBot="1" x14ac:dyDescent="0.6">
      <c r="A26" s="35">
        <v>10</v>
      </c>
      <c r="B26" s="3">
        <v>487</v>
      </c>
      <c r="C26" s="3">
        <v>418</v>
      </c>
      <c r="D26" s="3">
        <v>534</v>
      </c>
      <c r="E26" s="38"/>
      <c r="F26" s="37">
        <v>234</v>
      </c>
      <c r="G26">
        <v>0.04</v>
      </c>
    </row>
    <row r="27" spans="1:7" ht="14.7" thickBot="1" x14ac:dyDescent="0.6">
      <c r="A27" s="35">
        <v>50</v>
      </c>
      <c r="B27" s="3">
        <v>2365</v>
      </c>
      <c r="C27" s="3">
        <v>1498</v>
      </c>
      <c r="D27" s="3">
        <v>509</v>
      </c>
      <c r="E27" s="38"/>
      <c r="F27" s="37">
        <v>234</v>
      </c>
      <c r="G27">
        <v>0.2</v>
      </c>
    </row>
    <row r="28" spans="1:7" ht="14.7" thickBot="1" x14ac:dyDescent="0.6">
      <c r="A28" s="35">
        <v>100</v>
      </c>
      <c r="B28" s="97">
        <f>68*60</f>
        <v>4080</v>
      </c>
      <c r="C28" s="40">
        <v>2938</v>
      </c>
      <c r="D28" s="40">
        <v>585</v>
      </c>
      <c r="E28" s="41"/>
      <c r="F28" s="42">
        <v>234</v>
      </c>
      <c r="G28">
        <v>0.4</v>
      </c>
    </row>
    <row r="31" spans="1:7" ht="14.7" thickBot="1" x14ac:dyDescent="0.6"/>
    <row r="32" spans="1:7" ht="15.6" thickBot="1" x14ac:dyDescent="0.6">
      <c r="A32" s="52" t="s">
        <v>352</v>
      </c>
      <c r="E32" t="s">
        <v>257</v>
      </c>
      <c r="G32" s="95">
        <v>4.0000000000000001E-3</v>
      </c>
    </row>
    <row r="33" spans="1:6" ht="25.8" thickBot="1" x14ac:dyDescent="0.6">
      <c r="A33" s="31" t="s">
        <v>260</v>
      </c>
      <c r="B33" s="32" t="s">
        <v>35</v>
      </c>
      <c r="C33" s="32" t="s">
        <v>33</v>
      </c>
      <c r="D33" s="32" t="s">
        <v>34</v>
      </c>
      <c r="E33" s="33" t="s">
        <v>118</v>
      </c>
      <c r="F33" s="34" t="s">
        <v>248</v>
      </c>
    </row>
    <row r="34" spans="1:6" ht="14.7" thickBot="1" x14ac:dyDescent="0.6">
      <c r="A34" s="35">
        <v>1</v>
      </c>
      <c r="B34" s="38"/>
      <c r="C34" s="38"/>
      <c r="D34" s="38"/>
      <c r="E34" s="100"/>
      <c r="F34" s="48"/>
    </row>
    <row r="35" spans="1:6" ht="14.7" thickBot="1" x14ac:dyDescent="0.6">
      <c r="A35" s="35">
        <v>5</v>
      </c>
      <c r="B35" s="3"/>
      <c r="C35" s="3"/>
      <c r="D35" s="3"/>
      <c r="E35" s="96"/>
      <c r="F35" s="37"/>
    </row>
    <row r="36" spans="1:6" ht="14.7" thickBot="1" x14ac:dyDescent="0.6">
      <c r="A36" s="35">
        <v>10</v>
      </c>
      <c r="B36" s="3"/>
      <c r="C36" s="3"/>
      <c r="D36" s="3"/>
      <c r="E36" s="38"/>
      <c r="F36" s="37"/>
    </row>
    <row r="37" spans="1:6" ht="14.7" thickBot="1" x14ac:dyDescent="0.6">
      <c r="A37" s="35">
        <v>50</v>
      </c>
      <c r="B37" s="3"/>
      <c r="C37" s="3"/>
      <c r="D37" s="3"/>
      <c r="E37" s="38"/>
      <c r="F37" s="37"/>
    </row>
    <row r="38" spans="1:6" ht="14.7" thickBot="1" x14ac:dyDescent="0.6">
      <c r="A38" s="35">
        <v>100</v>
      </c>
      <c r="B38" s="97"/>
      <c r="C38" s="40"/>
      <c r="D38" s="40"/>
      <c r="E38" s="41"/>
      <c r="F38" s="4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22</vt:i4>
      </vt:variant>
    </vt:vector>
  </HeadingPairs>
  <TitlesOfParts>
    <vt:vector size="22" baseType="lpstr">
      <vt:lpstr>minsup_nuovo_6000</vt:lpstr>
      <vt:lpstr>minsup_nuovo</vt:lpstr>
      <vt:lpstr>communication_cost</vt:lpstr>
      <vt:lpstr>communication_approfondimento</vt:lpstr>
      <vt:lpstr>attributes_10M trans._NEW_6000</vt:lpstr>
      <vt:lpstr>attributes_10M trans._NEW</vt:lpstr>
      <vt:lpstr>df_vs_bf</vt:lpstr>
      <vt:lpstr>scalabilità_nuovo_6000</vt:lpstr>
      <vt:lpstr>scalabilità_nuovo</vt:lpstr>
      <vt:lpstr>pattern_length_NEW</vt:lpstr>
      <vt:lpstr>Delicious_NEW_6000</vt:lpstr>
      <vt:lpstr>Delicious_NEW</vt:lpstr>
      <vt:lpstr>Net</vt:lpstr>
      <vt:lpstr>load_balancing_diversi graf.</vt:lpstr>
      <vt:lpstr>minsup</vt:lpstr>
      <vt:lpstr>datasets_info</vt:lpstr>
      <vt:lpstr>dataset_size</vt:lpstr>
      <vt:lpstr>delicious stat</vt:lpstr>
      <vt:lpstr>controllo_aumento_itemsets</vt:lpstr>
      <vt:lpstr>attributes_100M trans.</vt:lpstr>
      <vt:lpstr>delicious_old</vt:lpstr>
      <vt:lpstr>minsup_small_old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fabio.pulvirenti88@hotmail.com</dc:creator>
  <cp:lastModifiedBy>Fabio Pulvirenti</cp:lastModifiedBy>
  <dcterms:created xsi:type="dcterms:W3CDTF">2015-09-04T11:56:30Z</dcterms:created>
  <dcterms:modified xsi:type="dcterms:W3CDTF">2016-10-12T16:09:32Z</dcterms:modified>
</cp:coreProperties>
</file>