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21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ropbox\Pampa_extension\Pampa_elsarticle\immagini_extension\"/>
    </mc:Choice>
  </mc:AlternateContent>
  <bookViews>
    <workbookView xWindow="13020" yWindow="0" windowWidth="21525" windowHeight="11985" firstSheet="17" activeTab="17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PEMS_threshold_fisso" sheetId="6" r:id="rId6"/>
    <sheet name="Breast_treshold_fisso" sheetId="7" r:id="rId7"/>
    <sheet name="PEMS_strategies (2)" sheetId="9" r:id="rId8"/>
    <sheet name="PEMS_strategies" sheetId="8" r:id="rId9"/>
    <sheet name="breast_new_minsup_5" sheetId="18" r:id="rId10"/>
    <sheet name="breast_news" sheetId="16" r:id="rId11"/>
    <sheet name="pems_new" sheetId="17" r:id="rId12"/>
    <sheet name="breast_confidence interval" sheetId="11" r:id="rId13"/>
    <sheet name="pems_confidence interval" sheetId="12" r:id="rId14"/>
    <sheet name="breast_confidence interval_back" sheetId="13" r:id="rId15"/>
    <sheet name="confronto_breast" sheetId="14" r:id="rId16"/>
    <sheet name="confronto_pems" sheetId="10" r:id="rId17"/>
    <sheet name="confronto_pems_2" sheetId="19" r:id="rId18"/>
    <sheet name="confronto_breast_2" sheetId="22" r:id="rId19"/>
    <sheet name="pems_new16aprile" sheetId="20" r:id="rId20"/>
    <sheet name="breast_new16aprile" sheetId="21" r:id="rId21"/>
    <sheet name="confronto_pems_all" sheetId="15" r:id="rId22"/>
    <sheet name="confronto_pems_200" sheetId="23" r:id="rId23"/>
    <sheet name="scalabilità" sheetId="24" r:id="rId24"/>
    <sheet name="Foglio6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8" i="19" l="1"/>
  <c r="Z59" i="19"/>
  <c r="Z60" i="19"/>
  <c r="Z61" i="19"/>
  <c r="Z62" i="19"/>
  <c r="Z63" i="19"/>
  <c r="Z64" i="19"/>
  <c r="Z57" i="19" l="1"/>
  <c r="I4" i="25" l="1"/>
  <c r="I5" i="25"/>
  <c r="I6" i="25"/>
  <c r="I7" i="25"/>
  <c r="I3" i="25"/>
  <c r="E4" i="25" l="1"/>
  <c r="E5" i="25"/>
  <c r="E6" i="25"/>
  <c r="E7" i="25"/>
  <c r="E3" i="25"/>
  <c r="C27" i="24"/>
  <c r="C28" i="24"/>
  <c r="C29" i="24"/>
  <c r="C30" i="24"/>
  <c r="C31" i="24"/>
  <c r="C26" i="24"/>
  <c r="C15" i="24"/>
  <c r="C16" i="24"/>
  <c r="C17" i="24"/>
  <c r="C18" i="24"/>
  <c r="C19" i="24"/>
  <c r="C14" i="24"/>
  <c r="B9" i="24" l="1"/>
  <c r="B8" i="24"/>
  <c r="B7" i="24"/>
  <c r="B6" i="24"/>
  <c r="B5" i="24"/>
  <c r="C7" i="24" l="1"/>
  <c r="C8" i="24"/>
  <c r="C9" i="24"/>
  <c r="C10" i="24"/>
  <c r="C6" i="24"/>
  <c r="C5" i="24"/>
  <c r="T52" i="23" l="1"/>
  <c r="H67" i="23" l="1"/>
  <c r="H66" i="23"/>
  <c r="E70" i="23"/>
  <c r="E69" i="23"/>
  <c r="E68" i="23"/>
  <c r="N30" i="23"/>
  <c r="N29" i="23"/>
  <c r="N28" i="23"/>
  <c r="H26" i="23"/>
  <c r="H27" i="23"/>
  <c r="H28" i="23"/>
  <c r="H29" i="23"/>
  <c r="H30" i="23"/>
  <c r="H25" i="23"/>
  <c r="E25" i="23"/>
  <c r="E26" i="23"/>
  <c r="E27" i="23"/>
  <c r="E28" i="23"/>
  <c r="E29" i="23"/>
  <c r="E30" i="23"/>
  <c r="E31" i="23"/>
  <c r="C24" i="23"/>
  <c r="C25" i="23"/>
  <c r="C26" i="23"/>
  <c r="T51" i="23"/>
  <c r="T50" i="23"/>
  <c r="T28" i="23"/>
  <c r="U47" i="23"/>
  <c r="U48" i="23"/>
  <c r="U49" i="23"/>
  <c r="U50" i="23"/>
  <c r="U51" i="23"/>
  <c r="U52" i="23"/>
  <c r="U28" i="23" l="1"/>
  <c r="Y22" i="23"/>
  <c r="U27" i="23" l="1"/>
  <c r="U22" i="23"/>
  <c r="U23" i="23"/>
  <c r="U24" i="23"/>
  <c r="U25" i="23"/>
  <c r="U26" i="23"/>
  <c r="U21" i="23"/>
  <c r="U46" i="23"/>
  <c r="U43" i="23"/>
  <c r="U42" i="23"/>
  <c r="U41" i="23"/>
  <c r="U40" i="23"/>
  <c r="U39" i="23"/>
  <c r="AC38" i="23"/>
  <c r="Y38" i="23"/>
  <c r="U38" i="23"/>
  <c r="AC37" i="23"/>
  <c r="Y37" i="23"/>
  <c r="U37" i="23"/>
  <c r="AC27" i="23"/>
  <c r="Y27" i="23"/>
  <c r="F27" i="23"/>
  <c r="G27" i="23" s="1"/>
  <c r="AC26" i="23"/>
  <c r="Y26" i="23"/>
  <c r="F26" i="23"/>
  <c r="G26" i="23" s="1"/>
  <c r="D26" i="23"/>
  <c r="AC25" i="23"/>
  <c r="Y25" i="23"/>
  <c r="I25" i="23"/>
  <c r="J25" i="23" s="1"/>
  <c r="F25" i="23"/>
  <c r="G25" i="23" s="1"/>
  <c r="D25" i="23"/>
  <c r="AC24" i="23"/>
  <c r="Y24" i="23"/>
  <c r="I24" i="23"/>
  <c r="J24" i="23" s="1"/>
  <c r="H24" i="23"/>
  <c r="F24" i="23"/>
  <c r="G24" i="23" s="1"/>
  <c r="E24" i="23"/>
  <c r="D24" i="23"/>
  <c r="AC23" i="23"/>
  <c r="Y23" i="23"/>
  <c r="AC22" i="23"/>
  <c r="AC21" i="23"/>
  <c r="Y21" i="23"/>
  <c r="U18" i="23"/>
  <c r="AC17" i="23"/>
  <c r="Y17" i="23"/>
  <c r="U17" i="23"/>
  <c r="AC16" i="23"/>
  <c r="Y16" i="23"/>
  <c r="U16" i="23"/>
  <c r="D16" i="23"/>
  <c r="AC15" i="23"/>
  <c r="Y15" i="23"/>
  <c r="U15" i="23"/>
  <c r="AC14" i="23"/>
  <c r="Y14" i="23"/>
  <c r="U14" i="23"/>
  <c r="AC13" i="23"/>
  <c r="Y13" i="23"/>
  <c r="U13" i="23"/>
  <c r="E7" i="23"/>
  <c r="E6" i="23"/>
  <c r="E5" i="23"/>
  <c r="U41" i="15" l="1"/>
  <c r="U42" i="15"/>
  <c r="U43" i="15"/>
  <c r="U39" i="15"/>
  <c r="U40" i="15"/>
  <c r="T49" i="15"/>
  <c r="T48" i="15"/>
  <c r="U47" i="15"/>
  <c r="U48" i="15"/>
  <c r="U49" i="15"/>
  <c r="U50" i="15"/>
  <c r="U18" i="15" l="1"/>
  <c r="U25" i="19" l="1"/>
  <c r="H27" i="19"/>
  <c r="T84" i="19"/>
  <c r="U39" i="19"/>
  <c r="U40" i="19"/>
  <c r="U41" i="19"/>
  <c r="U72" i="19"/>
  <c r="U35" i="22"/>
  <c r="H25" i="22"/>
  <c r="H24" i="22"/>
  <c r="U64" i="22"/>
  <c r="U63" i="22"/>
  <c r="U46" i="15"/>
  <c r="R38" i="15"/>
  <c r="R39" i="15"/>
  <c r="R40" i="15"/>
  <c r="R41" i="15"/>
  <c r="R37" i="15"/>
  <c r="Q41" i="22" l="1"/>
  <c r="T51" i="19"/>
  <c r="Q39" i="22"/>
  <c r="Q38" i="22"/>
  <c r="V64" i="22" l="1"/>
  <c r="V65" i="22"/>
  <c r="V63" i="22"/>
  <c r="U80" i="19" l="1"/>
  <c r="U81" i="19"/>
  <c r="U82" i="19"/>
  <c r="U83" i="19"/>
  <c r="U84" i="19"/>
  <c r="Q37" i="22" l="1"/>
  <c r="Q36" i="22" l="1"/>
  <c r="Q34" i="22"/>
  <c r="V35" i="22"/>
  <c r="U52" i="19"/>
  <c r="U51" i="19"/>
  <c r="U50" i="19"/>
  <c r="U75" i="19"/>
  <c r="U73" i="19"/>
  <c r="U74" i="19"/>
  <c r="Y75" i="19"/>
  <c r="X75" i="19"/>
  <c r="U49" i="19"/>
  <c r="Z52" i="22" l="1"/>
  <c r="Z53" i="22"/>
  <c r="Z54" i="22"/>
  <c r="V36" i="22"/>
  <c r="Z51" i="22"/>
  <c r="N25" i="19" l="1"/>
  <c r="O25" i="19"/>
  <c r="P25" i="19" s="1"/>
  <c r="N26" i="19"/>
  <c r="O26" i="19"/>
  <c r="P26" i="19" s="1"/>
  <c r="N27" i="19"/>
  <c r="O27" i="19"/>
  <c r="P27" i="19" s="1"/>
  <c r="N29" i="19"/>
  <c r="X45" i="19"/>
  <c r="O31" i="19" s="1"/>
  <c r="P31" i="19" s="1"/>
  <c r="T45" i="19"/>
  <c r="T44" i="19"/>
  <c r="O30" i="19" s="1"/>
  <c r="P30" i="19" s="1"/>
  <c r="T43" i="19"/>
  <c r="O29" i="19" s="1"/>
  <c r="P29" i="19" s="1"/>
  <c r="T42" i="19"/>
  <c r="N28" i="19" s="1"/>
  <c r="U42" i="19"/>
  <c r="U43" i="19"/>
  <c r="U44" i="19"/>
  <c r="U45" i="19"/>
  <c r="Y45" i="19"/>
  <c r="B25" i="19"/>
  <c r="C25" i="19"/>
  <c r="D25" i="19" s="1"/>
  <c r="B26" i="19"/>
  <c r="C26" i="19"/>
  <c r="D26" i="19" s="1"/>
  <c r="B27" i="19"/>
  <c r="C27" i="19"/>
  <c r="D27" i="19"/>
  <c r="E25" i="19"/>
  <c r="F25" i="19"/>
  <c r="G25" i="19" s="1"/>
  <c r="E26" i="19"/>
  <c r="F26" i="19"/>
  <c r="G26" i="19" s="1"/>
  <c r="E27" i="19"/>
  <c r="F27" i="19"/>
  <c r="G27" i="19" s="1"/>
  <c r="E28" i="19"/>
  <c r="F28" i="19"/>
  <c r="G28" i="19" s="1"/>
  <c r="E29" i="19"/>
  <c r="F29" i="19"/>
  <c r="G29" i="19" s="1"/>
  <c r="T19" i="19"/>
  <c r="B28" i="19" s="1"/>
  <c r="Y28" i="19"/>
  <c r="U28" i="19"/>
  <c r="U29" i="19"/>
  <c r="U27" i="19"/>
  <c r="U26" i="19"/>
  <c r="U24" i="19"/>
  <c r="U17" i="19"/>
  <c r="U18" i="19"/>
  <c r="U19" i="19"/>
  <c r="U16" i="19"/>
  <c r="K25" i="22"/>
  <c r="K26" i="22"/>
  <c r="K27" i="22"/>
  <c r="K28" i="22"/>
  <c r="K24" i="22"/>
  <c r="U51" i="22"/>
  <c r="U50" i="22"/>
  <c r="N30" i="19" l="1"/>
  <c r="C28" i="19"/>
  <c r="D28" i="19" s="1"/>
  <c r="N31" i="19"/>
  <c r="O28" i="19"/>
  <c r="P28" i="19" s="1"/>
  <c r="D38" i="20"/>
  <c r="Z67" i="22"/>
  <c r="V67" i="22"/>
  <c r="Z66" i="22"/>
  <c r="V66" i="22"/>
  <c r="Z65" i="22"/>
  <c r="Z64" i="22"/>
  <c r="Z63" i="22"/>
  <c r="U33" i="22"/>
  <c r="Z55" i="22"/>
  <c r="V55" i="22"/>
  <c r="V54" i="22"/>
  <c r="V53" i="22"/>
  <c r="V52" i="22"/>
  <c r="V51" i="22"/>
  <c r="Z50" i="22"/>
  <c r="V50" i="22"/>
  <c r="Z49" i="22"/>
  <c r="V49" i="22"/>
  <c r="Z48" i="22"/>
  <c r="V48" i="22"/>
  <c r="Z47" i="22"/>
  <c r="V47" i="22"/>
  <c r="F28" i="22"/>
  <c r="G28" i="22" s="1"/>
  <c r="E28" i="22"/>
  <c r="U26" i="22"/>
  <c r="U25" i="22"/>
  <c r="U34" i="22" l="1"/>
  <c r="U24" i="22"/>
  <c r="AD38" i="22"/>
  <c r="Z38" i="22"/>
  <c r="V38" i="22"/>
  <c r="AD37" i="22"/>
  <c r="Z37" i="22"/>
  <c r="V37" i="22"/>
  <c r="AD36" i="22"/>
  <c r="Z36" i="22"/>
  <c r="N30" i="22"/>
  <c r="AD35" i="22"/>
  <c r="O29" i="22"/>
  <c r="P29" i="22" s="1"/>
  <c r="Z35" i="22"/>
  <c r="AD34" i="22"/>
  <c r="O28" i="22"/>
  <c r="P28" i="22" s="1"/>
  <c r="Z34" i="22"/>
  <c r="AD33" i="22"/>
  <c r="O27" i="22"/>
  <c r="P27" i="22" s="1"/>
  <c r="Z33" i="22"/>
  <c r="N27" i="22"/>
  <c r="V33" i="22"/>
  <c r="AD32" i="22"/>
  <c r="Z32" i="22"/>
  <c r="V32" i="22"/>
  <c r="AD31" i="22"/>
  <c r="Z31" i="22"/>
  <c r="V31" i="22"/>
  <c r="AD30" i="22"/>
  <c r="Z30" i="22"/>
  <c r="V30" i="22"/>
  <c r="O30" i="22"/>
  <c r="P30" i="22" s="1"/>
  <c r="N28" i="22"/>
  <c r="AD27" i="22"/>
  <c r="Z27" i="22"/>
  <c r="V27" i="22"/>
  <c r="AD26" i="22"/>
  <c r="Z26" i="22"/>
  <c r="V26" i="22"/>
  <c r="O26" i="22"/>
  <c r="P26" i="22" s="1"/>
  <c r="N26" i="22"/>
  <c r="D26" i="22"/>
  <c r="C26" i="22"/>
  <c r="B26" i="22"/>
  <c r="AD25" i="22"/>
  <c r="Z25" i="22"/>
  <c r="V25" i="22"/>
  <c r="O25" i="22"/>
  <c r="P25" i="22" s="1"/>
  <c r="N25" i="22"/>
  <c r="I25" i="22"/>
  <c r="J25" i="22" s="1"/>
  <c r="F25" i="22"/>
  <c r="G25" i="22" s="1"/>
  <c r="E25" i="22"/>
  <c r="D25" i="22"/>
  <c r="C25" i="22"/>
  <c r="B25" i="22"/>
  <c r="AD24" i="22"/>
  <c r="Z24" i="22"/>
  <c r="V24" i="22"/>
  <c r="F27" i="22"/>
  <c r="G27" i="22" s="1"/>
  <c r="O24" i="22"/>
  <c r="P24" i="22" s="1"/>
  <c r="N24" i="22"/>
  <c r="J24" i="22"/>
  <c r="I24" i="22"/>
  <c r="F24" i="22"/>
  <c r="G24" i="22" s="1"/>
  <c r="E24" i="22"/>
  <c r="C24" i="22"/>
  <c r="D24" i="22" s="1"/>
  <c r="B24" i="22"/>
  <c r="AD23" i="22"/>
  <c r="Z23" i="22"/>
  <c r="V23" i="22"/>
  <c r="E26" i="22"/>
  <c r="AD22" i="22"/>
  <c r="Z22" i="22"/>
  <c r="V22" i="22"/>
  <c r="AD21" i="22"/>
  <c r="Z21" i="22"/>
  <c r="V21" i="22"/>
  <c r="AD17" i="22"/>
  <c r="Z17" i="22"/>
  <c r="V17" i="22"/>
  <c r="AD16" i="22"/>
  <c r="Z16" i="22"/>
  <c r="V16" i="22"/>
  <c r="D16" i="22"/>
  <c r="AD15" i="22"/>
  <c r="Z15" i="22"/>
  <c r="V15" i="22"/>
  <c r="AD14" i="22"/>
  <c r="Z14" i="22"/>
  <c r="V14" i="22"/>
  <c r="AD13" i="22"/>
  <c r="Z13" i="22"/>
  <c r="V13" i="22"/>
  <c r="E7" i="22"/>
  <c r="E6" i="22"/>
  <c r="E5" i="22"/>
  <c r="D86" i="20"/>
  <c r="D84" i="20"/>
  <c r="D33" i="20"/>
  <c r="D47" i="20"/>
  <c r="F26" i="22" l="1"/>
  <c r="G26" i="22" s="1"/>
  <c r="N29" i="22"/>
  <c r="E27" i="22"/>
  <c r="D112" i="21"/>
  <c r="D93" i="21"/>
  <c r="D35" i="21"/>
  <c r="D84" i="21"/>
  <c r="D109" i="21"/>
  <c r="C131" i="21"/>
  <c r="C77" i="21"/>
  <c r="K9" i="21"/>
  <c r="K8" i="21"/>
  <c r="K7" i="21"/>
  <c r="K6" i="21"/>
  <c r="K5" i="21"/>
  <c r="K4" i="21"/>
  <c r="K3" i="21"/>
  <c r="K2" i="21"/>
  <c r="K19" i="21"/>
  <c r="K18" i="21"/>
  <c r="K17" i="21"/>
  <c r="K16" i="21"/>
  <c r="K15" i="21"/>
  <c r="K14" i="21"/>
  <c r="K13" i="21"/>
  <c r="K12" i="21"/>
  <c r="L19" i="21"/>
  <c r="L18" i="21"/>
  <c r="L17" i="21"/>
  <c r="L16" i="21"/>
  <c r="L15" i="21"/>
  <c r="L14" i="21"/>
  <c r="L13" i="21"/>
  <c r="L12" i="21"/>
  <c r="L3" i="21" l="1"/>
  <c r="L4" i="21"/>
  <c r="L5" i="21"/>
  <c r="L6" i="21"/>
  <c r="L7" i="21"/>
  <c r="L8" i="21"/>
  <c r="L9" i="21"/>
  <c r="L2" i="21"/>
  <c r="D29" i="21" l="1"/>
  <c r="D26" i="21"/>
  <c r="D23" i="21"/>
  <c r="D20" i="21"/>
  <c r="D17" i="21"/>
  <c r="D14" i="21"/>
  <c r="E109" i="21"/>
  <c r="D20" i="20"/>
  <c r="D83" i="20" l="1"/>
  <c r="D8" i="21"/>
  <c r="D5" i="21"/>
  <c r="D56" i="21" s="1"/>
  <c r="D60" i="21"/>
  <c r="H60" i="21" s="1"/>
  <c r="I60" i="21" s="1"/>
  <c r="D41" i="21"/>
  <c r="D32" i="21"/>
  <c r="D11" i="21"/>
  <c r="D62" i="21" s="1"/>
  <c r="D2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33" i="21"/>
  <c r="E34" i="21"/>
  <c r="E35" i="21"/>
  <c r="E36" i="21"/>
  <c r="E37" i="21"/>
  <c r="E38" i="21"/>
  <c r="E39" i="21"/>
  <c r="E40" i="21"/>
  <c r="E41" i="21"/>
  <c r="E21" i="20"/>
  <c r="E22" i="20"/>
  <c r="E23" i="20"/>
  <c r="E24" i="20"/>
  <c r="E25" i="20"/>
  <c r="B51" i="21"/>
  <c r="F51" i="21" s="1"/>
  <c r="C129" i="21"/>
  <c r="F129" i="21" s="1"/>
  <c r="G129" i="21" s="1"/>
  <c r="E114" i="21"/>
  <c r="E113" i="21"/>
  <c r="D129" i="21"/>
  <c r="E112" i="21"/>
  <c r="E111" i="21"/>
  <c r="E110" i="21"/>
  <c r="D128" i="21"/>
  <c r="E101" i="21"/>
  <c r="E100" i="21"/>
  <c r="E99" i="21"/>
  <c r="D75" i="21" s="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C75" i="21"/>
  <c r="F75" i="21" s="1"/>
  <c r="G75" i="21" s="1"/>
  <c r="D74" i="21"/>
  <c r="H74" i="21" s="1"/>
  <c r="I74" i="21" s="1"/>
  <c r="C74" i="21"/>
  <c r="F74" i="21" s="1"/>
  <c r="G74" i="21" s="1"/>
  <c r="P73" i="21"/>
  <c r="D70" i="21"/>
  <c r="H70" i="21" s="1"/>
  <c r="I70" i="21" s="1"/>
  <c r="C69" i="21"/>
  <c r="F69" i="21" s="1"/>
  <c r="G69" i="21" s="1"/>
  <c r="H68" i="21"/>
  <c r="I68" i="21" s="1"/>
  <c r="E68" i="21"/>
  <c r="D68" i="21"/>
  <c r="C68" i="21"/>
  <c r="F68" i="21" s="1"/>
  <c r="G68" i="21" s="1"/>
  <c r="D67" i="21"/>
  <c r="E67" i="21" s="1"/>
  <c r="C67" i="21"/>
  <c r="F67" i="21" s="1"/>
  <c r="G67" i="21" s="1"/>
  <c r="D66" i="21"/>
  <c r="H66" i="21" s="1"/>
  <c r="I66" i="21" s="1"/>
  <c r="C66" i="21"/>
  <c r="F66" i="21" s="1"/>
  <c r="G66" i="21" s="1"/>
  <c r="D61" i="21"/>
  <c r="H61" i="21" s="1"/>
  <c r="I61" i="21" s="1"/>
  <c r="C61" i="21"/>
  <c r="F61" i="21" s="1"/>
  <c r="G61" i="21" s="1"/>
  <c r="F52" i="21"/>
  <c r="F53" i="21" s="1"/>
  <c r="E49" i="21"/>
  <c r="E48" i="21"/>
  <c r="E47" i="21"/>
  <c r="E46" i="21"/>
  <c r="E45" i="21"/>
  <c r="E44" i="21"/>
  <c r="E43" i="21"/>
  <c r="E42" i="21"/>
  <c r="S41" i="21"/>
  <c r="T41" i="21" s="1"/>
  <c r="R41" i="21"/>
  <c r="L41" i="21"/>
  <c r="D59" i="21"/>
  <c r="S40" i="21"/>
  <c r="T40" i="21" s="1"/>
  <c r="L40" i="21"/>
  <c r="L39" i="21"/>
  <c r="L38" i="21"/>
  <c r="I38" i="21"/>
  <c r="D73" i="21"/>
  <c r="L37" i="21"/>
  <c r="R36" i="21"/>
  <c r="L36" i="21"/>
  <c r="L35" i="21"/>
  <c r="D65" i="21"/>
  <c r="L34" i="21"/>
  <c r="E32" i="21"/>
  <c r="D58" i="21"/>
  <c r="E31" i="21"/>
  <c r="D72" i="21"/>
  <c r="L30" i="21"/>
  <c r="E30" i="21"/>
  <c r="L29" i="21"/>
  <c r="R40" i="21"/>
  <c r="E29" i="21"/>
  <c r="L28" i="21"/>
  <c r="E28" i="21"/>
  <c r="L27" i="21"/>
  <c r="E27" i="21"/>
  <c r="L26" i="21"/>
  <c r="E26" i="21"/>
  <c r="D71" i="21"/>
  <c r="L25" i="21"/>
  <c r="E25" i="21"/>
  <c r="L24" i="21"/>
  <c r="E24" i="21"/>
  <c r="L23" i="21"/>
  <c r="E23" i="21"/>
  <c r="C70" i="21"/>
  <c r="F70" i="21" s="1"/>
  <c r="G70" i="21" s="1"/>
  <c r="D69" i="21"/>
  <c r="S39" i="21"/>
  <c r="T39" i="21" s="1"/>
  <c r="D64" i="21"/>
  <c r="S38" i="21"/>
  <c r="T38" i="21" s="1"/>
  <c r="S37" i="21"/>
  <c r="T37" i="21" s="1"/>
  <c r="S36" i="21"/>
  <c r="T36" i="21" s="1"/>
  <c r="D63" i="21"/>
  <c r="S35" i="21"/>
  <c r="T35" i="21" s="1"/>
  <c r="S34" i="21"/>
  <c r="T34" i="21" s="1"/>
  <c r="E9" i="21"/>
  <c r="E8" i="21"/>
  <c r="D57" i="21"/>
  <c r="E7" i="21"/>
  <c r="E6" i="21"/>
  <c r="E5" i="21"/>
  <c r="E4" i="21"/>
  <c r="E3" i="21"/>
  <c r="E2" i="21"/>
  <c r="D55" i="21"/>
  <c r="D37" i="18"/>
  <c r="B53" i="20"/>
  <c r="C60" i="20"/>
  <c r="D44" i="20"/>
  <c r="D35" i="20"/>
  <c r="D32" i="20"/>
  <c r="D29" i="20"/>
  <c r="D26" i="20"/>
  <c r="D17" i="20"/>
  <c r="D14" i="20"/>
  <c r="D11" i="20"/>
  <c r="D8" i="20"/>
  <c r="D5" i="20"/>
  <c r="D2" i="20"/>
  <c r="K44" i="20"/>
  <c r="K43" i="20"/>
  <c r="K42" i="20"/>
  <c r="K41" i="20"/>
  <c r="K40" i="20"/>
  <c r="K39" i="20"/>
  <c r="K38" i="20"/>
  <c r="K37" i="20"/>
  <c r="L44" i="20"/>
  <c r="L38" i="20"/>
  <c r="L39" i="20"/>
  <c r="L40" i="20"/>
  <c r="L41" i="20"/>
  <c r="L42" i="20"/>
  <c r="L43" i="20"/>
  <c r="L37" i="20"/>
  <c r="E61" i="21" l="1"/>
  <c r="H67" i="21"/>
  <c r="I67" i="21" s="1"/>
  <c r="C60" i="21"/>
  <c r="F60" i="21" s="1"/>
  <c r="G60" i="21" s="1"/>
  <c r="C62" i="21"/>
  <c r="F62" i="21" s="1"/>
  <c r="G62" i="21" s="1"/>
  <c r="E60" i="21"/>
  <c r="E74" i="21"/>
  <c r="E66" i="21"/>
  <c r="E56" i="21"/>
  <c r="H56" i="21"/>
  <c r="I56" i="21" s="1"/>
  <c r="H59" i="21"/>
  <c r="I59" i="21" s="1"/>
  <c r="E59" i="21"/>
  <c r="E75" i="21"/>
  <c r="H75" i="21"/>
  <c r="I75" i="21" s="1"/>
  <c r="H62" i="21"/>
  <c r="I62" i="21" s="1"/>
  <c r="E62" i="21"/>
  <c r="E58" i="21"/>
  <c r="H58" i="21"/>
  <c r="I58" i="21" s="1"/>
  <c r="H55" i="21"/>
  <c r="I55" i="21" s="1"/>
  <c r="E55" i="21"/>
  <c r="H128" i="21"/>
  <c r="I128" i="21" s="1"/>
  <c r="E128" i="21"/>
  <c r="H129" i="21"/>
  <c r="I129" i="21" s="1"/>
  <c r="E129" i="21"/>
  <c r="H63" i="21"/>
  <c r="I63" i="21" s="1"/>
  <c r="E63" i="21"/>
  <c r="H71" i="21"/>
  <c r="I71" i="21" s="1"/>
  <c r="E71" i="21"/>
  <c r="E72" i="21"/>
  <c r="H72" i="21"/>
  <c r="I72" i="21" s="1"/>
  <c r="E57" i="21"/>
  <c r="H57" i="21"/>
  <c r="I57" i="21" s="1"/>
  <c r="E64" i="21"/>
  <c r="H64" i="21"/>
  <c r="I64" i="21" s="1"/>
  <c r="H69" i="21"/>
  <c r="I69" i="21" s="1"/>
  <c r="E69" i="21"/>
  <c r="E65" i="21"/>
  <c r="H65" i="21"/>
  <c r="I65" i="21" s="1"/>
  <c r="E73" i="21"/>
  <c r="H73" i="21"/>
  <c r="I73" i="21" s="1"/>
  <c r="E70" i="21"/>
  <c r="C128" i="21"/>
  <c r="F128" i="21" s="1"/>
  <c r="G128" i="21" s="1"/>
  <c r="R35" i="21"/>
  <c r="R39" i="21"/>
  <c r="C59" i="21"/>
  <c r="F59" i="21" s="1"/>
  <c r="G59" i="21" s="1"/>
  <c r="C58" i="21"/>
  <c r="F58" i="21" s="1"/>
  <c r="G58" i="21" s="1"/>
  <c r="R34" i="21"/>
  <c r="C57" i="21"/>
  <c r="F57" i="21" s="1"/>
  <c r="G57" i="21" s="1"/>
  <c r="C65" i="21"/>
  <c r="F65" i="21" s="1"/>
  <c r="G65" i="21" s="1"/>
  <c r="C73" i="21"/>
  <c r="F73" i="21" s="1"/>
  <c r="G73" i="21" s="1"/>
  <c r="R38" i="21"/>
  <c r="C56" i="21"/>
  <c r="F56" i="21" s="1"/>
  <c r="G56" i="21" s="1"/>
  <c r="C64" i="21"/>
  <c r="F64" i="21" s="1"/>
  <c r="G64" i="21" s="1"/>
  <c r="C72" i="21"/>
  <c r="F72" i="21" s="1"/>
  <c r="G72" i="21" s="1"/>
  <c r="R37" i="21"/>
  <c r="C55" i="21"/>
  <c r="F55" i="21" s="1"/>
  <c r="G55" i="21" s="1"/>
  <c r="C63" i="21"/>
  <c r="F63" i="21" s="1"/>
  <c r="G63" i="21" s="1"/>
  <c r="C71" i="21"/>
  <c r="F71" i="21" s="1"/>
  <c r="G71" i="21" s="1"/>
  <c r="L182" i="20"/>
  <c r="L183" i="20" s="1"/>
  <c r="M183" i="20" s="1"/>
  <c r="L181" i="20"/>
  <c r="M181" i="20" s="1"/>
  <c r="H181" i="20"/>
  <c r="H180" i="20"/>
  <c r="L179" i="20"/>
  <c r="L180" i="20" s="1"/>
  <c r="M180" i="20" s="1"/>
  <c r="H179" i="20"/>
  <c r="L178" i="20"/>
  <c r="M178" i="20" s="1"/>
  <c r="H178" i="20"/>
  <c r="H177" i="20"/>
  <c r="L176" i="20"/>
  <c r="L177" i="20" s="1"/>
  <c r="M177" i="20" s="1"/>
  <c r="H176" i="20"/>
  <c r="L175" i="20"/>
  <c r="M175" i="20" s="1"/>
  <c r="H175" i="20"/>
  <c r="H174" i="20"/>
  <c r="L173" i="20"/>
  <c r="L174" i="20" s="1"/>
  <c r="M174" i="20" s="1"/>
  <c r="H173" i="20"/>
  <c r="L172" i="20"/>
  <c r="M172" i="20" s="1"/>
  <c r="H172" i="20"/>
  <c r="H171" i="20"/>
  <c r="L170" i="20"/>
  <c r="L171" i="20" s="1"/>
  <c r="M171" i="20" s="1"/>
  <c r="U161" i="20" s="1"/>
  <c r="H170" i="20"/>
  <c r="L169" i="20"/>
  <c r="M169" i="20" s="1"/>
  <c r="T161" i="20" s="1"/>
  <c r="H169" i="20"/>
  <c r="H168" i="20"/>
  <c r="L167" i="20"/>
  <c r="L168" i="20" s="1"/>
  <c r="M168" i="20" s="1"/>
  <c r="U160" i="20" s="1"/>
  <c r="H167" i="20"/>
  <c r="H166" i="20"/>
  <c r="L166" i="20"/>
  <c r="M166" i="20" s="1"/>
  <c r="T160" i="20" s="1"/>
  <c r="H165" i="20"/>
  <c r="H164" i="20"/>
  <c r="H163" i="20"/>
  <c r="L164" i="20"/>
  <c r="L165" i="20" s="1"/>
  <c r="M165" i="20" s="1"/>
  <c r="U159" i="20" s="1"/>
  <c r="H162" i="20"/>
  <c r="R161" i="20"/>
  <c r="L161" i="20"/>
  <c r="L162" i="20" s="1"/>
  <c r="M162" i="20" s="1"/>
  <c r="U158" i="20" s="1"/>
  <c r="H161" i="20"/>
  <c r="R160" i="20"/>
  <c r="H160" i="20"/>
  <c r="L160" i="20"/>
  <c r="M160" i="20" s="1"/>
  <c r="T158" i="20" s="1"/>
  <c r="R159" i="20"/>
  <c r="H159" i="20"/>
  <c r="R158" i="20"/>
  <c r="L158" i="20"/>
  <c r="L159" i="20" s="1"/>
  <c r="M159" i="20" s="1"/>
  <c r="U157" i="20" s="1"/>
  <c r="H158" i="20"/>
  <c r="R157" i="20"/>
  <c r="L157" i="20"/>
  <c r="M157" i="20" s="1"/>
  <c r="T157" i="20" s="1"/>
  <c r="H157" i="20"/>
  <c r="F157" i="20"/>
  <c r="D151" i="20"/>
  <c r="D150" i="20"/>
  <c r="H149" i="20"/>
  <c r="L150" i="20"/>
  <c r="L151" i="20" s="1"/>
  <c r="M151" i="20" s="1"/>
  <c r="D149" i="20"/>
  <c r="H148" i="20"/>
  <c r="D148" i="20"/>
  <c r="L147" i="20"/>
  <c r="L148" i="20" s="1"/>
  <c r="M148" i="20" s="1"/>
  <c r="H147" i="20"/>
  <c r="D147" i="20"/>
  <c r="H146" i="20"/>
  <c r="L146" i="20"/>
  <c r="M146" i="20" s="1"/>
  <c r="D146" i="20"/>
  <c r="H145" i="20"/>
  <c r="D145" i="20"/>
  <c r="H144" i="20"/>
  <c r="L144" i="20"/>
  <c r="L145" i="20" s="1"/>
  <c r="M145" i="20" s="1"/>
  <c r="D144" i="20"/>
  <c r="H143" i="20"/>
  <c r="L143" i="20"/>
  <c r="M143" i="20" s="1"/>
  <c r="D143" i="20"/>
  <c r="H142" i="20"/>
  <c r="D142" i="20"/>
  <c r="H141" i="20"/>
  <c r="L140" i="20"/>
  <c r="M140" i="20" s="1"/>
  <c r="D141" i="20"/>
  <c r="H140" i="20"/>
  <c r="D140" i="20"/>
  <c r="H139" i="20"/>
  <c r="D139" i="20"/>
  <c r="H138" i="20"/>
  <c r="L138" i="20"/>
  <c r="L139" i="20" s="1"/>
  <c r="M139" i="20" s="1"/>
  <c r="U129" i="20" s="1"/>
  <c r="D138" i="20"/>
  <c r="L137" i="20"/>
  <c r="M137" i="20" s="1"/>
  <c r="T129" i="20" s="1"/>
  <c r="H137" i="20"/>
  <c r="D137" i="20"/>
  <c r="H136" i="20"/>
  <c r="D136" i="20"/>
  <c r="H135" i="20"/>
  <c r="D135" i="20"/>
  <c r="L134" i="20"/>
  <c r="M134" i="20" s="1"/>
  <c r="T128" i="20" s="1"/>
  <c r="H134" i="20"/>
  <c r="L135" i="20"/>
  <c r="L136" i="20" s="1"/>
  <c r="M136" i="20" s="1"/>
  <c r="U128" i="20" s="1"/>
  <c r="D134" i="20"/>
  <c r="H133" i="20"/>
  <c r="L131" i="20"/>
  <c r="M131" i="20" s="1"/>
  <c r="T127" i="20" s="1"/>
  <c r="D133" i="20"/>
  <c r="H132" i="20"/>
  <c r="D132" i="20"/>
  <c r="H131" i="20"/>
  <c r="L132" i="20"/>
  <c r="L133" i="20" s="1"/>
  <c r="M133" i="20" s="1"/>
  <c r="U127" i="20" s="1"/>
  <c r="D131" i="20"/>
  <c r="H130" i="20"/>
  <c r="D130" i="20"/>
  <c r="R129" i="20"/>
  <c r="H129" i="20"/>
  <c r="D129" i="20"/>
  <c r="R128" i="20"/>
  <c r="H128" i="20"/>
  <c r="L129" i="20"/>
  <c r="L130" i="20" s="1"/>
  <c r="M130" i="20" s="1"/>
  <c r="U126" i="20" s="1"/>
  <c r="D128" i="20"/>
  <c r="R127" i="20"/>
  <c r="H127" i="20"/>
  <c r="D127" i="20"/>
  <c r="R126" i="20"/>
  <c r="H126" i="20"/>
  <c r="D126" i="20"/>
  <c r="R125" i="20"/>
  <c r="H125" i="20"/>
  <c r="L126" i="20"/>
  <c r="L127" i="20" s="1"/>
  <c r="M127" i="20" s="1"/>
  <c r="U125" i="20" s="1"/>
  <c r="D125" i="20"/>
  <c r="E88" i="20"/>
  <c r="C100" i="20"/>
  <c r="F100" i="20" s="1"/>
  <c r="G100" i="20" s="1"/>
  <c r="E87" i="20"/>
  <c r="E86" i="20"/>
  <c r="D100" i="20"/>
  <c r="E85" i="20"/>
  <c r="E84" i="20"/>
  <c r="E83" i="20"/>
  <c r="D99" i="20"/>
  <c r="D73" i="20"/>
  <c r="H73" i="20" s="1"/>
  <c r="I73" i="20" s="1"/>
  <c r="C73" i="20"/>
  <c r="F73" i="20" s="1"/>
  <c r="G73" i="20" s="1"/>
  <c r="D65" i="20"/>
  <c r="E65" i="20" s="1"/>
  <c r="C64" i="20"/>
  <c r="F64" i="20" s="1"/>
  <c r="G64" i="20" s="1"/>
  <c r="F55" i="20"/>
  <c r="F56" i="20" s="1"/>
  <c r="E52" i="20"/>
  <c r="D74" i="20"/>
  <c r="E51" i="20"/>
  <c r="E50" i="20"/>
  <c r="C74" i="20"/>
  <c r="F74" i="20" s="1"/>
  <c r="G74" i="20" s="1"/>
  <c r="E49" i="20"/>
  <c r="E48" i="20"/>
  <c r="E47" i="20"/>
  <c r="D67" i="20"/>
  <c r="E46" i="20"/>
  <c r="E45" i="20"/>
  <c r="S44" i="20"/>
  <c r="T44" i="20" s="1"/>
  <c r="E44" i="20"/>
  <c r="D62" i="20"/>
  <c r="S43" i="20"/>
  <c r="T43" i="20" s="1"/>
  <c r="R43" i="20"/>
  <c r="E43" i="20"/>
  <c r="E42" i="20"/>
  <c r="E41" i="20"/>
  <c r="E40" i="20"/>
  <c r="E39" i="20"/>
  <c r="E38" i="20"/>
  <c r="D66" i="20"/>
  <c r="S37" i="20"/>
  <c r="T37" i="20" s="1"/>
  <c r="R37" i="20"/>
  <c r="E37" i="20"/>
  <c r="E36" i="20"/>
  <c r="E35" i="20"/>
  <c r="D61" i="20"/>
  <c r="E34" i="20"/>
  <c r="E33" i="20"/>
  <c r="C72" i="20"/>
  <c r="F72" i="20" s="1"/>
  <c r="G72" i="20" s="1"/>
  <c r="E32" i="20"/>
  <c r="D72" i="20"/>
  <c r="E31" i="20"/>
  <c r="E30" i="20"/>
  <c r="D71" i="20"/>
  <c r="E29" i="20"/>
  <c r="E28" i="20"/>
  <c r="S38" i="20"/>
  <c r="T38" i="20" s="1"/>
  <c r="E27" i="20"/>
  <c r="D70" i="20"/>
  <c r="E26" i="20"/>
  <c r="D69" i="20"/>
  <c r="E20" i="20"/>
  <c r="R44" i="20"/>
  <c r="E19" i="20"/>
  <c r="E18" i="20"/>
  <c r="C65" i="20"/>
  <c r="F65" i="20" s="1"/>
  <c r="G65" i="20" s="1"/>
  <c r="R42" i="20"/>
  <c r="E17" i="20"/>
  <c r="S41" i="20"/>
  <c r="T41" i="20" s="1"/>
  <c r="E16" i="20"/>
  <c r="S40" i="20"/>
  <c r="T40" i="20" s="1"/>
  <c r="E15" i="20"/>
  <c r="D64" i="20"/>
  <c r="S39" i="20"/>
  <c r="T39" i="20" s="1"/>
  <c r="E14" i="20"/>
  <c r="R38" i="20"/>
  <c r="E13" i="20"/>
  <c r="E12" i="20"/>
  <c r="C63" i="20"/>
  <c r="F63" i="20" s="1"/>
  <c r="G63" i="20" s="1"/>
  <c r="E11" i="20"/>
  <c r="D63" i="20"/>
  <c r="E10" i="20"/>
  <c r="E9" i="20"/>
  <c r="E8" i="20"/>
  <c r="D60" i="20"/>
  <c r="E7" i="20"/>
  <c r="E6" i="20"/>
  <c r="E5" i="20"/>
  <c r="D59" i="20"/>
  <c r="E4" i="20"/>
  <c r="E3" i="20"/>
  <c r="E2" i="20"/>
  <c r="D58" i="20"/>
  <c r="E59" i="20" l="1"/>
  <c r="H59" i="20"/>
  <c r="I59" i="20" s="1"/>
  <c r="E69" i="20"/>
  <c r="H69" i="20"/>
  <c r="I69" i="20" s="1"/>
  <c r="H71" i="20"/>
  <c r="I71" i="20" s="1"/>
  <c r="E71" i="20"/>
  <c r="E70" i="20"/>
  <c r="H70" i="20"/>
  <c r="I70" i="20" s="1"/>
  <c r="H64" i="20"/>
  <c r="I64" i="20" s="1"/>
  <c r="E64" i="20"/>
  <c r="E66" i="20"/>
  <c r="H66" i="20"/>
  <c r="I66" i="20" s="1"/>
  <c r="H72" i="20"/>
  <c r="I72" i="20" s="1"/>
  <c r="E72" i="20"/>
  <c r="H63" i="20"/>
  <c r="I63" i="20" s="1"/>
  <c r="E63" i="20"/>
  <c r="H62" i="20"/>
  <c r="I62" i="20" s="1"/>
  <c r="E62" i="20"/>
  <c r="H100" i="20"/>
  <c r="I100" i="20" s="1"/>
  <c r="E100" i="20"/>
  <c r="E61" i="20"/>
  <c r="H61" i="20"/>
  <c r="I61" i="20" s="1"/>
  <c r="H58" i="20"/>
  <c r="I58" i="20" s="1"/>
  <c r="E58" i="20"/>
  <c r="E60" i="20"/>
  <c r="H60" i="20"/>
  <c r="I60" i="20" s="1"/>
  <c r="E67" i="20"/>
  <c r="H67" i="20"/>
  <c r="I67" i="20" s="1"/>
  <c r="H99" i="20"/>
  <c r="I99" i="20" s="1"/>
  <c r="E99" i="20"/>
  <c r="H74" i="20"/>
  <c r="I74" i="20" s="1"/>
  <c r="E74" i="20"/>
  <c r="R41" i="20"/>
  <c r="S42" i="20"/>
  <c r="T42" i="20" s="1"/>
  <c r="C62" i="20"/>
  <c r="F62" i="20" s="1"/>
  <c r="G62" i="20" s="1"/>
  <c r="C71" i="20"/>
  <c r="F71" i="20" s="1"/>
  <c r="G71" i="20" s="1"/>
  <c r="E73" i="20"/>
  <c r="C99" i="20"/>
  <c r="F99" i="20" s="1"/>
  <c r="G99" i="20" s="1"/>
  <c r="L163" i="20"/>
  <c r="M163" i="20" s="1"/>
  <c r="T159" i="20" s="1"/>
  <c r="R40" i="20"/>
  <c r="F53" i="20"/>
  <c r="C61" i="20"/>
  <c r="F61" i="20" s="1"/>
  <c r="G61" i="20" s="1"/>
  <c r="C70" i="20"/>
  <c r="F70" i="20" s="1"/>
  <c r="G70" i="20" s="1"/>
  <c r="L141" i="20"/>
  <c r="L142" i="20" s="1"/>
  <c r="M142" i="20" s="1"/>
  <c r="L149" i="20"/>
  <c r="M149" i="20" s="1"/>
  <c r="R39" i="20"/>
  <c r="F60" i="20"/>
  <c r="G60" i="20" s="1"/>
  <c r="H65" i="20"/>
  <c r="I65" i="20" s="1"/>
  <c r="C69" i="20"/>
  <c r="F69" i="20" s="1"/>
  <c r="G69" i="20" s="1"/>
  <c r="L125" i="20"/>
  <c r="M125" i="20" s="1"/>
  <c r="T125" i="20" s="1"/>
  <c r="L128" i="20"/>
  <c r="M128" i="20" s="1"/>
  <c r="T126" i="20" s="1"/>
  <c r="C59" i="20"/>
  <c r="F59" i="20" s="1"/>
  <c r="G59" i="20" s="1"/>
  <c r="C67" i="20"/>
  <c r="F67" i="20" s="1"/>
  <c r="G67" i="20" s="1"/>
  <c r="C58" i="20"/>
  <c r="F58" i="20" s="1"/>
  <c r="G58" i="20" s="1"/>
  <c r="C66" i="20"/>
  <c r="F66" i="20" s="1"/>
  <c r="G66" i="20" s="1"/>
  <c r="U59" i="19"/>
  <c r="U58" i="19" l="1"/>
  <c r="U60" i="19"/>
  <c r="U61" i="19"/>
  <c r="U62" i="19"/>
  <c r="U63" i="19"/>
  <c r="U64" i="19"/>
  <c r="U57" i="19"/>
  <c r="I25" i="19" l="1"/>
  <c r="J25" i="19" s="1"/>
  <c r="D16" i="19"/>
  <c r="AC49" i="10" l="1"/>
  <c r="AB49" i="10"/>
  <c r="Y49" i="10"/>
  <c r="X49" i="10"/>
  <c r="U49" i="10"/>
  <c r="AC48" i="10"/>
  <c r="AB48" i="10"/>
  <c r="Y48" i="10"/>
  <c r="X48" i="10"/>
  <c r="U48" i="10"/>
  <c r="C57" i="17" l="1"/>
  <c r="T36" i="14" l="1"/>
  <c r="N30" i="14" s="1"/>
  <c r="AB35" i="14"/>
  <c r="N29" i="14" s="1"/>
  <c r="X35" i="14"/>
  <c r="N25" i="14"/>
  <c r="O25" i="14"/>
  <c r="P25" i="14" s="1"/>
  <c r="N26" i="14"/>
  <c r="O26" i="14"/>
  <c r="P26" i="14" s="1"/>
  <c r="N27" i="14"/>
  <c r="O27" i="14"/>
  <c r="P27" i="14" s="1"/>
  <c r="N28" i="14"/>
  <c r="O28" i="14"/>
  <c r="P28" i="14"/>
  <c r="O24" i="14"/>
  <c r="P24" i="14" s="1"/>
  <c r="N24" i="14"/>
  <c r="T35" i="14"/>
  <c r="O30" i="14" l="1"/>
  <c r="P30" i="14" s="1"/>
  <c r="O29" i="14"/>
  <c r="P29" i="14" s="1"/>
  <c r="AB33" i="14"/>
  <c r="X33" i="14"/>
  <c r="T33" i="14"/>
  <c r="P35" i="14"/>
  <c r="P34" i="14"/>
  <c r="P33" i="14"/>
  <c r="AB34" i="14"/>
  <c r="X34" i="14"/>
  <c r="T34" i="14"/>
  <c r="AC36" i="14"/>
  <c r="Y36" i="14"/>
  <c r="U36" i="14"/>
  <c r="AC35" i="14"/>
  <c r="Y35" i="14"/>
  <c r="U35" i="14"/>
  <c r="AC34" i="14"/>
  <c r="Y34" i="14"/>
  <c r="U34" i="14"/>
  <c r="AC33" i="14"/>
  <c r="Y33" i="14"/>
  <c r="U33" i="14"/>
  <c r="AC32" i="14"/>
  <c r="Y32" i="14"/>
  <c r="U32" i="14"/>
  <c r="AC31" i="14"/>
  <c r="Y31" i="14"/>
  <c r="U31" i="14"/>
  <c r="AC30" i="14"/>
  <c r="Y30" i="14"/>
  <c r="U30" i="14"/>
  <c r="D84" i="18"/>
  <c r="E84" i="18"/>
  <c r="C131" i="18" l="1"/>
  <c r="D113" i="18"/>
  <c r="D111" i="18"/>
  <c r="D34" i="18"/>
  <c r="D43" i="18"/>
  <c r="D42" i="18"/>
  <c r="D36" i="18"/>
  <c r="D26" i="18"/>
  <c r="D23" i="18"/>
  <c r="D21" i="18"/>
  <c r="D19" i="18"/>
  <c r="D18" i="18"/>
  <c r="D16" i="18"/>
  <c r="D15" i="18"/>
  <c r="D13" i="18"/>
  <c r="D12" i="18"/>
  <c r="D10" i="18"/>
  <c r="D7" i="18"/>
  <c r="D4" i="18"/>
  <c r="D3" i="18"/>
  <c r="E37" i="18"/>
  <c r="L41" i="18"/>
  <c r="L40" i="18"/>
  <c r="L39" i="18"/>
  <c r="L38" i="18"/>
  <c r="L37" i="18"/>
  <c r="L36" i="18"/>
  <c r="L35" i="18"/>
  <c r="L34" i="18"/>
  <c r="D112" i="18" l="1"/>
  <c r="D110" i="18"/>
  <c r="D109" i="18"/>
  <c r="D41" i="18"/>
  <c r="D33" i="18"/>
  <c r="D9" i="18"/>
  <c r="D6" i="18"/>
  <c r="K26" i="18"/>
  <c r="K30" i="18"/>
  <c r="K29" i="18"/>
  <c r="K28" i="18"/>
  <c r="K27" i="18"/>
  <c r="K25" i="18"/>
  <c r="K24" i="18"/>
  <c r="K23" i="18"/>
  <c r="L24" i="18"/>
  <c r="L25" i="18"/>
  <c r="L26" i="18"/>
  <c r="L27" i="18"/>
  <c r="L28" i="18"/>
  <c r="L29" i="18"/>
  <c r="L30" i="18"/>
  <c r="E112" i="18"/>
  <c r="D35" i="18" l="1"/>
  <c r="D32" i="18"/>
  <c r="D20" i="18"/>
  <c r="D17" i="18"/>
  <c r="D14" i="18"/>
  <c r="D11" i="18"/>
  <c r="D8" i="18"/>
  <c r="D5" i="18"/>
  <c r="D2" i="18"/>
  <c r="E20" i="18"/>
  <c r="F72" i="18" l="1"/>
  <c r="C77" i="18"/>
  <c r="D38" i="18"/>
  <c r="E38" i="18"/>
  <c r="D31" i="18"/>
  <c r="K18" i="18"/>
  <c r="K17" i="18"/>
  <c r="K16" i="18"/>
  <c r="K15" i="18"/>
  <c r="K14" i="18"/>
  <c r="K13" i="18"/>
  <c r="K12" i="18"/>
  <c r="K8" i="18"/>
  <c r="K7" i="18"/>
  <c r="K6" i="18"/>
  <c r="K5" i="18"/>
  <c r="K4" i="18"/>
  <c r="K3" i="18"/>
  <c r="K2" i="18"/>
  <c r="M178" i="16" l="1"/>
  <c r="M181" i="16"/>
  <c r="M184" i="16"/>
  <c r="M187" i="16"/>
  <c r="L201" i="18"/>
  <c r="L202" i="18" s="1"/>
  <c r="M202" i="18" s="1"/>
  <c r="L200" i="18"/>
  <c r="M200" i="18" s="1"/>
  <c r="H200" i="18"/>
  <c r="H199" i="18"/>
  <c r="L198" i="18"/>
  <c r="L199" i="18" s="1"/>
  <c r="M199" i="18" s="1"/>
  <c r="H198" i="18"/>
  <c r="L197" i="18"/>
  <c r="M197" i="18" s="1"/>
  <c r="H197" i="18"/>
  <c r="H196" i="18"/>
  <c r="L195" i="18"/>
  <c r="L196" i="18" s="1"/>
  <c r="M196" i="18" s="1"/>
  <c r="H195" i="18"/>
  <c r="L194" i="18"/>
  <c r="M194" i="18" s="1"/>
  <c r="H194" i="18"/>
  <c r="H193" i="18"/>
  <c r="L192" i="18"/>
  <c r="L193" i="18" s="1"/>
  <c r="M193" i="18" s="1"/>
  <c r="H192" i="18"/>
  <c r="L191" i="18"/>
  <c r="M191" i="18" s="1"/>
  <c r="H191" i="18"/>
  <c r="H190" i="18"/>
  <c r="L189" i="18"/>
  <c r="L190" i="18" s="1"/>
  <c r="M190" i="18" s="1"/>
  <c r="U180" i="18" s="1"/>
  <c r="H189" i="18"/>
  <c r="L188" i="18"/>
  <c r="M188" i="18" s="1"/>
  <c r="T180" i="18" s="1"/>
  <c r="H188" i="18"/>
  <c r="H187" i="18"/>
  <c r="H186" i="18"/>
  <c r="G186" i="18"/>
  <c r="L185" i="18" s="1"/>
  <c r="M185" i="18" s="1"/>
  <c r="T179" i="18" s="1"/>
  <c r="H185" i="18"/>
  <c r="G185" i="18"/>
  <c r="H184" i="18"/>
  <c r="H183" i="18"/>
  <c r="G183" i="18"/>
  <c r="H182" i="18"/>
  <c r="G182" i="18"/>
  <c r="L183" i="18" s="1"/>
  <c r="L184" i="18" s="1"/>
  <c r="M184" i="18" s="1"/>
  <c r="U178" i="18" s="1"/>
  <c r="H181" i="18"/>
  <c r="R180" i="18"/>
  <c r="H180" i="18"/>
  <c r="G180" i="18"/>
  <c r="R179" i="18"/>
  <c r="H179" i="18"/>
  <c r="G179" i="18"/>
  <c r="L180" i="18" s="1"/>
  <c r="L181" i="18" s="1"/>
  <c r="M181" i="18" s="1"/>
  <c r="U177" i="18" s="1"/>
  <c r="R178" i="18"/>
  <c r="H178" i="18"/>
  <c r="R177" i="18"/>
  <c r="H177" i="18"/>
  <c r="G177" i="18"/>
  <c r="R176" i="18"/>
  <c r="H176" i="18"/>
  <c r="G176" i="18"/>
  <c r="L177" i="18" s="1"/>
  <c r="L178" i="18" s="1"/>
  <c r="M178" i="18" s="1"/>
  <c r="U176" i="18" s="1"/>
  <c r="H169" i="18"/>
  <c r="G169" i="18"/>
  <c r="H168" i="18"/>
  <c r="G168" i="18"/>
  <c r="H167" i="18"/>
  <c r="G167" i="18"/>
  <c r="L167" i="18" s="1"/>
  <c r="M167" i="18" s="1"/>
  <c r="H166" i="18"/>
  <c r="G166" i="18"/>
  <c r="H165" i="18"/>
  <c r="G165" i="18"/>
  <c r="H164" i="18"/>
  <c r="G164" i="18"/>
  <c r="L165" i="18" s="1"/>
  <c r="L166" i="18" s="1"/>
  <c r="M166" i="18" s="1"/>
  <c r="D164" i="18"/>
  <c r="C164" i="18"/>
  <c r="H163" i="18"/>
  <c r="G163" i="18"/>
  <c r="D163" i="18"/>
  <c r="H162" i="18"/>
  <c r="G162" i="18"/>
  <c r="D162" i="18"/>
  <c r="H161" i="18"/>
  <c r="G161" i="18"/>
  <c r="L162" i="18" s="1"/>
  <c r="L163" i="18" s="1"/>
  <c r="M163" i="18" s="1"/>
  <c r="D161" i="18"/>
  <c r="C161" i="18"/>
  <c r="H160" i="18"/>
  <c r="D160" i="18"/>
  <c r="H159" i="18"/>
  <c r="D159" i="18"/>
  <c r="L158" i="18"/>
  <c r="M158" i="18" s="1"/>
  <c r="H158" i="18"/>
  <c r="G158" i="18"/>
  <c r="L159" i="18" s="1"/>
  <c r="L160" i="18" s="1"/>
  <c r="M160" i="18" s="1"/>
  <c r="D158" i="18"/>
  <c r="C158" i="18"/>
  <c r="H157" i="18"/>
  <c r="D157" i="18"/>
  <c r="D156" i="18"/>
  <c r="L155" i="18"/>
  <c r="M155" i="18" s="1"/>
  <c r="T147" i="18" s="1"/>
  <c r="H155" i="18"/>
  <c r="G155" i="18"/>
  <c r="L156" i="18" s="1"/>
  <c r="D155" i="18"/>
  <c r="C155" i="18"/>
  <c r="H154" i="18"/>
  <c r="D154" i="18"/>
  <c r="H153" i="18"/>
  <c r="D153" i="18"/>
  <c r="H152" i="18"/>
  <c r="G152" i="18"/>
  <c r="L153" i="18" s="1"/>
  <c r="L154" i="18" s="1"/>
  <c r="M154" i="18" s="1"/>
  <c r="U146" i="18" s="1"/>
  <c r="D152" i="18"/>
  <c r="C152" i="18"/>
  <c r="H151" i="18"/>
  <c r="G151" i="18"/>
  <c r="D151" i="18"/>
  <c r="L150" i="18"/>
  <c r="L151" i="18" s="1"/>
  <c r="M151" i="18" s="1"/>
  <c r="U145" i="18" s="1"/>
  <c r="H150" i="18"/>
  <c r="G150" i="18"/>
  <c r="D150" i="18"/>
  <c r="H149" i="18"/>
  <c r="G149" i="18"/>
  <c r="D149" i="18"/>
  <c r="C149" i="18"/>
  <c r="H148" i="18"/>
  <c r="G148" i="18"/>
  <c r="D148" i="18"/>
  <c r="R147" i="18"/>
  <c r="H147" i="18"/>
  <c r="G147" i="18"/>
  <c r="L146" i="18" s="1"/>
  <c r="M146" i="18" s="1"/>
  <c r="T144" i="18" s="1"/>
  <c r="D147" i="18"/>
  <c r="R146" i="18"/>
  <c r="H146" i="18"/>
  <c r="G146" i="18"/>
  <c r="L147" i="18" s="1"/>
  <c r="L148" i="18" s="1"/>
  <c r="M148" i="18" s="1"/>
  <c r="U144" i="18" s="1"/>
  <c r="D146" i="18"/>
  <c r="C146" i="18"/>
  <c r="R145" i="18"/>
  <c r="H145" i="18"/>
  <c r="G145" i="18"/>
  <c r="D145" i="18"/>
  <c r="R144" i="18"/>
  <c r="H144" i="18"/>
  <c r="G144" i="18"/>
  <c r="L143" i="18" s="1"/>
  <c r="M143" i="18" s="1"/>
  <c r="T143" i="18" s="1"/>
  <c r="D144" i="18"/>
  <c r="R143" i="18"/>
  <c r="H143" i="18"/>
  <c r="G143" i="18"/>
  <c r="L144" i="18" s="1"/>
  <c r="L145" i="18" s="1"/>
  <c r="M145" i="18" s="1"/>
  <c r="U143" i="18" s="1"/>
  <c r="D143" i="18"/>
  <c r="C143" i="18"/>
  <c r="E114" i="18"/>
  <c r="E113" i="18"/>
  <c r="E111" i="18"/>
  <c r="E110" i="18"/>
  <c r="E109" i="18"/>
  <c r="E101" i="18"/>
  <c r="E100" i="18"/>
  <c r="E99" i="18"/>
  <c r="D75" i="18" s="1"/>
  <c r="E75" i="18" s="1"/>
  <c r="E98" i="18"/>
  <c r="E97" i="18"/>
  <c r="C68" i="18"/>
  <c r="F68" i="18" s="1"/>
  <c r="G68" i="18" s="1"/>
  <c r="E96" i="18"/>
  <c r="D68" i="18"/>
  <c r="E95" i="18"/>
  <c r="E94" i="18"/>
  <c r="E93" i="18"/>
  <c r="D61" i="18"/>
  <c r="E92" i="18"/>
  <c r="E91" i="18"/>
  <c r="E90" i="18"/>
  <c r="E89" i="18"/>
  <c r="D67" i="18"/>
  <c r="E88" i="18"/>
  <c r="E87" i="18"/>
  <c r="E86" i="18"/>
  <c r="E85" i="18"/>
  <c r="D60" i="18"/>
  <c r="C75" i="18"/>
  <c r="F75" i="18" s="1"/>
  <c r="G75" i="18" s="1"/>
  <c r="P73" i="18"/>
  <c r="C72" i="18"/>
  <c r="G72" i="18" s="1"/>
  <c r="D66" i="18"/>
  <c r="E66" i="18" s="1"/>
  <c r="C66" i="18"/>
  <c r="F66" i="18" s="1"/>
  <c r="G66" i="18" s="1"/>
  <c r="D65" i="18"/>
  <c r="H65" i="18" s="1"/>
  <c r="I65" i="18" s="1"/>
  <c r="C65" i="18"/>
  <c r="F65" i="18" s="1"/>
  <c r="G65" i="18" s="1"/>
  <c r="D58" i="18"/>
  <c r="E58" i="18" s="1"/>
  <c r="D57" i="18"/>
  <c r="H57" i="18" s="1"/>
  <c r="I57" i="18" s="1"/>
  <c r="C57" i="18"/>
  <c r="F57" i="18" s="1"/>
  <c r="G57" i="18" s="1"/>
  <c r="B51" i="18"/>
  <c r="F52" i="18" s="1"/>
  <c r="F53" i="18" s="1"/>
  <c r="E49" i="18"/>
  <c r="E48" i="18"/>
  <c r="E47" i="18"/>
  <c r="C74" i="18"/>
  <c r="F74" i="18" s="1"/>
  <c r="G74" i="18" s="1"/>
  <c r="E46" i="18"/>
  <c r="E45" i="18"/>
  <c r="E44" i="18"/>
  <c r="E43" i="18"/>
  <c r="E42" i="18"/>
  <c r="E41" i="18"/>
  <c r="D59" i="18"/>
  <c r="E40" i="18"/>
  <c r="C73" i="18"/>
  <c r="F73" i="18" s="1"/>
  <c r="G73" i="18" s="1"/>
  <c r="E39" i="18"/>
  <c r="I38" i="18"/>
  <c r="D73" i="18"/>
  <c r="S36" i="18"/>
  <c r="T36" i="18" s="1"/>
  <c r="E36" i="18"/>
  <c r="S35" i="18"/>
  <c r="T35" i="18" s="1"/>
  <c r="R35" i="18"/>
  <c r="E35" i="18"/>
  <c r="E34" i="18"/>
  <c r="E33" i="18"/>
  <c r="E32" i="18"/>
  <c r="C58" i="18"/>
  <c r="F58" i="18" s="1"/>
  <c r="G58" i="18" s="1"/>
  <c r="E31" i="18"/>
  <c r="E30" i="18"/>
  <c r="S40" i="18"/>
  <c r="T40" i="18" s="1"/>
  <c r="E29" i="18"/>
  <c r="D72" i="18"/>
  <c r="E28" i="18"/>
  <c r="S38" i="18"/>
  <c r="T38" i="18" s="1"/>
  <c r="E27" i="18"/>
  <c r="E26" i="18"/>
  <c r="D71" i="18"/>
  <c r="R36" i="18"/>
  <c r="E25" i="18"/>
  <c r="E24" i="18"/>
  <c r="L23" i="18"/>
  <c r="R34" i="18"/>
  <c r="E23" i="18"/>
  <c r="D70" i="18"/>
  <c r="E22" i="18"/>
  <c r="E21" i="18"/>
  <c r="D69" i="18"/>
  <c r="S41" i="18"/>
  <c r="T41" i="18" s="1"/>
  <c r="E19" i="18"/>
  <c r="R40" i="18"/>
  <c r="E18" i="18"/>
  <c r="C64" i="18"/>
  <c r="F64" i="18" s="1"/>
  <c r="G64" i="18" s="1"/>
  <c r="S39" i="18"/>
  <c r="T39" i="18" s="1"/>
  <c r="E17" i="18"/>
  <c r="D64" i="18"/>
  <c r="E16" i="18"/>
  <c r="S37" i="18"/>
  <c r="T37" i="18" s="1"/>
  <c r="E15" i="18"/>
  <c r="E14" i="18"/>
  <c r="D63" i="18"/>
  <c r="E13" i="18"/>
  <c r="S34" i="18"/>
  <c r="T34" i="18" s="1"/>
  <c r="E12" i="18"/>
  <c r="E11" i="18"/>
  <c r="D62" i="18"/>
  <c r="E10" i="18"/>
  <c r="E9" i="18"/>
  <c r="E8" i="18"/>
  <c r="E7" i="18"/>
  <c r="E6" i="18"/>
  <c r="C56" i="18"/>
  <c r="F56" i="18" s="1"/>
  <c r="G56" i="18" s="1"/>
  <c r="E5" i="18"/>
  <c r="D56" i="18"/>
  <c r="E4" i="18"/>
  <c r="E3" i="18"/>
  <c r="E2" i="18"/>
  <c r="D55" i="18"/>
  <c r="M167" i="16"/>
  <c r="M164" i="16"/>
  <c r="M158" i="16"/>
  <c r="M155" i="16"/>
  <c r="M152" i="16"/>
  <c r="M149" i="16"/>
  <c r="M146" i="16"/>
  <c r="M143" i="16"/>
  <c r="M185" i="16"/>
  <c r="M182" i="16"/>
  <c r="M179" i="16"/>
  <c r="M176" i="16"/>
  <c r="M146" i="17"/>
  <c r="M143" i="17"/>
  <c r="M140" i="17"/>
  <c r="M137" i="17"/>
  <c r="M134" i="17"/>
  <c r="M131" i="17"/>
  <c r="M128" i="17"/>
  <c r="M125" i="17"/>
  <c r="M122" i="17"/>
  <c r="M163" i="17"/>
  <c r="M160" i="17"/>
  <c r="M157" i="17"/>
  <c r="M154" i="17"/>
  <c r="F154" i="17"/>
  <c r="G164" i="17"/>
  <c r="G163" i="17"/>
  <c r="G161" i="17"/>
  <c r="G160" i="17"/>
  <c r="G158" i="17"/>
  <c r="G157" i="17"/>
  <c r="G155" i="17"/>
  <c r="G154" i="17"/>
  <c r="F51" i="18" l="1"/>
  <c r="L176" i="18"/>
  <c r="M176" i="18" s="1"/>
  <c r="T176" i="18" s="1"/>
  <c r="L186" i="18"/>
  <c r="L187" i="18" s="1"/>
  <c r="M187" i="18" s="1"/>
  <c r="U179" i="18" s="1"/>
  <c r="D129" i="18"/>
  <c r="E129" i="18" s="1"/>
  <c r="L164" i="18"/>
  <c r="M164" i="18" s="1"/>
  <c r="L168" i="18"/>
  <c r="L169" i="18" s="1"/>
  <c r="M169" i="18" s="1"/>
  <c r="D128" i="18"/>
  <c r="E128" i="18" s="1"/>
  <c r="L149" i="18"/>
  <c r="M149" i="18" s="1"/>
  <c r="T145" i="18" s="1"/>
  <c r="H63" i="18"/>
  <c r="I63" i="18" s="1"/>
  <c r="E63" i="18"/>
  <c r="E69" i="18"/>
  <c r="H69" i="18"/>
  <c r="I69" i="18" s="1"/>
  <c r="E60" i="18"/>
  <c r="H60" i="18"/>
  <c r="I60" i="18" s="1"/>
  <c r="E67" i="18"/>
  <c r="H67" i="18"/>
  <c r="I67" i="18" s="1"/>
  <c r="L157" i="18"/>
  <c r="M157" i="18" s="1"/>
  <c r="U147" i="18" s="1"/>
  <c r="H156" i="18"/>
  <c r="H56" i="18"/>
  <c r="I56" i="18" s="1"/>
  <c r="E56" i="18"/>
  <c r="H71" i="18"/>
  <c r="I71" i="18" s="1"/>
  <c r="E71" i="18"/>
  <c r="H73" i="18"/>
  <c r="I73" i="18" s="1"/>
  <c r="E73" i="18"/>
  <c r="H64" i="18"/>
  <c r="I64" i="18" s="1"/>
  <c r="E64" i="18"/>
  <c r="E59" i="18"/>
  <c r="H59" i="18"/>
  <c r="I59" i="18" s="1"/>
  <c r="E61" i="18"/>
  <c r="H61" i="18"/>
  <c r="I61" i="18" s="1"/>
  <c r="E68" i="18"/>
  <c r="H68" i="18"/>
  <c r="I68" i="18" s="1"/>
  <c r="H55" i="18"/>
  <c r="I55" i="18" s="1"/>
  <c r="E55" i="18"/>
  <c r="E62" i="18"/>
  <c r="H62" i="18"/>
  <c r="I62" i="18" s="1"/>
  <c r="E70" i="18"/>
  <c r="H70" i="18"/>
  <c r="I70" i="18" s="1"/>
  <c r="H72" i="18"/>
  <c r="I72" i="18" s="1"/>
  <c r="E72" i="18"/>
  <c r="C55" i="18"/>
  <c r="F55" i="18" s="1"/>
  <c r="G55" i="18" s="1"/>
  <c r="E57" i="18"/>
  <c r="C63" i="18"/>
  <c r="F63" i="18" s="1"/>
  <c r="G63" i="18" s="1"/>
  <c r="E65" i="18"/>
  <c r="C71" i="18"/>
  <c r="F71" i="18" s="1"/>
  <c r="G71" i="18" s="1"/>
  <c r="L161" i="18"/>
  <c r="M161" i="18" s="1"/>
  <c r="L179" i="18"/>
  <c r="M179" i="18" s="1"/>
  <c r="T177" i="18" s="1"/>
  <c r="L182" i="18"/>
  <c r="M182" i="18" s="1"/>
  <c r="T178" i="18" s="1"/>
  <c r="R41" i="18"/>
  <c r="C62" i="18"/>
  <c r="F62" i="18" s="1"/>
  <c r="G62" i="18" s="1"/>
  <c r="C70" i="18"/>
  <c r="F70" i="18" s="1"/>
  <c r="G70" i="18" s="1"/>
  <c r="L152" i="18"/>
  <c r="M152" i="18" s="1"/>
  <c r="T146" i="18" s="1"/>
  <c r="D74" i="18"/>
  <c r="H58" i="18"/>
  <c r="I58" i="18" s="1"/>
  <c r="C61" i="18"/>
  <c r="F61" i="18" s="1"/>
  <c r="G61" i="18" s="1"/>
  <c r="H66" i="18"/>
  <c r="I66" i="18" s="1"/>
  <c r="C69" i="18"/>
  <c r="F69" i="18" s="1"/>
  <c r="G69" i="18" s="1"/>
  <c r="H75" i="18"/>
  <c r="I75" i="18" s="1"/>
  <c r="C129" i="18"/>
  <c r="F129" i="18" s="1"/>
  <c r="G129" i="18" s="1"/>
  <c r="R39" i="18"/>
  <c r="C60" i="18"/>
  <c r="F60" i="18" s="1"/>
  <c r="G60" i="18" s="1"/>
  <c r="C128" i="18"/>
  <c r="F128" i="18" s="1"/>
  <c r="G128" i="18" s="1"/>
  <c r="R37" i="18"/>
  <c r="R38" i="18"/>
  <c r="C59" i="18"/>
  <c r="F59" i="18" s="1"/>
  <c r="G59" i="18" s="1"/>
  <c r="C67" i="18"/>
  <c r="F67" i="18" s="1"/>
  <c r="G67" i="18" s="1"/>
  <c r="G186" i="16"/>
  <c r="G185" i="16"/>
  <c r="G183" i="16"/>
  <c r="L182" i="16" s="1"/>
  <c r="T178" i="16" s="1"/>
  <c r="G182" i="16"/>
  <c r="G180" i="16"/>
  <c r="G179" i="16"/>
  <c r="G177" i="16"/>
  <c r="G176" i="16"/>
  <c r="H176" i="16"/>
  <c r="L180" i="17"/>
  <c r="M180" i="17" s="1"/>
  <c r="L179" i="17"/>
  <c r="L178" i="17"/>
  <c r="M178" i="17" s="1"/>
  <c r="H178" i="17"/>
  <c r="H177" i="17"/>
  <c r="L176" i="17"/>
  <c r="L177" i="17" s="1"/>
  <c r="M177" i="17" s="1"/>
  <c r="H176" i="17"/>
  <c r="L175" i="17"/>
  <c r="M175" i="17" s="1"/>
  <c r="H175" i="17"/>
  <c r="H174" i="17"/>
  <c r="H173" i="17"/>
  <c r="H172" i="17"/>
  <c r="H171" i="17"/>
  <c r="L170" i="17"/>
  <c r="L171" i="17" s="1"/>
  <c r="M171" i="17" s="1"/>
  <c r="H170" i="17"/>
  <c r="H169" i="17"/>
  <c r="L169" i="17"/>
  <c r="M169" i="17" s="1"/>
  <c r="H168" i="17"/>
  <c r="H167" i="17"/>
  <c r="L166" i="17"/>
  <c r="M166" i="17" s="1"/>
  <c r="T158" i="17" s="1"/>
  <c r="H166" i="17"/>
  <c r="L167" i="17"/>
  <c r="L168" i="17" s="1"/>
  <c r="M168" i="17" s="1"/>
  <c r="U158" i="17" s="1"/>
  <c r="H165" i="17"/>
  <c r="H164" i="17"/>
  <c r="H163" i="17"/>
  <c r="H162" i="17"/>
  <c r="L161" i="17"/>
  <c r="L162" i="17" s="1"/>
  <c r="M162" i="17" s="1"/>
  <c r="U156" i="17" s="1"/>
  <c r="H161" i="17"/>
  <c r="L160" i="17"/>
  <c r="T156" i="17" s="1"/>
  <c r="H160" i="17"/>
  <c r="H159" i="17"/>
  <c r="R158" i="17"/>
  <c r="H158" i="17"/>
  <c r="R157" i="17"/>
  <c r="L157" i="17"/>
  <c r="T155" i="17" s="1"/>
  <c r="H157" i="17"/>
  <c r="L158" i="17"/>
  <c r="L159" i="17" s="1"/>
  <c r="M159" i="17" s="1"/>
  <c r="U155" i="17" s="1"/>
  <c r="R156" i="17"/>
  <c r="H156" i="17"/>
  <c r="R155" i="17"/>
  <c r="L155" i="17"/>
  <c r="L156" i="17" s="1"/>
  <c r="M156" i="17" s="1"/>
  <c r="U154" i="17" s="1"/>
  <c r="H155" i="17"/>
  <c r="R154" i="17"/>
  <c r="H154" i="17"/>
  <c r="L154" i="17"/>
  <c r="T154" i="17" s="1"/>
  <c r="G148" i="17"/>
  <c r="D148" i="17"/>
  <c r="G147" i="17"/>
  <c r="D147" i="17"/>
  <c r="H146" i="17"/>
  <c r="G146" i="17"/>
  <c r="D146" i="17"/>
  <c r="C146" i="17"/>
  <c r="H145" i="17"/>
  <c r="G145" i="17"/>
  <c r="D145" i="17"/>
  <c r="H144" i="17"/>
  <c r="G144" i="17"/>
  <c r="D144" i="17"/>
  <c r="H143" i="17"/>
  <c r="G143" i="17"/>
  <c r="L143" i="17" s="1"/>
  <c r="D143" i="17"/>
  <c r="C143" i="17"/>
  <c r="H142" i="17"/>
  <c r="G142" i="17"/>
  <c r="D142" i="17"/>
  <c r="H141" i="17"/>
  <c r="G141" i="17"/>
  <c r="L140" i="17" s="1"/>
  <c r="D141" i="17"/>
  <c r="H140" i="17"/>
  <c r="G140" i="17"/>
  <c r="D140" i="17"/>
  <c r="C140" i="17"/>
  <c r="H139" i="17"/>
  <c r="G139" i="17"/>
  <c r="D139" i="17"/>
  <c r="H138" i="17"/>
  <c r="G138" i="17"/>
  <c r="D138" i="17"/>
  <c r="H137" i="17"/>
  <c r="G137" i="17"/>
  <c r="D137" i="17"/>
  <c r="C137" i="17"/>
  <c r="H136" i="17"/>
  <c r="G136" i="17"/>
  <c r="D136" i="17"/>
  <c r="H135" i="17"/>
  <c r="G135" i="17"/>
  <c r="D135" i="17"/>
  <c r="H134" i="17"/>
  <c r="G134" i="17"/>
  <c r="D134" i="17"/>
  <c r="C134" i="17"/>
  <c r="H133" i="17"/>
  <c r="G133" i="17"/>
  <c r="D133" i="17"/>
  <c r="H132" i="17"/>
  <c r="G132" i="17"/>
  <c r="L132" i="17" s="1"/>
  <c r="L133" i="17" s="1"/>
  <c r="M133" i="17" s="1"/>
  <c r="U125" i="17" s="1"/>
  <c r="D132" i="17"/>
  <c r="H131" i="17"/>
  <c r="G131" i="17"/>
  <c r="D131" i="17"/>
  <c r="C131" i="17"/>
  <c r="H130" i="17"/>
  <c r="G130" i="17"/>
  <c r="D130" i="17"/>
  <c r="H129" i="17"/>
  <c r="G129" i="17"/>
  <c r="D129" i="17"/>
  <c r="H128" i="17"/>
  <c r="G128" i="17"/>
  <c r="L129" i="17" s="1"/>
  <c r="L130" i="17" s="1"/>
  <c r="M130" i="17" s="1"/>
  <c r="U124" i="17" s="1"/>
  <c r="D128" i="17"/>
  <c r="C128" i="17"/>
  <c r="H127" i="17"/>
  <c r="G127" i="17"/>
  <c r="D127" i="17"/>
  <c r="R126" i="17"/>
  <c r="H126" i="17"/>
  <c r="G126" i="17"/>
  <c r="D126" i="17"/>
  <c r="R125" i="17"/>
  <c r="H125" i="17"/>
  <c r="G125" i="17"/>
  <c r="D125" i="17"/>
  <c r="C125" i="17"/>
  <c r="R124" i="17"/>
  <c r="H124" i="17"/>
  <c r="G124" i="17"/>
  <c r="D124" i="17"/>
  <c r="R123" i="17"/>
  <c r="H123" i="17"/>
  <c r="G123" i="17"/>
  <c r="D123" i="17"/>
  <c r="R122" i="17"/>
  <c r="H122" i="17"/>
  <c r="G122" i="17"/>
  <c r="L123" i="17" s="1"/>
  <c r="L124" i="17" s="1"/>
  <c r="M124" i="17" s="1"/>
  <c r="U122" i="17" s="1"/>
  <c r="D122" i="17"/>
  <c r="C122" i="17"/>
  <c r="E85" i="17"/>
  <c r="D85" i="17"/>
  <c r="E84" i="17"/>
  <c r="D84" i="17"/>
  <c r="D97" i="17" s="1"/>
  <c r="E83" i="17"/>
  <c r="D83" i="17"/>
  <c r="C97" i="17" s="1"/>
  <c r="F97" i="17" s="1"/>
  <c r="G97" i="17" s="1"/>
  <c r="E82" i="17"/>
  <c r="D82" i="17"/>
  <c r="E81" i="17"/>
  <c r="D81" i="17"/>
  <c r="E80" i="17"/>
  <c r="D80" i="17"/>
  <c r="C96" i="17" s="1"/>
  <c r="F96" i="17" s="1"/>
  <c r="G96" i="17" s="1"/>
  <c r="B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L41" i="17"/>
  <c r="K41" i="17"/>
  <c r="E41" i="17"/>
  <c r="D41" i="17"/>
  <c r="L40" i="17"/>
  <c r="K40" i="17"/>
  <c r="S40" i="17" s="1"/>
  <c r="T40" i="17" s="1"/>
  <c r="E40" i="17"/>
  <c r="D40" i="17"/>
  <c r="L39" i="17"/>
  <c r="K39" i="17"/>
  <c r="E39" i="17"/>
  <c r="D39" i="17"/>
  <c r="L38" i="17"/>
  <c r="K38" i="17"/>
  <c r="E38" i="17"/>
  <c r="D38" i="17"/>
  <c r="L37" i="17"/>
  <c r="K37" i="17"/>
  <c r="E37" i="17"/>
  <c r="D37" i="17"/>
  <c r="L36" i="17"/>
  <c r="K36" i="17"/>
  <c r="E36" i="17"/>
  <c r="D36" i="17"/>
  <c r="L35" i="17"/>
  <c r="K35" i="17"/>
  <c r="E35" i="17"/>
  <c r="D35" i="17"/>
  <c r="L34" i="17"/>
  <c r="K34" i="17"/>
  <c r="E34" i="17"/>
  <c r="D34" i="17"/>
  <c r="E33" i="17"/>
  <c r="D33" i="17"/>
  <c r="E32" i="17"/>
  <c r="D32" i="17"/>
  <c r="E31" i="17"/>
  <c r="D31" i="17"/>
  <c r="L30" i="17"/>
  <c r="E30" i="17"/>
  <c r="D30" i="17"/>
  <c r="L29" i="17"/>
  <c r="E29" i="17"/>
  <c r="D29" i="17"/>
  <c r="L28" i="17"/>
  <c r="E28" i="17"/>
  <c r="D28" i="17"/>
  <c r="L27" i="17"/>
  <c r="E27" i="17"/>
  <c r="D27" i="17"/>
  <c r="D68" i="17" s="1"/>
  <c r="L26" i="17"/>
  <c r="E26" i="17"/>
  <c r="L25" i="17"/>
  <c r="E25" i="17"/>
  <c r="D25" i="17"/>
  <c r="L24" i="17"/>
  <c r="K24" i="17"/>
  <c r="E24" i="17"/>
  <c r="D24" i="17"/>
  <c r="D67" i="17" s="1"/>
  <c r="H67" i="17" s="1"/>
  <c r="I67" i="17" s="1"/>
  <c r="L23" i="17"/>
  <c r="K23" i="17"/>
  <c r="E23" i="17"/>
  <c r="E22" i="17"/>
  <c r="D22" i="17"/>
  <c r="E21" i="17"/>
  <c r="D21" i="17"/>
  <c r="E20" i="17"/>
  <c r="K19" i="17"/>
  <c r="E19" i="17"/>
  <c r="D19" i="17"/>
  <c r="K18" i="17"/>
  <c r="E18" i="17"/>
  <c r="D18" i="17"/>
  <c r="K17" i="17"/>
  <c r="S39" i="17" s="1"/>
  <c r="T39" i="17" s="1"/>
  <c r="E17" i="17"/>
  <c r="K16" i="17"/>
  <c r="E16" i="17"/>
  <c r="D16" i="17"/>
  <c r="K15" i="17"/>
  <c r="E15" i="17"/>
  <c r="D15" i="17"/>
  <c r="K14" i="17"/>
  <c r="R36" i="17" s="1"/>
  <c r="E14" i="17"/>
  <c r="D14" i="17"/>
  <c r="K13" i="17"/>
  <c r="S35" i="17" s="1"/>
  <c r="T35" i="17" s="1"/>
  <c r="E13" i="17"/>
  <c r="D13" i="17"/>
  <c r="K12" i="17"/>
  <c r="S34" i="17" s="1"/>
  <c r="T34" i="17" s="1"/>
  <c r="E12" i="17"/>
  <c r="D12" i="17"/>
  <c r="E11" i="17"/>
  <c r="D11" i="17"/>
  <c r="E10" i="17"/>
  <c r="D10" i="17"/>
  <c r="S9" i="17"/>
  <c r="K9" i="17"/>
  <c r="E9" i="17"/>
  <c r="D9" i="17"/>
  <c r="D57" i="17" s="1"/>
  <c r="S8" i="17"/>
  <c r="K8" i="17"/>
  <c r="E8" i="17"/>
  <c r="D8" i="17"/>
  <c r="S7" i="17"/>
  <c r="K7" i="17"/>
  <c r="E7" i="17"/>
  <c r="D7" i="17"/>
  <c r="S6" i="17"/>
  <c r="K6" i="17"/>
  <c r="E6" i="17"/>
  <c r="D6" i="17"/>
  <c r="S5" i="17"/>
  <c r="K5" i="17"/>
  <c r="E5" i="17"/>
  <c r="D5" i="17"/>
  <c r="C56" i="17" s="1"/>
  <c r="F56" i="17" s="1"/>
  <c r="G56" i="17" s="1"/>
  <c r="S4" i="17"/>
  <c r="K4" i="17"/>
  <c r="E4" i="17"/>
  <c r="D4" i="17"/>
  <c r="S3" i="17"/>
  <c r="K3" i="17"/>
  <c r="E3" i="17"/>
  <c r="D3" i="17"/>
  <c r="C55" i="17" s="1"/>
  <c r="F55" i="17" s="1"/>
  <c r="G55" i="17" s="1"/>
  <c r="S2" i="17"/>
  <c r="K2" i="17"/>
  <c r="E2" i="17"/>
  <c r="D2" i="17"/>
  <c r="L201" i="16"/>
  <c r="L202" i="16" s="1"/>
  <c r="M202" i="16" s="1"/>
  <c r="L200" i="16"/>
  <c r="M200" i="16" s="1"/>
  <c r="H200" i="16"/>
  <c r="H199" i="16"/>
  <c r="L198" i="16"/>
  <c r="L199" i="16" s="1"/>
  <c r="M199" i="16" s="1"/>
  <c r="H198" i="16"/>
  <c r="L197" i="16"/>
  <c r="M197" i="16" s="1"/>
  <c r="H197" i="16"/>
  <c r="H196" i="16"/>
  <c r="L195" i="16"/>
  <c r="L196" i="16" s="1"/>
  <c r="M196" i="16" s="1"/>
  <c r="H195" i="16"/>
  <c r="L194" i="16"/>
  <c r="M194" i="16" s="1"/>
  <c r="H194" i="16"/>
  <c r="H193" i="16"/>
  <c r="L192" i="16"/>
  <c r="L193" i="16" s="1"/>
  <c r="M193" i="16" s="1"/>
  <c r="H192" i="16"/>
  <c r="L191" i="16"/>
  <c r="M191" i="16" s="1"/>
  <c r="H191" i="16"/>
  <c r="H190" i="16"/>
  <c r="L189" i="16"/>
  <c r="L190" i="16" s="1"/>
  <c r="M190" i="16" s="1"/>
  <c r="U180" i="16" s="1"/>
  <c r="H189" i="16"/>
  <c r="L188" i="16"/>
  <c r="M188" i="16" s="1"/>
  <c r="T180" i="16" s="1"/>
  <c r="H188" i="16"/>
  <c r="H187" i="16"/>
  <c r="L186" i="16"/>
  <c r="L187" i="16" s="1"/>
  <c r="U179" i="16" s="1"/>
  <c r="H186" i="16"/>
  <c r="H185" i="16"/>
  <c r="L185" i="16"/>
  <c r="T179" i="16" s="1"/>
  <c r="H184" i="16"/>
  <c r="L183" i="16"/>
  <c r="L184" i="16" s="1"/>
  <c r="U178" i="16" s="1"/>
  <c r="H183" i="16"/>
  <c r="H182" i="16"/>
  <c r="H181" i="16"/>
  <c r="R180" i="16"/>
  <c r="H180" i="16"/>
  <c r="R179" i="16"/>
  <c r="H179" i="16"/>
  <c r="L179" i="16"/>
  <c r="T177" i="16" s="1"/>
  <c r="R178" i="16"/>
  <c r="H178" i="16"/>
  <c r="R177" i="16"/>
  <c r="H177" i="16"/>
  <c r="R176" i="16"/>
  <c r="L177" i="16"/>
  <c r="L178" i="16" s="1"/>
  <c r="U176" i="16" s="1"/>
  <c r="H169" i="16"/>
  <c r="G169" i="16"/>
  <c r="L168" i="16"/>
  <c r="L169" i="16" s="1"/>
  <c r="M169" i="16" s="1"/>
  <c r="H168" i="16"/>
  <c r="G168" i="16"/>
  <c r="L167" i="16"/>
  <c r="H167" i="16"/>
  <c r="G167" i="16"/>
  <c r="L166" i="16"/>
  <c r="M166" i="16" s="1"/>
  <c r="H166" i="16"/>
  <c r="G166" i="16"/>
  <c r="L165" i="16"/>
  <c r="H165" i="16"/>
  <c r="G165" i="16"/>
  <c r="L164" i="16"/>
  <c r="H164" i="16"/>
  <c r="G164" i="16"/>
  <c r="D164" i="16"/>
  <c r="C164" i="16"/>
  <c r="H163" i="16"/>
  <c r="G163" i="16"/>
  <c r="D163" i="16"/>
  <c r="H162" i="16"/>
  <c r="G162" i="16"/>
  <c r="D162" i="16"/>
  <c r="H161" i="16"/>
  <c r="G161" i="16"/>
  <c r="L162" i="16" s="1"/>
  <c r="L163" i="16" s="1"/>
  <c r="M163" i="16" s="1"/>
  <c r="D161" i="16"/>
  <c r="C161" i="16"/>
  <c r="L160" i="16"/>
  <c r="M160" i="16" s="1"/>
  <c r="H160" i="16"/>
  <c r="D160" i="16"/>
  <c r="L159" i="16"/>
  <c r="H159" i="16"/>
  <c r="D159" i="16"/>
  <c r="L158" i="16"/>
  <c r="H158" i="16"/>
  <c r="G158" i="16"/>
  <c r="D158" i="16"/>
  <c r="C158" i="16"/>
  <c r="H157" i="16"/>
  <c r="D157" i="16"/>
  <c r="L156" i="16"/>
  <c r="L157" i="16" s="1"/>
  <c r="M157" i="16" s="1"/>
  <c r="U147" i="16" s="1"/>
  <c r="D156" i="16"/>
  <c r="L155" i="16"/>
  <c r="T147" i="16" s="1"/>
  <c r="H155" i="16"/>
  <c r="G155" i="16"/>
  <c r="D155" i="16"/>
  <c r="C155" i="16"/>
  <c r="H154" i="16"/>
  <c r="D154" i="16"/>
  <c r="H153" i="16"/>
  <c r="D153" i="16"/>
  <c r="H152" i="16"/>
  <c r="G152" i="16"/>
  <c r="L153" i="16" s="1"/>
  <c r="L154" i="16" s="1"/>
  <c r="M154" i="16" s="1"/>
  <c r="U146" i="16" s="1"/>
  <c r="D152" i="16"/>
  <c r="C152" i="16"/>
  <c r="H151" i="16"/>
  <c r="G151" i="16"/>
  <c r="D151" i="16"/>
  <c r="L150" i="16"/>
  <c r="L151" i="16" s="1"/>
  <c r="M151" i="16" s="1"/>
  <c r="U145" i="16" s="1"/>
  <c r="H150" i="16"/>
  <c r="G150" i="16"/>
  <c r="D150" i="16"/>
  <c r="L149" i="16"/>
  <c r="T145" i="16" s="1"/>
  <c r="H149" i="16"/>
  <c r="G149" i="16"/>
  <c r="D149" i="16"/>
  <c r="C149" i="16"/>
  <c r="H148" i="16"/>
  <c r="G148" i="16"/>
  <c r="D148" i="16"/>
  <c r="R147" i="16"/>
  <c r="H147" i="16"/>
  <c r="G147" i="16"/>
  <c r="D147" i="16"/>
  <c r="R146" i="16"/>
  <c r="H146" i="16"/>
  <c r="G146" i="16"/>
  <c r="L147" i="16" s="1"/>
  <c r="L148" i="16" s="1"/>
  <c r="M148" i="16" s="1"/>
  <c r="U144" i="16" s="1"/>
  <c r="D146" i="16"/>
  <c r="C146" i="16"/>
  <c r="R145" i="16"/>
  <c r="H145" i="16"/>
  <c r="G145" i="16"/>
  <c r="D145" i="16"/>
  <c r="R144" i="16"/>
  <c r="H144" i="16"/>
  <c r="G144" i="16"/>
  <c r="D144" i="16"/>
  <c r="R143" i="16"/>
  <c r="H143" i="16"/>
  <c r="G143" i="16"/>
  <c r="L144" i="16" s="1"/>
  <c r="L145" i="16" s="1"/>
  <c r="M145" i="16" s="1"/>
  <c r="U143" i="16" s="1"/>
  <c r="D143" i="16"/>
  <c r="C143" i="16"/>
  <c r="C129" i="16"/>
  <c r="F129" i="16" s="1"/>
  <c r="G129" i="16" s="1"/>
  <c r="E114" i="16"/>
  <c r="D114" i="16"/>
  <c r="E113" i="16"/>
  <c r="D113" i="16"/>
  <c r="D129" i="16" s="1"/>
  <c r="E112" i="16"/>
  <c r="D112" i="16"/>
  <c r="E111" i="16"/>
  <c r="D111" i="16"/>
  <c r="E110" i="16"/>
  <c r="D110" i="16"/>
  <c r="E109" i="16"/>
  <c r="D109" i="16"/>
  <c r="C128" i="16" s="1"/>
  <c r="F128" i="16" s="1"/>
  <c r="G128" i="16" s="1"/>
  <c r="E101" i="16"/>
  <c r="D101" i="16"/>
  <c r="E100" i="16"/>
  <c r="D100" i="16"/>
  <c r="C75" i="16" s="1"/>
  <c r="F75" i="16" s="1"/>
  <c r="G75" i="16" s="1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E89" i="16"/>
  <c r="D89" i="16"/>
  <c r="E88" i="16"/>
  <c r="D88" i="16"/>
  <c r="E87" i="16"/>
  <c r="D87" i="16"/>
  <c r="D67" i="16" s="1"/>
  <c r="H67" i="16" s="1"/>
  <c r="E86" i="16"/>
  <c r="D86" i="16"/>
  <c r="E85" i="16"/>
  <c r="D85" i="16"/>
  <c r="C60" i="16" s="1"/>
  <c r="E84" i="16"/>
  <c r="D84" i="16"/>
  <c r="D75" i="16"/>
  <c r="E75" i="16" s="1"/>
  <c r="P73" i="16"/>
  <c r="D70" i="16"/>
  <c r="E70" i="16" s="1"/>
  <c r="C69" i="16"/>
  <c r="F69" i="16" s="1"/>
  <c r="G69" i="16" s="1"/>
  <c r="F68" i="16"/>
  <c r="G68" i="16" s="1"/>
  <c r="D68" i="16"/>
  <c r="E68" i="16" s="1"/>
  <c r="C68" i="16"/>
  <c r="I67" i="16"/>
  <c r="E67" i="16"/>
  <c r="C65" i="16"/>
  <c r="F65" i="16" s="1"/>
  <c r="G65" i="16" s="1"/>
  <c r="H62" i="16"/>
  <c r="I62" i="16" s="1"/>
  <c r="D62" i="16"/>
  <c r="E62" i="16" s="1"/>
  <c r="D61" i="16"/>
  <c r="H61" i="16" s="1"/>
  <c r="I61" i="16" s="1"/>
  <c r="C61" i="16"/>
  <c r="F61" i="16" s="1"/>
  <c r="G61" i="16" s="1"/>
  <c r="F60" i="16"/>
  <c r="G60" i="16" s="1"/>
  <c r="H58" i="16"/>
  <c r="I58" i="16" s="1"/>
  <c r="D58" i="16"/>
  <c r="E58" i="16" s="1"/>
  <c r="C57" i="16"/>
  <c r="F57" i="16" s="1"/>
  <c r="G57" i="16" s="1"/>
  <c r="F52" i="16"/>
  <c r="F53" i="16" s="1"/>
  <c r="B51" i="16"/>
  <c r="F51" i="16" s="1"/>
  <c r="E49" i="16"/>
  <c r="D49" i="16"/>
  <c r="E48" i="16"/>
  <c r="D48" i="16"/>
  <c r="E47" i="16"/>
  <c r="D47" i="16"/>
  <c r="E46" i="16"/>
  <c r="D46" i="16"/>
  <c r="E45" i="16"/>
  <c r="D45" i="16"/>
  <c r="D66" i="16" s="1"/>
  <c r="E44" i="16"/>
  <c r="D44" i="16"/>
  <c r="C66" i="16" s="1"/>
  <c r="F66" i="16" s="1"/>
  <c r="G66" i="16" s="1"/>
  <c r="E43" i="16"/>
  <c r="D43" i="16"/>
  <c r="E42" i="16"/>
  <c r="D42" i="16"/>
  <c r="S41" i="16"/>
  <c r="T41" i="16" s="1"/>
  <c r="L41" i="16"/>
  <c r="K41" i="16"/>
  <c r="E41" i="16"/>
  <c r="D41" i="16"/>
  <c r="D59" i="16" s="1"/>
  <c r="H59" i="16" s="1"/>
  <c r="I59" i="16" s="1"/>
  <c r="R40" i="16"/>
  <c r="L40" i="16"/>
  <c r="K40" i="16"/>
  <c r="E40" i="16"/>
  <c r="D40" i="16"/>
  <c r="C73" i="16" s="1"/>
  <c r="F73" i="16" s="1"/>
  <c r="G73" i="16" s="1"/>
  <c r="L39" i="16"/>
  <c r="K39" i="16"/>
  <c r="E39" i="16"/>
  <c r="D39" i="16"/>
  <c r="L38" i="16"/>
  <c r="K38" i="16"/>
  <c r="I38" i="16"/>
  <c r="E38" i="16"/>
  <c r="D38" i="16"/>
  <c r="D73" i="16" s="1"/>
  <c r="L37" i="16"/>
  <c r="K37" i="16"/>
  <c r="E37" i="16"/>
  <c r="D37" i="16"/>
  <c r="S36" i="16"/>
  <c r="T36" i="16" s="1"/>
  <c r="L36" i="16"/>
  <c r="K36" i="16"/>
  <c r="E36" i="16"/>
  <c r="D36" i="16"/>
  <c r="R35" i="16"/>
  <c r="L35" i="16"/>
  <c r="K35" i="16"/>
  <c r="E35" i="16"/>
  <c r="D35" i="16"/>
  <c r="D65" i="16" s="1"/>
  <c r="L34" i="16"/>
  <c r="K34" i="16"/>
  <c r="E34" i="16"/>
  <c r="D34" i="16"/>
  <c r="E33" i="16"/>
  <c r="D33" i="16"/>
  <c r="E32" i="16"/>
  <c r="D32" i="16"/>
  <c r="C58" i="16" s="1"/>
  <c r="F58" i="16" s="1"/>
  <c r="G58" i="16" s="1"/>
  <c r="E31" i="16"/>
  <c r="D31" i="16"/>
  <c r="L30" i="16"/>
  <c r="K30" i="16"/>
  <c r="E30" i="16"/>
  <c r="D30" i="16"/>
  <c r="L29" i="16"/>
  <c r="K29" i="16"/>
  <c r="E29" i="16"/>
  <c r="D29" i="16"/>
  <c r="C72" i="16" s="1"/>
  <c r="F72" i="16" s="1"/>
  <c r="G72" i="16" s="1"/>
  <c r="L28" i="16"/>
  <c r="K28" i="16"/>
  <c r="E28" i="16"/>
  <c r="D28" i="16"/>
  <c r="L27" i="16"/>
  <c r="K27" i="16"/>
  <c r="E27" i="16"/>
  <c r="D27" i="16"/>
  <c r="L26" i="16"/>
  <c r="K26" i="16"/>
  <c r="E26" i="16"/>
  <c r="D26" i="16"/>
  <c r="D71" i="16" s="1"/>
  <c r="L25" i="16"/>
  <c r="K25" i="16"/>
  <c r="E25" i="16"/>
  <c r="D25" i="16"/>
  <c r="L24" i="16"/>
  <c r="K24" i="16"/>
  <c r="E24" i="16"/>
  <c r="D24" i="16"/>
  <c r="L23" i="16"/>
  <c r="K23" i="16"/>
  <c r="E23" i="16"/>
  <c r="D23" i="16"/>
  <c r="C70" i="16" s="1"/>
  <c r="F70" i="16" s="1"/>
  <c r="G70" i="16" s="1"/>
  <c r="E22" i="16"/>
  <c r="D22" i="16"/>
  <c r="E21" i="16"/>
  <c r="D21" i="16"/>
  <c r="E20" i="16"/>
  <c r="D20" i="16"/>
  <c r="D69" i="16" s="1"/>
  <c r="L19" i="16"/>
  <c r="K19" i="16"/>
  <c r="R41" i="16" s="1"/>
  <c r="E19" i="16"/>
  <c r="D19" i="16"/>
  <c r="L18" i="16"/>
  <c r="K18" i="16"/>
  <c r="S40" i="16" s="1"/>
  <c r="T40" i="16" s="1"/>
  <c r="E18" i="16"/>
  <c r="D18" i="16"/>
  <c r="L17" i="16"/>
  <c r="K17" i="16"/>
  <c r="R39" i="16" s="1"/>
  <c r="E17" i="16"/>
  <c r="D17" i="16"/>
  <c r="C64" i="16" s="1"/>
  <c r="F64" i="16" s="1"/>
  <c r="G64" i="16" s="1"/>
  <c r="L16" i="16"/>
  <c r="K16" i="16"/>
  <c r="S38" i="16" s="1"/>
  <c r="T38" i="16" s="1"/>
  <c r="E16" i="16"/>
  <c r="D16" i="16"/>
  <c r="L15" i="16"/>
  <c r="K15" i="16"/>
  <c r="S37" i="16" s="1"/>
  <c r="T37" i="16" s="1"/>
  <c r="E15" i="16"/>
  <c r="D15" i="16"/>
  <c r="L14" i="16"/>
  <c r="K14" i="16"/>
  <c r="R36" i="16" s="1"/>
  <c r="E14" i="16"/>
  <c r="D14" i="16"/>
  <c r="D63" i="16" s="1"/>
  <c r="H63" i="16" s="1"/>
  <c r="I63" i="16" s="1"/>
  <c r="L13" i="16"/>
  <c r="K13" i="16"/>
  <c r="S35" i="16" s="1"/>
  <c r="T35" i="16" s="1"/>
  <c r="E13" i="16"/>
  <c r="D13" i="16"/>
  <c r="L12" i="16"/>
  <c r="K12" i="16"/>
  <c r="R34" i="16" s="1"/>
  <c r="E12" i="16"/>
  <c r="D12" i="16"/>
  <c r="E11" i="16"/>
  <c r="D11" i="16"/>
  <c r="C62" i="16" s="1"/>
  <c r="F62" i="16" s="1"/>
  <c r="G62" i="16" s="1"/>
  <c r="E10" i="16"/>
  <c r="D10" i="16"/>
  <c r="E9" i="16"/>
  <c r="D9" i="16"/>
  <c r="L8" i="16"/>
  <c r="K8" i="16"/>
  <c r="E8" i="16"/>
  <c r="D8" i="16"/>
  <c r="D57" i="16" s="1"/>
  <c r="L7" i="16"/>
  <c r="K7" i="16"/>
  <c r="E7" i="16"/>
  <c r="D7" i="16"/>
  <c r="L6" i="16"/>
  <c r="K6" i="16"/>
  <c r="E6" i="16"/>
  <c r="D6" i="16"/>
  <c r="L5" i="16"/>
  <c r="K5" i="16"/>
  <c r="E5" i="16"/>
  <c r="D5" i="16"/>
  <c r="C56" i="16" s="1"/>
  <c r="F56" i="16" s="1"/>
  <c r="G56" i="16" s="1"/>
  <c r="L4" i="16"/>
  <c r="K4" i="16"/>
  <c r="E4" i="16"/>
  <c r="D4" i="16"/>
  <c r="L3" i="16"/>
  <c r="K3" i="16"/>
  <c r="E3" i="16"/>
  <c r="D3" i="16"/>
  <c r="L2" i="16"/>
  <c r="K2" i="16"/>
  <c r="E2" i="16"/>
  <c r="D2" i="16"/>
  <c r="D55" i="16" s="1"/>
  <c r="H55" i="16" s="1"/>
  <c r="I55" i="16" s="1"/>
  <c r="H128" i="18" l="1"/>
  <c r="I128" i="18" s="1"/>
  <c r="H129" i="18"/>
  <c r="I129" i="18" s="1"/>
  <c r="H74" i="18"/>
  <c r="I74" i="18" s="1"/>
  <c r="E74" i="18"/>
  <c r="E57" i="17"/>
  <c r="H57" i="17"/>
  <c r="I57" i="17" s="1"/>
  <c r="D66" i="17"/>
  <c r="D56" i="17"/>
  <c r="H56" i="17" s="1"/>
  <c r="I56" i="17" s="1"/>
  <c r="L128" i="17"/>
  <c r="T124" i="17" s="1"/>
  <c r="L141" i="17"/>
  <c r="L142" i="17" s="1"/>
  <c r="M142" i="17" s="1"/>
  <c r="D55" i="17"/>
  <c r="F57" i="17"/>
  <c r="G57" i="17" s="1"/>
  <c r="R35" i="17"/>
  <c r="C70" i="17"/>
  <c r="F70" i="17" s="1"/>
  <c r="G70" i="17" s="1"/>
  <c r="R39" i="17"/>
  <c r="E67" i="17"/>
  <c r="L126" i="17"/>
  <c r="L127" i="17" s="1"/>
  <c r="M127" i="17" s="1"/>
  <c r="U123" i="17" s="1"/>
  <c r="L131" i="17"/>
  <c r="T125" i="17" s="1"/>
  <c r="D64" i="17"/>
  <c r="D60" i="17"/>
  <c r="H60" i="17" s="1"/>
  <c r="I60" i="17" s="1"/>
  <c r="C61" i="17"/>
  <c r="F61" i="17" s="1"/>
  <c r="G61" i="17" s="1"/>
  <c r="S38" i="17"/>
  <c r="T38" i="17" s="1"/>
  <c r="D69" i="17"/>
  <c r="L144" i="17"/>
  <c r="L145" i="17" s="1"/>
  <c r="M145" i="17" s="1"/>
  <c r="S36" i="17"/>
  <c r="T36" i="17" s="1"/>
  <c r="C59" i="17"/>
  <c r="F59" i="17" s="1"/>
  <c r="G59" i="17" s="1"/>
  <c r="C68" i="17"/>
  <c r="F68" i="17" s="1"/>
  <c r="G68" i="17" s="1"/>
  <c r="E66" i="17"/>
  <c r="H66" i="17"/>
  <c r="I66" i="17" s="1"/>
  <c r="S41" i="17"/>
  <c r="T41" i="17" s="1"/>
  <c r="R41" i="17"/>
  <c r="H69" i="17"/>
  <c r="I69" i="17" s="1"/>
  <c r="E69" i="17"/>
  <c r="D58" i="17"/>
  <c r="C58" i="17"/>
  <c r="F58" i="17" s="1"/>
  <c r="G58" i="17" s="1"/>
  <c r="R34" i="17"/>
  <c r="H64" i="17"/>
  <c r="I64" i="17" s="1"/>
  <c r="E64" i="17"/>
  <c r="F52" i="17"/>
  <c r="F53" i="17" s="1"/>
  <c r="F50" i="17"/>
  <c r="C60" i="17"/>
  <c r="F60" i="17" s="1"/>
  <c r="G60" i="17" s="1"/>
  <c r="L137" i="17"/>
  <c r="L138" i="17"/>
  <c r="L139" i="17" s="1"/>
  <c r="M139" i="17" s="1"/>
  <c r="L147" i="17"/>
  <c r="L148" i="17" s="1"/>
  <c r="M148" i="17" s="1"/>
  <c r="L146" i="17"/>
  <c r="S37" i="17"/>
  <c r="T37" i="17" s="1"/>
  <c r="R40" i="17"/>
  <c r="C63" i="17"/>
  <c r="F63" i="17" s="1"/>
  <c r="G63" i="17" s="1"/>
  <c r="D63" i="17"/>
  <c r="D70" i="17"/>
  <c r="E97" i="17"/>
  <c r="H97" i="17"/>
  <c r="I97" i="17" s="1"/>
  <c r="C66" i="17"/>
  <c r="F66" i="17" s="1"/>
  <c r="G66" i="17" s="1"/>
  <c r="E68" i="17"/>
  <c r="H68" i="17"/>
  <c r="I68" i="17" s="1"/>
  <c r="R38" i="17"/>
  <c r="D71" i="17"/>
  <c r="D61" i="17"/>
  <c r="L135" i="17"/>
  <c r="L136" i="17" s="1"/>
  <c r="M136" i="17" s="1"/>
  <c r="U126" i="17" s="1"/>
  <c r="L134" i="17"/>
  <c r="T126" i="17" s="1"/>
  <c r="L164" i="17"/>
  <c r="L165" i="17" s="1"/>
  <c r="M165" i="17" s="1"/>
  <c r="U157" i="17" s="1"/>
  <c r="L163" i="17"/>
  <c r="T157" i="17" s="1"/>
  <c r="L172" i="17"/>
  <c r="M172" i="17" s="1"/>
  <c r="L173" i="17"/>
  <c r="L174" i="17" s="1"/>
  <c r="M174" i="17" s="1"/>
  <c r="E55" i="17"/>
  <c r="H55" i="17"/>
  <c r="I55" i="17" s="1"/>
  <c r="D62" i="17"/>
  <c r="C62" i="17"/>
  <c r="F62" i="17" s="1"/>
  <c r="G62" i="17" s="1"/>
  <c r="D59" i="17"/>
  <c r="C64" i="17"/>
  <c r="F64" i="17" s="1"/>
  <c r="G64" i="17" s="1"/>
  <c r="C69" i="17"/>
  <c r="F69" i="17" s="1"/>
  <c r="G69" i="17" s="1"/>
  <c r="R37" i="17"/>
  <c r="E56" i="17"/>
  <c r="C67" i="17"/>
  <c r="F67" i="17" s="1"/>
  <c r="G67" i="17" s="1"/>
  <c r="C71" i="17"/>
  <c r="F71" i="17" s="1"/>
  <c r="G71" i="17" s="1"/>
  <c r="D96" i="17"/>
  <c r="L122" i="17"/>
  <c r="T122" i="17" s="1"/>
  <c r="L125" i="17"/>
  <c r="T123" i="17" s="1"/>
  <c r="E66" i="16"/>
  <c r="H66" i="16"/>
  <c r="I66" i="16" s="1"/>
  <c r="H69" i="16"/>
  <c r="I69" i="16" s="1"/>
  <c r="E69" i="16"/>
  <c r="H65" i="16"/>
  <c r="I65" i="16" s="1"/>
  <c r="E65" i="16"/>
  <c r="D74" i="16"/>
  <c r="C74" i="16"/>
  <c r="F74" i="16" s="1"/>
  <c r="G74" i="16" s="1"/>
  <c r="E55" i="16"/>
  <c r="H57" i="16"/>
  <c r="I57" i="16" s="1"/>
  <c r="E57" i="16"/>
  <c r="H71" i="16"/>
  <c r="I71" i="16" s="1"/>
  <c r="E71" i="16"/>
  <c r="H129" i="16"/>
  <c r="I129" i="16" s="1"/>
  <c r="E129" i="16"/>
  <c r="H73" i="16"/>
  <c r="I73" i="16" s="1"/>
  <c r="E73" i="16"/>
  <c r="E59" i="16"/>
  <c r="E63" i="16"/>
  <c r="H70" i="16"/>
  <c r="I70" i="16" s="1"/>
  <c r="H75" i="16"/>
  <c r="I75" i="16" s="1"/>
  <c r="S34" i="16"/>
  <c r="T34" i="16" s="1"/>
  <c r="R37" i="16"/>
  <c r="R38" i="16"/>
  <c r="S39" i="16"/>
  <c r="T39" i="16" s="1"/>
  <c r="C55" i="16"/>
  <c r="F55" i="16" s="1"/>
  <c r="G55" i="16" s="1"/>
  <c r="D56" i="16"/>
  <c r="C59" i="16"/>
  <c r="F59" i="16" s="1"/>
  <c r="G59" i="16" s="1"/>
  <c r="D60" i="16"/>
  <c r="E61" i="16"/>
  <c r="C63" i="16"/>
  <c r="F63" i="16" s="1"/>
  <c r="G63" i="16" s="1"/>
  <c r="D64" i="16"/>
  <c r="C67" i="16"/>
  <c r="F67" i="16" s="1"/>
  <c r="G67" i="16" s="1"/>
  <c r="H68" i="16"/>
  <c r="I68" i="16" s="1"/>
  <c r="C71" i="16"/>
  <c r="F71" i="16" s="1"/>
  <c r="G71" i="16" s="1"/>
  <c r="D72" i="16"/>
  <c r="D128" i="16"/>
  <c r="L161" i="16"/>
  <c r="M161" i="16" s="1"/>
  <c r="L143" i="16"/>
  <c r="T143" i="16" s="1"/>
  <c r="L146" i="16"/>
  <c r="T144" i="16" s="1"/>
  <c r="L152" i="16"/>
  <c r="T146" i="16" s="1"/>
  <c r="H156" i="16"/>
  <c r="L176" i="16"/>
  <c r="T176" i="16" s="1"/>
  <c r="L180" i="16"/>
  <c r="L181" i="16" s="1"/>
  <c r="U177" i="16" s="1"/>
  <c r="G185" i="11"/>
  <c r="L186" i="11" s="1"/>
  <c r="L187" i="11" s="1"/>
  <c r="M187" i="11" s="1"/>
  <c r="U179" i="11" s="1"/>
  <c r="G182" i="11"/>
  <c r="L182" i="11"/>
  <c r="M182" i="11" s="1"/>
  <c r="T178" i="11" s="1"/>
  <c r="G179" i="11"/>
  <c r="L180" i="11" s="1"/>
  <c r="L181" i="11" s="1"/>
  <c r="M181" i="11" s="1"/>
  <c r="U177" i="11" s="1"/>
  <c r="G176" i="11"/>
  <c r="R180" i="11"/>
  <c r="R179" i="11"/>
  <c r="R178" i="11"/>
  <c r="R177" i="11"/>
  <c r="R176" i="11"/>
  <c r="L201" i="11"/>
  <c r="L202" i="11" s="1"/>
  <c r="M202" i="11" s="1"/>
  <c r="L200" i="11"/>
  <c r="M200" i="11" s="1"/>
  <c r="H200" i="11"/>
  <c r="H199" i="11"/>
  <c r="L198" i="11"/>
  <c r="L199" i="11" s="1"/>
  <c r="M199" i="11" s="1"/>
  <c r="H198" i="11"/>
  <c r="L197" i="11"/>
  <c r="M197" i="11" s="1"/>
  <c r="H197" i="11"/>
  <c r="H196" i="11"/>
  <c r="L195" i="11"/>
  <c r="L196" i="11" s="1"/>
  <c r="M196" i="11" s="1"/>
  <c r="H195" i="11"/>
  <c r="L194" i="11"/>
  <c r="M194" i="11" s="1"/>
  <c r="H194" i="11"/>
  <c r="H193" i="11"/>
  <c r="H192" i="11"/>
  <c r="H191" i="11"/>
  <c r="L192" i="11"/>
  <c r="L193" i="11" s="1"/>
  <c r="M193" i="11" s="1"/>
  <c r="H190" i="11"/>
  <c r="H189" i="11"/>
  <c r="H188" i="11"/>
  <c r="L189" i="11"/>
  <c r="L190" i="11" s="1"/>
  <c r="M190" i="11" s="1"/>
  <c r="U180" i="11" s="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L176" i="11"/>
  <c r="M176" i="11" s="1"/>
  <c r="T176" i="11" s="1"/>
  <c r="G164" i="12"/>
  <c r="G161" i="12"/>
  <c r="L161" i="12"/>
  <c r="L162" i="12" s="1"/>
  <c r="M162" i="12" s="1"/>
  <c r="U156" i="12" s="1"/>
  <c r="G158" i="12"/>
  <c r="G175" i="12"/>
  <c r="L176" i="12" s="1"/>
  <c r="L177" i="12" s="1"/>
  <c r="M177" i="12" s="1"/>
  <c r="G172" i="12"/>
  <c r="G169" i="12"/>
  <c r="G166" i="12"/>
  <c r="L167" i="12" s="1"/>
  <c r="L168" i="12" s="1"/>
  <c r="M168" i="12" s="1"/>
  <c r="U158" i="12" s="1"/>
  <c r="G163" i="12"/>
  <c r="G160" i="12"/>
  <c r="G157" i="12"/>
  <c r="L157" i="12" s="1"/>
  <c r="M157" i="12" s="1"/>
  <c r="T155" i="12" s="1"/>
  <c r="G155" i="12"/>
  <c r="G154" i="12"/>
  <c r="H178" i="12"/>
  <c r="L178" i="12"/>
  <c r="M178" i="12" s="1"/>
  <c r="H177" i="12"/>
  <c r="H176" i="12"/>
  <c r="H175" i="12"/>
  <c r="H174" i="12"/>
  <c r="L173" i="12"/>
  <c r="L174" i="12" s="1"/>
  <c r="M174" i="12" s="1"/>
  <c r="H173" i="12"/>
  <c r="H172" i="12"/>
  <c r="L172" i="12"/>
  <c r="M172" i="12" s="1"/>
  <c r="H171" i="12"/>
  <c r="H170" i="12"/>
  <c r="H169" i="12"/>
  <c r="L170" i="12"/>
  <c r="L171" i="12" s="1"/>
  <c r="M171" i="12" s="1"/>
  <c r="H168" i="12"/>
  <c r="H167" i="12"/>
  <c r="H166" i="12"/>
  <c r="L166" i="12"/>
  <c r="M166" i="12" s="1"/>
  <c r="T158" i="12" s="1"/>
  <c r="H165" i="12"/>
  <c r="H164" i="12"/>
  <c r="H163" i="12"/>
  <c r="H162" i="12"/>
  <c r="H161" i="12"/>
  <c r="H160" i="12"/>
  <c r="H159" i="12"/>
  <c r="R158" i="12"/>
  <c r="H158" i="12"/>
  <c r="R157" i="12"/>
  <c r="H157" i="12"/>
  <c r="R156" i="12"/>
  <c r="H156" i="12"/>
  <c r="L155" i="12"/>
  <c r="L156" i="12" s="1"/>
  <c r="M156" i="12" s="1"/>
  <c r="U154" i="12" s="1"/>
  <c r="R155" i="12"/>
  <c r="H155" i="12"/>
  <c r="R154" i="12"/>
  <c r="H154" i="12"/>
  <c r="G129" i="12"/>
  <c r="G130" i="12"/>
  <c r="G127" i="12"/>
  <c r="E60" i="17" l="1"/>
  <c r="E59" i="17"/>
  <c r="H59" i="17"/>
  <c r="I59" i="17" s="1"/>
  <c r="H71" i="17"/>
  <c r="I71" i="17" s="1"/>
  <c r="E71" i="17"/>
  <c r="E63" i="17"/>
  <c r="H63" i="17"/>
  <c r="I63" i="17" s="1"/>
  <c r="E96" i="17"/>
  <c r="H96" i="17"/>
  <c r="I96" i="17" s="1"/>
  <c r="H62" i="17"/>
  <c r="I62" i="17" s="1"/>
  <c r="E62" i="17"/>
  <c r="E61" i="17"/>
  <c r="H61" i="17"/>
  <c r="I61" i="17" s="1"/>
  <c r="E70" i="17"/>
  <c r="H70" i="17"/>
  <c r="I70" i="17" s="1"/>
  <c r="H58" i="17"/>
  <c r="I58" i="17" s="1"/>
  <c r="E58" i="17"/>
  <c r="E128" i="16"/>
  <c r="H128" i="16"/>
  <c r="I128" i="16" s="1"/>
  <c r="E72" i="16"/>
  <c r="H72" i="16"/>
  <c r="I72" i="16" s="1"/>
  <c r="E64" i="16"/>
  <c r="H64" i="16"/>
  <c r="I64" i="16" s="1"/>
  <c r="E56" i="16"/>
  <c r="H56" i="16"/>
  <c r="I56" i="16" s="1"/>
  <c r="H74" i="16"/>
  <c r="I74" i="16" s="1"/>
  <c r="E74" i="16"/>
  <c r="E60" i="16"/>
  <c r="H60" i="16"/>
  <c r="I60" i="16" s="1"/>
  <c r="L185" i="11"/>
  <c r="M185" i="11" s="1"/>
  <c r="T179" i="11" s="1"/>
  <c r="L177" i="11"/>
  <c r="L178" i="11" s="1"/>
  <c r="M178" i="11" s="1"/>
  <c r="U176" i="11" s="1"/>
  <c r="L179" i="11"/>
  <c r="M179" i="11" s="1"/>
  <c r="T177" i="11" s="1"/>
  <c r="L183" i="11"/>
  <c r="L184" i="11" s="1"/>
  <c r="M184" i="11" s="1"/>
  <c r="U178" i="11" s="1"/>
  <c r="L188" i="11"/>
  <c r="M188" i="11" s="1"/>
  <c r="T180" i="11" s="1"/>
  <c r="L191" i="11"/>
  <c r="M191" i="11" s="1"/>
  <c r="L163" i="12"/>
  <c r="M163" i="12" s="1"/>
  <c r="T157" i="12" s="1"/>
  <c r="L160" i="12"/>
  <c r="M160" i="12" s="1"/>
  <c r="T156" i="12" s="1"/>
  <c r="L175" i="12"/>
  <c r="M175" i="12" s="1"/>
  <c r="L158" i="12"/>
  <c r="L159" i="12" s="1"/>
  <c r="M159" i="12" s="1"/>
  <c r="U155" i="12" s="1"/>
  <c r="L164" i="12"/>
  <c r="L165" i="12" s="1"/>
  <c r="M165" i="12" s="1"/>
  <c r="U157" i="12" s="1"/>
  <c r="L154" i="12"/>
  <c r="M154" i="12" s="1"/>
  <c r="T154" i="12" s="1"/>
  <c r="L179" i="12"/>
  <c r="L180" i="12" s="1"/>
  <c r="M180" i="12" s="1"/>
  <c r="L169" i="12"/>
  <c r="M169" i="12" s="1"/>
  <c r="G124" i="12"/>
  <c r="G151" i="11" l="1"/>
  <c r="G150" i="11"/>
  <c r="G148" i="11"/>
  <c r="G147" i="11"/>
  <c r="G145" i="11"/>
  <c r="G144" i="11"/>
  <c r="L128" i="12"/>
  <c r="M128" i="12" s="1"/>
  <c r="T124" i="12" s="1"/>
  <c r="U126" i="12"/>
  <c r="T126" i="12"/>
  <c r="R126" i="12"/>
  <c r="U125" i="12"/>
  <c r="T125" i="12"/>
  <c r="R125" i="12"/>
  <c r="R124" i="12"/>
  <c r="R123" i="12"/>
  <c r="R122" i="12"/>
  <c r="M148" i="12"/>
  <c r="M143" i="12"/>
  <c r="M142" i="12"/>
  <c r="M136" i="12"/>
  <c r="M131" i="12"/>
  <c r="M146" i="12"/>
  <c r="M145" i="12"/>
  <c r="M140" i="12"/>
  <c r="M139" i="12"/>
  <c r="M137" i="12"/>
  <c r="M134" i="12"/>
  <c r="M133" i="12"/>
  <c r="L147" i="12"/>
  <c r="L148" i="12" s="1"/>
  <c r="L146" i="12"/>
  <c r="L144" i="12"/>
  <c r="L145" i="12" s="1"/>
  <c r="L143" i="12"/>
  <c r="L141" i="12"/>
  <c r="L142" i="12" s="1"/>
  <c r="L140" i="12"/>
  <c r="L138" i="12"/>
  <c r="L139" i="12" s="1"/>
  <c r="L137" i="12"/>
  <c r="L135" i="12"/>
  <c r="L136" i="12" s="1"/>
  <c r="L134" i="12"/>
  <c r="L133" i="12"/>
  <c r="L132" i="12"/>
  <c r="L131" i="12"/>
  <c r="L129" i="12"/>
  <c r="L130" i="12" s="1"/>
  <c r="M130" i="12" s="1"/>
  <c r="U124" i="12" s="1"/>
  <c r="L126" i="12"/>
  <c r="L127" i="12" s="1"/>
  <c r="M127" i="12" s="1"/>
  <c r="U123" i="12" s="1"/>
  <c r="L125" i="12"/>
  <c r="M125" i="12" s="1"/>
  <c r="T123" i="12" s="1"/>
  <c r="L123" i="12"/>
  <c r="L124" i="12" s="1"/>
  <c r="M124" i="12" s="1"/>
  <c r="U122" i="12" s="1"/>
  <c r="L122" i="12"/>
  <c r="M122" i="12" s="1"/>
  <c r="T122" i="12" s="1"/>
  <c r="U147" i="11"/>
  <c r="U146" i="11"/>
  <c r="T147" i="11"/>
  <c r="T146" i="11"/>
  <c r="R147" i="11"/>
  <c r="R146" i="11"/>
  <c r="R145" i="11"/>
  <c r="R144" i="11"/>
  <c r="R143" i="11"/>
  <c r="M154" i="11"/>
  <c r="M157" i="11"/>
  <c r="M160" i="11"/>
  <c r="M163" i="11"/>
  <c r="M166" i="11"/>
  <c r="M169" i="11"/>
  <c r="M167" i="11"/>
  <c r="M164" i="11"/>
  <c r="M161" i="11"/>
  <c r="M158" i="11"/>
  <c r="M155" i="11"/>
  <c r="M152" i="11"/>
  <c r="L169" i="11"/>
  <c r="L166" i="11"/>
  <c r="L163" i="11"/>
  <c r="L160" i="11"/>
  <c r="L157" i="11"/>
  <c r="L154" i="11"/>
  <c r="L168" i="11"/>
  <c r="L165" i="11"/>
  <c r="L162" i="11"/>
  <c r="L159" i="11"/>
  <c r="L156" i="11"/>
  <c r="L153" i="11"/>
  <c r="L150" i="11"/>
  <c r="L151" i="11" s="1"/>
  <c r="M151" i="11" s="1"/>
  <c r="U145" i="11" s="1"/>
  <c r="L147" i="11"/>
  <c r="L148" i="11" s="1"/>
  <c r="M148" i="11" s="1"/>
  <c r="U144" i="11" s="1"/>
  <c r="L144" i="11"/>
  <c r="L145" i="11" s="1"/>
  <c r="M145" i="11" s="1"/>
  <c r="U143" i="11" s="1"/>
  <c r="L167" i="11" l="1"/>
  <c r="L164" i="11"/>
  <c r="L161" i="11"/>
  <c r="L158" i="11"/>
  <c r="L155" i="11"/>
  <c r="L152" i="11"/>
  <c r="L149" i="11"/>
  <c r="M149" i="11" s="1"/>
  <c r="T145" i="11" s="1"/>
  <c r="L146" i="11"/>
  <c r="M146" i="11" s="1"/>
  <c r="T144" i="11" s="1"/>
  <c r="L143" i="11"/>
  <c r="M143" i="11" s="1"/>
  <c r="T143" i="11" s="1"/>
  <c r="G169" i="11"/>
  <c r="G168" i="11"/>
  <c r="G167" i="11"/>
  <c r="G166" i="11"/>
  <c r="G165" i="11"/>
  <c r="G164" i="11"/>
  <c r="G163" i="11"/>
  <c r="G162" i="11"/>
  <c r="G161" i="11"/>
  <c r="H162" i="11"/>
  <c r="H163" i="11"/>
  <c r="H164" i="11"/>
  <c r="H165" i="11"/>
  <c r="H166" i="11"/>
  <c r="H167" i="11"/>
  <c r="H168" i="11"/>
  <c r="H169" i="11"/>
  <c r="G123" i="12" l="1"/>
  <c r="G126" i="12"/>
  <c r="G133" i="12"/>
  <c r="G136" i="12"/>
  <c r="G139" i="12"/>
  <c r="G142" i="12"/>
  <c r="G145" i="12"/>
  <c r="G148" i="12"/>
  <c r="G147" i="12"/>
  <c r="G144" i="12"/>
  <c r="G141" i="12"/>
  <c r="G138" i="12"/>
  <c r="G135" i="12"/>
  <c r="G132" i="12"/>
  <c r="G134" i="12"/>
  <c r="G137" i="12"/>
  <c r="G140" i="12"/>
  <c r="G143" i="12"/>
  <c r="G146" i="12"/>
  <c r="G122" i="12" l="1"/>
  <c r="G125" i="12"/>
  <c r="G128" i="12"/>
  <c r="G131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23" i="12" l="1"/>
  <c r="H124" i="12"/>
  <c r="H125" i="12"/>
  <c r="H126" i="12"/>
  <c r="H127" i="12"/>
  <c r="H128" i="12"/>
  <c r="H122" i="12"/>
  <c r="G158" i="11" l="1"/>
  <c r="G155" i="11"/>
  <c r="G152" i="11"/>
  <c r="G149" i="11"/>
  <c r="G146" i="11"/>
  <c r="G143" i="11"/>
  <c r="H153" i="11"/>
  <c r="H154" i="11"/>
  <c r="H155" i="11"/>
  <c r="H156" i="11"/>
  <c r="H157" i="11"/>
  <c r="H158" i="11"/>
  <c r="H159" i="11"/>
  <c r="H160" i="11"/>
  <c r="H161" i="11"/>
  <c r="H144" i="11"/>
  <c r="H145" i="11"/>
  <c r="H146" i="11"/>
  <c r="H147" i="11"/>
  <c r="H148" i="11"/>
  <c r="H149" i="11"/>
  <c r="H150" i="11"/>
  <c r="H151" i="11"/>
  <c r="H152" i="11"/>
  <c r="H143" i="11"/>
  <c r="C164" i="11" l="1"/>
  <c r="C161" i="11"/>
  <c r="C158" i="11"/>
  <c r="C155" i="11"/>
  <c r="C152" i="11"/>
  <c r="C149" i="11"/>
  <c r="C146" i="11"/>
  <c r="C143" i="11"/>
  <c r="C146" i="12"/>
  <c r="C143" i="12"/>
  <c r="C140" i="12"/>
  <c r="C137" i="12"/>
  <c r="C134" i="12"/>
  <c r="C131" i="12"/>
  <c r="C128" i="12"/>
  <c r="C125" i="12"/>
  <c r="C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22" i="12"/>
  <c r="D161" i="11"/>
  <c r="D162" i="11"/>
  <c r="D163" i="11"/>
  <c r="D164" i="11"/>
  <c r="D144" i="11" l="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43" i="11"/>
  <c r="D96" i="12" l="1"/>
  <c r="H96" i="12" s="1"/>
  <c r="I96" i="12" s="1"/>
  <c r="D85" i="12"/>
  <c r="D84" i="12"/>
  <c r="D83" i="12"/>
  <c r="D97" i="12" s="1"/>
  <c r="D82" i="12"/>
  <c r="C96" i="12" s="1"/>
  <c r="F96" i="12" s="1"/>
  <c r="G96" i="12" s="1"/>
  <c r="D81" i="12"/>
  <c r="D80" i="12"/>
  <c r="E81" i="12"/>
  <c r="E82" i="12"/>
  <c r="E83" i="12"/>
  <c r="E84" i="12"/>
  <c r="E85" i="12"/>
  <c r="H129" i="11"/>
  <c r="I129" i="11" s="1"/>
  <c r="F129" i="11"/>
  <c r="G129" i="11" s="1"/>
  <c r="E129" i="11"/>
  <c r="H128" i="11"/>
  <c r="I128" i="11" s="1"/>
  <c r="F128" i="11"/>
  <c r="G128" i="11" s="1"/>
  <c r="E128" i="11"/>
  <c r="D129" i="11"/>
  <c r="D128" i="11"/>
  <c r="C129" i="11"/>
  <c r="C128" i="11"/>
  <c r="D114" i="11"/>
  <c r="D113" i="11"/>
  <c r="D112" i="11"/>
  <c r="D111" i="11"/>
  <c r="D110" i="11"/>
  <c r="D109" i="11"/>
  <c r="E110" i="11"/>
  <c r="E111" i="11"/>
  <c r="E112" i="11"/>
  <c r="E113" i="11"/>
  <c r="E114" i="11"/>
  <c r="E109" i="11"/>
  <c r="C97" i="12" l="1"/>
  <c r="F97" i="12" s="1"/>
  <c r="G97" i="12" s="1"/>
  <c r="H97" i="12"/>
  <c r="I97" i="12" s="1"/>
  <c r="E96" i="12"/>
  <c r="E80" i="12"/>
  <c r="E97" i="12" l="1"/>
  <c r="AC38" i="15"/>
  <c r="Y38" i="15"/>
  <c r="U38" i="15"/>
  <c r="AC37" i="15"/>
  <c r="Y37" i="15"/>
  <c r="U37" i="15"/>
  <c r="I24" i="15"/>
  <c r="J24" i="15" s="1"/>
  <c r="AC27" i="15"/>
  <c r="Y27" i="15"/>
  <c r="AC26" i="15"/>
  <c r="Y26" i="15"/>
  <c r="AC25" i="15"/>
  <c r="Y25" i="15"/>
  <c r="AC24" i="15"/>
  <c r="Y24" i="15"/>
  <c r="F27" i="15"/>
  <c r="G27" i="15" s="1"/>
  <c r="AC23" i="15"/>
  <c r="Y23" i="15"/>
  <c r="AC22" i="15"/>
  <c r="Y22" i="15"/>
  <c r="AC21" i="15"/>
  <c r="Y21" i="15"/>
  <c r="AC17" i="15"/>
  <c r="Y17" i="15"/>
  <c r="U17" i="15"/>
  <c r="AC16" i="15"/>
  <c r="Y16" i="15"/>
  <c r="U16" i="15"/>
  <c r="AC15" i="15"/>
  <c r="Y15" i="15"/>
  <c r="B26" i="15"/>
  <c r="U15" i="15"/>
  <c r="AC14" i="15"/>
  <c r="Y14" i="15"/>
  <c r="U14" i="15"/>
  <c r="C25" i="15"/>
  <c r="D25" i="15" s="1"/>
  <c r="AC13" i="15"/>
  <c r="Y13" i="15"/>
  <c r="C24" i="15"/>
  <c r="D24" i="15" s="1"/>
  <c r="U13" i="15"/>
  <c r="I25" i="15"/>
  <c r="J25" i="15" s="1"/>
  <c r="H25" i="15"/>
  <c r="E27" i="15"/>
  <c r="H24" i="15"/>
  <c r="F24" i="15"/>
  <c r="G24" i="15" s="1"/>
  <c r="E24" i="15"/>
  <c r="B24" i="15"/>
  <c r="F26" i="15"/>
  <c r="G26" i="15" s="1"/>
  <c r="F25" i="15"/>
  <c r="G25" i="15" s="1"/>
  <c r="D16" i="15"/>
  <c r="E7" i="15"/>
  <c r="E6" i="15"/>
  <c r="E5" i="15"/>
  <c r="AB24" i="14"/>
  <c r="X24" i="14"/>
  <c r="X23" i="14"/>
  <c r="C26" i="15" l="1"/>
  <c r="D26" i="15" s="1"/>
  <c r="B25" i="15"/>
  <c r="E25" i="15"/>
  <c r="E26" i="15"/>
  <c r="T24" i="14"/>
  <c r="T23" i="14"/>
  <c r="T22" i="14"/>
  <c r="E7" i="14" l="1"/>
  <c r="E6" i="14"/>
  <c r="E5" i="14"/>
  <c r="AC38" i="14"/>
  <c r="Y38" i="14"/>
  <c r="U38" i="14"/>
  <c r="I25" i="14"/>
  <c r="J25" i="14" s="1"/>
  <c r="AC37" i="14"/>
  <c r="Y37" i="14"/>
  <c r="U37" i="14"/>
  <c r="AC27" i="14"/>
  <c r="Y27" i="14"/>
  <c r="U27" i="14"/>
  <c r="AC26" i="14"/>
  <c r="Y26" i="14"/>
  <c r="U26" i="14"/>
  <c r="F26" i="14"/>
  <c r="G26" i="14" s="1"/>
  <c r="E26" i="14"/>
  <c r="AC25" i="14"/>
  <c r="Y25" i="14"/>
  <c r="U25" i="14"/>
  <c r="F25" i="14"/>
  <c r="G25" i="14" s="1"/>
  <c r="E25" i="14"/>
  <c r="AC24" i="14"/>
  <c r="Y24" i="14"/>
  <c r="U24" i="14"/>
  <c r="F27" i="14"/>
  <c r="G27" i="14" s="1"/>
  <c r="I24" i="14"/>
  <c r="J24" i="14" s="1"/>
  <c r="H24" i="14"/>
  <c r="AC23" i="14"/>
  <c r="Y23" i="14"/>
  <c r="U23" i="14"/>
  <c r="AC22" i="14"/>
  <c r="Y22" i="14"/>
  <c r="U22" i="14"/>
  <c r="AC21" i="14"/>
  <c r="Y21" i="14"/>
  <c r="F24" i="14"/>
  <c r="G24" i="14" s="1"/>
  <c r="U21" i="14"/>
  <c r="AC17" i="14"/>
  <c r="Y17" i="14"/>
  <c r="U17" i="14"/>
  <c r="AC16" i="14"/>
  <c r="Y16" i="14"/>
  <c r="U16" i="14"/>
  <c r="D16" i="14"/>
  <c r="AC15" i="14"/>
  <c r="Y15" i="14"/>
  <c r="U15" i="14"/>
  <c r="C26" i="14"/>
  <c r="D26" i="14" s="1"/>
  <c r="AC14" i="14"/>
  <c r="B25" i="14"/>
  <c r="Y14" i="14"/>
  <c r="U14" i="14"/>
  <c r="AC13" i="14"/>
  <c r="Y13" i="14"/>
  <c r="C24" i="14"/>
  <c r="D24" i="14" s="1"/>
  <c r="U13" i="14"/>
  <c r="X24" i="10"/>
  <c r="AB24" i="10"/>
  <c r="E27" i="10" s="1"/>
  <c r="H25" i="10"/>
  <c r="I25" i="10"/>
  <c r="J25" i="10" s="1"/>
  <c r="I24" i="10"/>
  <c r="J24" i="10" s="1"/>
  <c r="H24" i="10"/>
  <c r="E25" i="10"/>
  <c r="F25" i="10"/>
  <c r="G25" i="10" s="1"/>
  <c r="E26" i="10"/>
  <c r="F26" i="10"/>
  <c r="G26" i="10" s="1"/>
  <c r="F24" i="10"/>
  <c r="G24" i="10" s="1"/>
  <c r="AB37" i="10"/>
  <c r="X37" i="10"/>
  <c r="E24" i="10"/>
  <c r="C25" i="10"/>
  <c r="D25" i="10" s="1"/>
  <c r="C26" i="10"/>
  <c r="D26" i="10" s="1"/>
  <c r="D24" i="10"/>
  <c r="C24" i="10"/>
  <c r="B25" i="10"/>
  <c r="B26" i="10"/>
  <c r="B24" i="10"/>
  <c r="AB38" i="10"/>
  <c r="X38" i="10"/>
  <c r="T38" i="10"/>
  <c r="T37" i="10"/>
  <c r="T27" i="10"/>
  <c r="T26" i="10"/>
  <c r="T24" i="10"/>
  <c r="X21" i="10"/>
  <c r="T15" i="10"/>
  <c r="X15" i="10"/>
  <c r="AB15" i="10"/>
  <c r="AB13" i="10"/>
  <c r="X13" i="10"/>
  <c r="AB14" i="10"/>
  <c r="X14" i="10"/>
  <c r="T14" i="10"/>
  <c r="AC38" i="10"/>
  <c r="AC37" i="10"/>
  <c r="Y38" i="10"/>
  <c r="Y37" i="10"/>
  <c r="U38" i="10"/>
  <c r="U37" i="10"/>
  <c r="AC27" i="10"/>
  <c r="AC26" i="10"/>
  <c r="AC25" i="10"/>
  <c r="AC24" i="10"/>
  <c r="AC23" i="10"/>
  <c r="AC22" i="10"/>
  <c r="AC21" i="10"/>
  <c r="Y27" i="10"/>
  <c r="Y26" i="10"/>
  <c r="Y25" i="10"/>
  <c r="Y24" i="10"/>
  <c r="Y23" i="10"/>
  <c r="Y22" i="10"/>
  <c r="Y21" i="10"/>
  <c r="U26" i="10"/>
  <c r="U27" i="10"/>
  <c r="U25" i="10"/>
  <c r="U24" i="10"/>
  <c r="U23" i="10"/>
  <c r="U22" i="10"/>
  <c r="U21" i="10"/>
  <c r="AC17" i="10"/>
  <c r="AC16" i="10"/>
  <c r="AC15" i="10"/>
  <c r="AC14" i="10"/>
  <c r="AC13" i="10"/>
  <c r="Y17" i="10"/>
  <c r="Y16" i="10"/>
  <c r="Y15" i="10"/>
  <c r="Y14" i="10"/>
  <c r="Y13" i="10"/>
  <c r="U14" i="10"/>
  <c r="U15" i="10"/>
  <c r="U16" i="10"/>
  <c r="U17" i="10"/>
  <c r="U13" i="10"/>
  <c r="B24" i="14" l="1"/>
  <c r="C25" i="14"/>
  <c r="D25" i="14" s="1"/>
  <c r="E24" i="14"/>
  <c r="B26" i="14"/>
  <c r="H25" i="14"/>
  <c r="E27" i="14"/>
  <c r="F27" i="10"/>
  <c r="G27" i="10" s="1"/>
  <c r="D101" i="11"/>
  <c r="D100" i="11"/>
  <c r="D99" i="11"/>
  <c r="C75" i="11"/>
  <c r="F75" i="11" s="1"/>
  <c r="G75" i="11" s="1"/>
  <c r="E100" i="11"/>
  <c r="E101" i="11"/>
  <c r="D98" i="11"/>
  <c r="D97" i="11"/>
  <c r="D96" i="11"/>
  <c r="D94" i="11"/>
  <c r="D93" i="11"/>
  <c r="D95" i="11"/>
  <c r="D75" i="11"/>
  <c r="H75" i="11" s="1"/>
  <c r="I75" i="11" s="1"/>
  <c r="C68" i="11"/>
  <c r="F68" i="11" s="1"/>
  <c r="E99" i="11"/>
  <c r="E98" i="11"/>
  <c r="E97" i="11"/>
  <c r="E96" i="11"/>
  <c r="E95" i="11"/>
  <c r="E94" i="11"/>
  <c r="E93" i="11"/>
  <c r="I67" i="11"/>
  <c r="H67" i="11"/>
  <c r="G67" i="11"/>
  <c r="F67" i="11"/>
  <c r="E67" i="11"/>
  <c r="D67" i="11"/>
  <c r="I60" i="11"/>
  <c r="H60" i="11"/>
  <c r="H59" i="11"/>
  <c r="G60" i="11"/>
  <c r="F60" i="11"/>
  <c r="E60" i="11"/>
  <c r="D60" i="11"/>
  <c r="C67" i="11"/>
  <c r="C60" i="11"/>
  <c r="D92" i="11"/>
  <c r="D91" i="11"/>
  <c r="D89" i="11"/>
  <c r="D88" i="11"/>
  <c r="D87" i="11"/>
  <c r="D86" i="11"/>
  <c r="D85" i="11"/>
  <c r="D84" i="11"/>
  <c r="E92" i="11"/>
  <c r="E85" i="11"/>
  <c r="E86" i="11"/>
  <c r="E87" i="11"/>
  <c r="E88" i="11"/>
  <c r="E89" i="11"/>
  <c r="E90" i="11"/>
  <c r="E91" i="11"/>
  <c r="E84" i="11"/>
  <c r="K41" i="11"/>
  <c r="K40" i="11"/>
  <c r="K39" i="11"/>
  <c r="K38" i="11"/>
  <c r="K37" i="11"/>
  <c r="K36" i="11"/>
  <c r="K35" i="11"/>
  <c r="K34" i="11"/>
  <c r="K30" i="11"/>
  <c r="K29" i="11"/>
  <c r="K28" i="11"/>
  <c r="K27" i="11"/>
  <c r="K26" i="11"/>
  <c r="K25" i="11"/>
  <c r="K24" i="11"/>
  <c r="K23" i="11"/>
  <c r="L35" i="11"/>
  <c r="L36" i="11"/>
  <c r="L37" i="11"/>
  <c r="L38" i="11"/>
  <c r="L39" i="11"/>
  <c r="L40" i="11"/>
  <c r="L41" i="11"/>
  <c r="L34" i="11"/>
  <c r="L24" i="11"/>
  <c r="L25" i="11"/>
  <c r="L26" i="11"/>
  <c r="L27" i="11"/>
  <c r="L28" i="11"/>
  <c r="L29" i="11"/>
  <c r="L30" i="11"/>
  <c r="L23" i="11"/>
  <c r="D68" i="11" l="1"/>
  <c r="H68" i="11" s="1"/>
  <c r="I68" i="11" s="1"/>
  <c r="D61" i="11"/>
  <c r="E61" i="11" s="1"/>
  <c r="C61" i="11"/>
  <c r="F61" i="11" s="1"/>
  <c r="G61" i="11" s="1"/>
  <c r="E75" i="11"/>
  <c r="G68" i="11"/>
  <c r="D49" i="11"/>
  <c r="D46" i="11"/>
  <c r="D43" i="11"/>
  <c r="D40" i="11"/>
  <c r="D37" i="11"/>
  <c r="D34" i="11"/>
  <c r="K41" i="12"/>
  <c r="K23" i="13"/>
  <c r="E68" i="11" l="1"/>
  <c r="H61" i="11"/>
  <c r="I61" i="11" s="1"/>
  <c r="K40" i="12"/>
  <c r="K39" i="12"/>
  <c r="K38" i="12"/>
  <c r="K37" i="12"/>
  <c r="K36" i="12"/>
  <c r="K35" i="12"/>
  <c r="K34" i="12"/>
  <c r="L34" i="12"/>
  <c r="L35" i="12"/>
  <c r="L36" i="12"/>
  <c r="L37" i="12"/>
  <c r="L38" i="12"/>
  <c r="L39" i="12"/>
  <c r="L40" i="12"/>
  <c r="L41" i="12"/>
  <c r="D49" i="12"/>
  <c r="D46" i="12"/>
  <c r="D43" i="12"/>
  <c r="D40" i="12"/>
  <c r="D37" i="12"/>
  <c r="D29" i="12"/>
  <c r="D14" i="12"/>
  <c r="D11" i="12"/>
  <c r="D8" i="12"/>
  <c r="D5" i="12"/>
  <c r="D2" i="12"/>
  <c r="E14" i="12"/>
  <c r="D42" i="12" l="1"/>
  <c r="D48" i="12"/>
  <c r="D45" i="12"/>
  <c r="D48" i="11" l="1"/>
  <c r="D45" i="11"/>
  <c r="D31" i="12"/>
  <c r="D30" i="12"/>
  <c r="D39" i="12" l="1"/>
  <c r="E39" i="12"/>
  <c r="D36" i="12"/>
  <c r="D34" i="12"/>
  <c r="D42" i="11"/>
  <c r="D69" i="12"/>
  <c r="D39" i="11"/>
  <c r="D36" i="11"/>
  <c r="D33" i="11"/>
  <c r="P73" i="11"/>
  <c r="C66" i="13"/>
  <c r="C57" i="13"/>
  <c r="F57" i="13" s="1"/>
  <c r="G57" i="13" s="1"/>
  <c r="F51" i="13"/>
  <c r="B51" i="13"/>
  <c r="F52" i="13" s="1"/>
  <c r="F53" i="13" s="1"/>
  <c r="E49" i="13"/>
  <c r="E48" i="13"/>
  <c r="E47" i="13"/>
  <c r="D47" i="13"/>
  <c r="E46" i="13"/>
  <c r="E45" i="13"/>
  <c r="E44" i="13"/>
  <c r="D44" i="13"/>
  <c r="E43" i="13"/>
  <c r="E42" i="13"/>
  <c r="E41" i="13"/>
  <c r="D41" i="13"/>
  <c r="E40" i="13"/>
  <c r="E39" i="13"/>
  <c r="I38" i="13"/>
  <c r="E38" i="13"/>
  <c r="D38" i="13"/>
  <c r="E37" i="13"/>
  <c r="E36" i="13"/>
  <c r="E35" i="13"/>
  <c r="D35" i="13"/>
  <c r="E34" i="13"/>
  <c r="E33" i="13"/>
  <c r="E32" i="13"/>
  <c r="D32" i="13"/>
  <c r="E31" i="13"/>
  <c r="D31" i="13"/>
  <c r="E30" i="13"/>
  <c r="D30" i="13"/>
  <c r="C65" i="13" s="1"/>
  <c r="F65" i="13" s="1"/>
  <c r="G65" i="13" s="1"/>
  <c r="E29" i="13"/>
  <c r="D29" i="13"/>
  <c r="E28" i="13"/>
  <c r="D28" i="13"/>
  <c r="E27" i="13"/>
  <c r="D27" i="13"/>
  <c r="E26" i="13"/>
  <c r="D26" i="13"/>
  <c r="C64" i="13" s="1"/>
  <c r="F64" i="13" s="1"/>
  <c r="G64" i="13" s="1"/>
  <c r="E25" i="13"/>
  <c r="D25" i="13"/>
  <c r="E24" i="13"/>
  <c r="D24" i="13"/>
  <c r="D64" i="13" s="1"/>
  <c r="E23" i="13"/>
  <c r="D23" i="13"/>
  <c r="D63" i="13" s="1"/>
  <c r="E22" i="13"/>
  <c r="D22" i="13"/>
  <c r="E21" i="13"/>
  <c r="D21" i="13"/>
  <c r="E20" i="13"/>
  <c r="D20" i="13"/>
  <c r="D62" i="13" s="1"/>
  <c r="L19" i="13"/>
  <c r="K19" i="13"/>
  <c r="E19" i="13"/>
  <c r="D19" i="13"/>
  <c r="L18" i="13"/>
  <c r="K18" i="13"/>
  <c r="E18" i="13"/>
  <c r="D18" i="13"/>
  <c r="L17" i="13"/>
  <c r="K17" i="13"/>
  <c r="E17" i="13"/>
  <c r="D17" i="13"/>
  <c r="D61" i="13" s="1"/>
  <c r="L16" i="13"/>
  <c r="K16" i="13"/>
  <c r="E16" i="13"/>
  <c r="D16" i="13"/>
  <c r="L15" i="13"/>
  <c r="K15" i="13"/>
  <c r="E15" i="13"/>
  <c r="D15" i="13"/>
  <c r="L14" i="13"/>
  <c r="K14" i="13"/>
  <c r="E14" i="13"/>
  <c r="D14" i="13"/>
  <c r="D60" i="13" s="1"/>
  <c r="L13" i="13"/>
  <c r="K13" i="13"/>
  <c r="E13" i="13"/>
  <c r="D13" i="13"/>
  <c r="L12" i="13"/>
  <c r="K12" i="13"/>
  <c r="E12" i="13"/>
  <c r="D12" i="13"/>
  <c r="E11" i="13"/>
  <c r="D11" i="13"/>
  <c r="D59" i="13" s="1"/>
  <c r="E10" i="13"/>
  <c r="D10" i="13"/>
  <c r="D58" i="13" s="1"/>
  <c r="E9" i="13"/>
  <c r="D9" i="13"/>
  <c r="L8" i="13"/>
  <c r="K8" i="13"/>
  <c r="E8" i="13"/>
  <c r="D8" i="13"/>
  <c r="C58" i="13" s="1"/>
  <c r="F58" i="13" s="1"/>
  <c r="G58" i="13" s="1"/>
  <c r="L7" i="13"/>
  <c r="K7" i="13"/>
  <c r="E7" i="13"/>
  <c r="D7" i="13"/>
  <c r="L6" i="13"/>
  <c r="K6" i="13"/>
  <c r="E6" i="13"/>
  <c r="D6" i="13"/>
  <c r="L5" i="13"/>
  <c r="K5" i="13"/>
  <c r="E5" i="13"/>
  <c r="D5" i="13"/>
  <c r="D57" i="13" s="1"/>
  <c r="L4" i="13"/>
  <c r="K4" i="13"/>
  <c r="E4" i="13"/>
  <c r="D4" i="13"/>
  <c r="L3" i="13"/>
  <c r="K3" i="13"/>
  <c r="E3" i="13"/>
  <c r="D3" i="13"/>
  <c r="L2" i="13"/>
  <c r="K2" i="13"/>
  <c r="E2" i="13"/>
  <c r="D2" i="13"/>
  <c r="D56" i="13" s="1"/>
  <c r="C64" i="12"/>
  <c r="F64" i="12" s="1"/>
  <c r="D41" i="11"/>
  <c r="C59" i="11" s="1"/>
  <c r="F59" i="11" s="1"/>
  <c r="G59" i="11" s="1"/>
  <c r="D47" i="11"/>
  <c r="D74" i="11" s="1"/>
  <c r="E74" i="11" s="1"/>
  <c r="D44" i="11"/>
  <c r="D66" i="11" s="1"/>
  <c r="H66" i="11" s="1"/>
  <c r="I66" i="11" s="1"/>
  <c r="D38" i="11"/>
  <c r="D73" i="11" s="1"/>
  <c r="H73" i="11" s="1"/>
  <c r="I73" i="11" s="1"/>
  <c r="D35" i="11"/>
  <c r="C65" i="11" s="1"/>
  <c r="F65" i="11" s="1"/>
  <c r="G65" i="11" s="1"/>
  <c r="D32" i="11"/>
  <c r="D58" i="11" s="1"/>
  <c r="E58" i="11" s="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32" i="11"/>
  <c r="E46" i="11"/>
  <c r="E48" i="11"/>
  <c r="E49" i="11"/>
  <c r="D47" i="12"/>
  <c r="D71" i="12" s="1"/>
  <c r="H71" i="12" s="1"/>
  <c r="D44" i="12"/>
  <c r="D64" i="12" s="1"/>
  <c r="H64" i="12" s="1"/>
  <c r="D41" i="12"/>
  <c r="D59" i="12" s="1"/>
  <c r="H59" i="12" s="1"/>
  <c r="C71" i="12" l="1"/>
  <c r="F71" i="12" s="1"/>
  <c r="G71" i="12" s="1"/>
  <c r="C59" i="12"/>
  <c r="F59" i="12" s="1"/>
  <c r="D59" i="11"/>
  <c r="I59" i="11" s="1"/>
  <c r="C73" i="11"/>
  <c r="F73" i="11" s="1"/>
  <c r="G73" i="11" s="1"/>
  <c r="D65" i="11"/>
  <c r="H65" i="11" s="1"/>
  <c r="I65" i="11" s="1"/>
  <c r="C58" i="11"/>
  <c r="F58" i="11" s="1"/>
  <c r="G58" i="11" s="1"/>
  <c r="C66" i="11"/>
  <c r="F66" i="11" s="1"/>
  <c r="G66" i="11" s="1"/>
  <c r="C74" i="11"/>
  <c r="F74" i="11" s="1"/>
  <c r="G74" i="11" s="1"/>
  <c r="H74" i="11"/>
  <c r="I74" i="11" s="1"/>
  <c r="E66" i="11"/>
  <c r="H58" i="11"/>
  <c r="I58" i="11" s="1"/>
  <c r="E73" i="11"/>
  <c r="E59" i="13"/>
  <c r="H59" i="13"/>
  <c r="I59" i="13" s="1"/>
  <c r="H63" i="13"/>
  <c r="I63" i="13" s="1"/>
  <c r="E63" i="13"/>
  <c r="H56" i="13"/>
  <c r="I56" i="13" s="1"/>
  <c r="E56" i="13"/>
  <c r="H62" i="13"/>
  <c r="I62" i="13" s="1"/>
  <c r="E62" i="13"/>
  <c r="H64" i="13"/>
  <c r="I64" i="13" s="1"/>
  <c r="E64" i="13"/>
  <c r="H57" i="13"/>
  <c r="I57" i="13" s="1"/>
  <c r="E57" i="13"/>
  <c r="E60" i="13"/>
  <c r="H60" i="13"/>
  <c r="I60" i="13" s="1"/>
  <c r="H58" i="13"/>
  <c r="I58" i="13" s="1"/>
  <c r="E58" i="13"/>
  <c r="E61" i="13"/>
  <c r="H61" i="13"/>
  <c r="I61" i="13" s="1"/>
  <c r="C56" i="13"/>
  <c r="F56" i="13" s="1"/>
  <c r="G56" i="13" s="1"/>
  <c r="D65" i="13"/>
  <c r="C63" i="13"/>
  <c r="F63" i="13" s="1"/>
  <c r="G63" i="13" s="1"/>
  <c r="C62" i="13"/>
  <c r="F62" i="13" s="1"/>
  <c r="G62" i="13" s="1"/>
  <c r="C61" i="13"/>
  <c r="F61" i="13" s="1"/>
  <c r="G61" i="13" s="1"/>
  <c r="C60" i="13"/>
  <c r="F60" i="13" s="1"/>
  <c r="G60" i="13" s="1"/>
  <c r="C59" i="13"/>
  <c r="F59" i="13" s="1"/>
  <c r="G59" i="13" s="1"/>
  <c r="I71" i="12"/>
  <c r="E71" i="12"/>
  <c r="I64" i="12"/>
  <c r="G64" i="12"/>
  <c r="E64" i="12"/>
  <c r="I59" i="12"/>
  <c r="G59" i="12"/>
  <c r="E59" i="12"/>
  <c r="K24" i="12"/>
  <c r="L24" i="12"/>
  <c r="L25" i="12"/>
  <c r="L26" i="12"/>
  <c r="L27" i="12"/>
  <c r="L28" i="12"/>
  <c r="L29" i="12"/>
  <c r="L30" i="12"/>
  <c r="E41" i="12"/>
  <c r="E42" i="12"/>
  <c r="E43" i="12"/>
  <c r="E44" i="12"/>
  <c r="E45" i="12"/>
  <c r="E46" i="12"/>
  <c r="E47" i="12"/>
  <c r="E48" i="12"/>
  <c r="E49" i="12"/>
  <c r="D38" i="12"/>
  <c r="D35" i="12"/>
  <c r="C63" i="12" s="1"/>
  <c r="D33" i="12"/>
  <c r="D32" i="12"/>
  <c r="K23" i="12"/>
  <c r="L23" i="12"/>
  <c r="E36" i="12"/>
  <c r="E38" i="12"/>
  <c r="D58" i="12" l="1"/>
  <c r="E58" i="12" s="1"/>
  <c r="D70" i="12"/>
  <c r="E70" i="12" s="1"/>
  <c r="C70" i="12"/>
  <c r="D63" i="12"/>
  <c r="E63" i="12" s="1"/>
  <c r="E59" i="11"/>
  <c r="E65" i="11"/>
  <c r="H65" i="13"/>
  <c r="I65" i="13" s="1"/>
  <c r="E65" i="13"/>
  <c r="C58" i="12"/>
  <c r="E34" i="12"/>
  <c r="E35" i="12"/>
  <c r="E37" i="12"/>
  <c r="E40" i="12"/>
  <c r="E33" i="12"/>
  <c r="E32" i="12"/>
  <c r="D28" i="12" l="1"/>
  <c r="D27" i="12"/>
  <c r="D68" i="12" s="1"/>
  <c r="H68" i="12" s="1"/>
  <c r="D25" i="12"/>
  <c r="D24" i="12"/>
  <c r="E26" i="12"/>
  <c r="E27" i="12"/>
  <c r="E28" i="12"/>
  <c r="D22" i="12"/>
  <c r="D21" i="12"/>
  <c r="D19" i="12"/>
  <c r="D18" i="12"/>
  <c r="D16" i="12"/>
  <c r="D15" i="12" l="1"/>
  <c r="D13" i="12" l="1"/>
  <c r="D12" i="12"/>
  <c r="K19" i="12"/>
  <c r="K18" i="12"/>
  <c r="K17" i="12"/>
  <c r="K16" i="12"/>
  <c r="K15" i="12"/>
  <c r="K14" i="12"/>
  <c r="K13" i="12"/>
  <c r="K12" i="12"/>
  <c r="K9" i="12"/>
  <c r="K8" i="12"/>
  <c r="K7" i="12"/>
  <c r="K6" i="12"/>
  <c r="K5" i="12"/>
  <c r="K4" i="12"/>
  <c r="K3" i="12"/>
  <c r="K2" i="12"/>
  <c r="S9" i="12"/>
  <c r="S8" i="12"/>
  <c r="S7" i="12"/>
  <c r="S6" i="12"/>
  <c r="S5" i="12"/>
  <c r="S4" i="12"/>
  <c r="S3" i="12"/>
  <c r="S2" i="12"/>
  <c r="C69" i="12"/>
  <c r="I68" i="12"/>
  <c r="C68" i="12"/>
  <c r="D67" i="12"/>
  <c r="E67" i="12" s="1"/>
  <c r="C67" i="12"/>
  <c r="D66" i="12"/>
  <c r="E66" i="12" s="1"/>
  <c r="C66" i="12"/>
  <c r="D62" i="12"/>
  <c r="E62" i="12" s="1"/>
  <c r="C62" i="12"/>
  <c r="D61" i="12"/>
  <c r="E61" i="12" s="1"/>
  <c r="C61" i="12"/>
  <c r="B50" i="12"/>
  <c r="F50" i="12" s="1"/>
  <c r="I38" i="11"/>
  <c r="D4" i="12"/>
  <c r="D3" i="12"/>
  <c r="D6" i="12"/>
  <c r="D7" i="12"/>
  <c r="D9" i="12"/>
  <c r="D10" i="1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5" i="11"/>
  <c r="D16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6" i="12" l="1"/>
  <c r="C55" i="12"/>
  <c r="F52" i="12"/>
  <c r="F53" i="12" s="1"/>
  <c r="S36" i="12"/>
  <c r="T36" i="12" s="1"/>
  <c r="R36" i="12"/>
  <c r="D55" i="12"/>
  <c r="E55" i="12" s="1"/>
  <c r="S37" i="12"/>
  <c r="T37" i="12" s="1"/>
  <c r="R37" i="12"/>
  <c r="S39" i="12"/>
  <c r="T39" i="12" s="1"/>
  <c r="R39" i="12"/>
  <c r="S40" i="12"/>
  <c r="T40" i="12" s="1"/>
  <c r="R40" i="12"/>
  <c r="S38" i="12"/>
  <c r="T38" i="12" s="1"/>
  <c r="R38" i="12"/>
  <c r="R41" i="12"/>
  <c r="S41" i="12"/>
  <c r="T41" i="12" s="1"/>
  <c r="R34" i="12"/>
  <c r="S34" i="12"/>
  <c r="T34" i="12" s="1"/>
  <c r="R35" i="12"/>
  <c r="S35" i="12"/>
  <c r="T35" i="12" s="1"/>
  <c r="D55" i="11"/>
  <c r="C55" i="11"/>
  <c r="F55" i="11" s="1"/>
  <c r="G55" i="11" s="1"/>
  <c r="D57" i="11"/>
  <c r="C57" i="11"/>
  <c r="F57" i="11" s="1"/>
  <c r="G57" i="11" s="1"/>
  <c r="C69" i="11"/>
  <c r="F69" i="11" s="1"/>
  <c r="G69" i="11" s="1"/>
  <c r="D69" i="11"/>
  <c r="D63" i="11"/>
  <c r="C63" i="11"/>
  <c r="F63" i="11" s="1"/>
  <c r="G63" i="11" s="1"/>
  <c r="D71" i="11"/>
  <c r="C71" i="11"/>
  <c r="F71" i="11" s="1"/>
  <c r="G71" i="11" s="1"/>
  <c r="C56" i="11"/>
  <c r="F56" i="11" s="1"/>
  <c r="G56" i="11" s="1"/>
  <c r="D56" i="11"/>
  <c r="C64" i="11"/>
  <c r="F64" i="11" s="1"/>
  <c r="G64" i="11" s="1"/>
  <c r="D64" i="11"/>
  <c r="C72" i="11"/>
  <c r="F72" i="11" s="1"/>
  <c r="G72" i="11" s="1"/>
  <c r="D72" i="11"/>
  <c r="D62" i="11"/>
  <c r="C62" i="11"/>
  <c r="F62" i="11" s="1"/>
  <c r="G62" i="11" s="1"/>
  <c r="D70" i="11"/>
  <c r="C70" i="11"/>
  <c r="F70" i="11" s="1"/>
  <c r="G70" i="11" s="1"/>
  <c r="H67" i="12"/>
  <c r="I67" i="12" s="1"/>
  <c r="D56" i="12"/>
  <c r="H56" i="12" s="1"/>
  <c r="I56" i="12" s="1"/>
  <c r="F69" i="12"/>
  <c r="G69" i="12" s="1"/>
  <c r="H58" i="12"/>
  <c r="I58" i="12" s="1"/>
  <c r="F58" i="12"/>
  <c r="G58" i="12" s="1"/>
  <c r="F70" i="12"/>
  <c r="G70" i="12" s="1"/>
  <c r="F63" i="12"/>
  <c r="G63" i="12" s="1"/>
  <c r="H63" i="12"/>
  <c r="I63" i="12" s="1"/>
  <c r="H70" i="12"/>
  <c r="I70" i="12" s="1"/>
  <c r="E68" i="12"/>
  <c r="D60" i="12"/>
  <c r="E60" i="12" s="1"/>
  <c r="C60" i="12"/>
  <c r="F60" i="12" s="1"/>
  <c r="G60" i="12" s="1"/>
  <c r="F55" i="12"/>
  <c r="G55" i="12" s="1"/>
  <c r="F68" i="12"/>
  <c r="G68" i="12" s="1"/>
  <c r="F62" i="12"/>
  <c r="G62" i="12" s="1"/>
  <c r="H62" i="12"/>
  <c r="I62" i="12" s="1"/>
  <c r="F66" i="12"/>
  <c r="G66" i="12" s="1"/>
  <c r="F61" i="12"/>
  <c r="G61" i="12" s="1"/>
  <c r="H69" i="12"/>
  <c r="I69" i="12" s="1"/>
  <c r="F56" i="12"/>
  <c r="G56" i="12" s="1"/>
  <c r="F67" i="12"/>
  <c r="G67" i="12" s="1"/>
  <c r="H66" i="12"/>
  <c r="I66" i="12" s="1"/>
  <c r="H61" i="12"/>
  <c r="I61" i="12" s="1"/>
  <c r="E69" i="12"/>
  <c r="E8" i="12"/>
  <c r="E31" i="12"/>
  <c r="E30" i="12"/>
  <c r="E29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7" i="12"/>
  <c r="E6" i="12"/>
  <c r="E5" i="12"/>
  <c r="E4" i="12"/>
  <c r="E3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K19" i="11"/>
  <c r="L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K8" i="11"/>
  <c r="K7" i="11"/>
  <c r="K6" i="11"/>
  <c r="K5" i="11"/>
  <c r="K4" i="11"/>
  <c r="K3" i="11"/>
  <c r="K2" i="11"/>
  <c r="L8" i="11"/>
  <c r="L7" i="11"/>
  <c r="L6" i="11"/>
  <c r="L5" i="11"/>
  <c r="L4" i="11"/>
  <c r="B51" i="11"/>
  <c r="L3" i="11"/>
  <c r="H55" i="12" l="1"/>
  <c r="I55" i="12" s="1"/>
  <c r="R34" i="11"/>
  <c r="S34" i="11"/>
  <c r="T34" i="11" s="1"/>
  <c r="S36" i="11"/>
  <c r="T36" i="11" s="1"/>
  <c r="R36" i="11"/>
  <c r="S38" i="11"/>
  <c r="T38" i="11" s="1"/>
  <c r="R38" i="11"/>
  <c r="S40" i="11"/>
  <c r="T40" i="11" s="1"/>
  <c r="R40" i="11"/>
  <c r="H72" i="11"/>
  <c r="I72" i="11" s="1"/>
  <c r="E72" i="11"/>
  <c r="H56" i="11"/>
  <c r="I56" i="11" s="1"/>
  <c r="E56" i="11"/>
  <c r="E70" i="11"/>
  <c r="H70" i="11"/>
  <c r="I70" i="11" s="1"/>
  <c r="H63" i="11"/>
  <c r="I63" i="11" s="1"/>
  <c r="E63" i="11"/>
  <c r="H57" i="11"/>
  <c r="I57" i="11" s="1"/>
  <c r="E57" i="11"/>
  <c r="S35" i="11"/>
  <c r="T35" i="11" s="1"/>
  <c r="R35" i="11"/>
  <c r="S37" i="11"/>
  <c r="T37" i="11" s="1"/>
  <c r="R37" i="11"/>
  <c r="R39" i="11"/>
  <c r="S39" i="11"/>
  <c r="T39" i="11" s="1"/>
  <c r="H64" i="11"/>
  <c r="I64" i="11" s="1"/>
  <c r="E64" i="11"/>
  <c r="E69" i="11"/>
  <c r="H69" i="11"/>
  <c r="I69" i="11" s="1"/>
  <c r="S41" i="11"/>
  <c r="T41" i="11" s="1"/>
  <c r="R41" i="11"/>
  <c r="E62" i="11"/>
  <c r="H62" i="11"/>
  <c r="I62" i="11" s="1"/>
  <c r="E71" i="11"/>
  <c r="H71" i="11"/>
  <c r="I71" i="11" s="1"/>
  <c r="H55" i="11"/>
  <c r="I55" i="11" s="1"/>
  <c r="E55" i="11"/>
  <c r="E56" i="12"/>
  <c r="D57" i="12"/>
  <c r="C57" i="12"/>
  <c r="F57" i="12" s="1"/>
  <c r="G57" i="12" s="1"/>
  <c r="H60" i="12"/>
  <c r="I60" i="12" s="1"/>
  <c r="F52" i="11"/>
  <c r="F53" i="11" s="1"/>
  <c r="F51" i="11"/>
  <c r="L2" i="11"/>
  <c r="E2" i="11"/>
  <c r="F19" i="8"/>
  <c r="M19" i="8"/>
  <c r="F20" i="8"/>
  <c r="M20" i="8"/>
  <c r="F21" i="8"/>
  <c r="M21" i="8"/>
  <c r="H57" i="12" l="1"/>
  <c r="I57" i="12" s="1"/>
  <c r="E57" i="12"/>
  <c r="D16" i="10"/>
  <c r="J27" i="9"/>
  <c r="C24" i="9"/>
  <c r="J32" i="9"/>
  <c r="J25" i="9"/>
  <c r="K25" i="9" s="1"/>
  <c r="J24" i="9"/>
  <c r="K26" i="9"/>
  <c r="K28" i="9"/>
  <c r="K32" i="9"/>
  <c r="J28" i="9"/>
  <c r="D32" i="9"/>
  <c r="D28" i="9"/>
  <c r="D25" i="9"/>
  <c r="C25" i="9"/>
  <c r="C73" i="9"/>
  <c r="D72" i="9" s="1"/>
  <c r="C70" i="9"/>
  <c r="C66" i="9"/>
  <c r="D66" i="9" l="1"/>
  <c r="D67" i="9"/>
  <c r="D68" i="9"/>
  <c r="D69" i="9"/>
  <c r="D73" i="9"/>
  <c r="D70" i="9"/>
  <c r="D71" i="9"/>
  <c r="K63" i="9" l="1"/>
  <c r="J63" i="9"/>
  <c r="D63" i="9"/>
  <c r="C63" i="9"/>
  <c r="D61" i="9" s="1"/>
  <c r="K62" i="9"/>
  <c r="J62" i="9"/>
  <c r="D62" i="9"/>
  <c r="J61" i="9"/>
  <c r="K61" i="9" s="1"/>
  <c r="C61" i="9"/>
  <c r="J60" i="9"/>
  <c r="K60" i="9" s="1"/>
  <c r="K59" i="9"/>
  <c r="J59" i="9"/>
  <c r="D59" i="9"/>
  <c r="C59" i="9"/>
  <c r="K58" i="9"/>
  <c r="J58" i="9"/>
  <c r="D58" i="9"/>
  <c r="J57" i="9"/>
  <c r="K57" i="9" s="1"/>
  <c r="D57" i="9"/>
  <c r="K33" i="9"/>
  <c r="J33" i="9"/>
  <c r="D33" i="9"/>
  <c r="C33" i="9"/>
  <c r="D30" i="9" s="1"/>
  <c r="K31" i="9"/>
  <c r="J31" i="9"/>
  <c r="D31" i="9"/>
  <c r="J30" i="9"/>
  <c r="K30" i="9" s="1"/>
  <c r="K29" i="9"/>
  <c r="J29" i="9"/>
  <c r="D29" i="9"/>
  <c r="C29" i="9"/>
  <c r="K27" i="9"/>
  <c r="D27" i="9"/>
  <c r="J26" i="9"/>
  <c r="D26" i="9"/>
  <c r="K24" i="9"/>
  <c r="H24" i="9"/>
  <c r="G24" i="9"/>
  <c r="D24" i="9"/>
  <c r="S23" i="9"/>
  <c r="K23" i="9"/>
  <c r="J23" i="9"/>
  <c r="H23" i="9"/>
  <c r="G23" i="9"/>
  <c r="D23" i="9"/>
  <c r="C23" i="9"/>
  <c r="F18" i="9"/>
  <c r="M17" i="9"/>
  <c r="F17" i="9"/>
  <c r="M16" i="9"/>
  <c r="F16" i="9"/>
  <c r="M15" i="9"/>
  <c r="F15" i="9"/>
  <c r="M14" i="9"/>
  <c r="F14" i="9"/>
  <c r="M13" i="9"/>
  <c r="F13" i="9"/>
  <c r="F12" i="9"/>
  <c r="F11" i="9"/>
  <c r="F10" i="9"/>
  <c r="F9" i="9"/>
  <c r="F8" i="9"/>
  <c r="M7" i="9"/>
  <c r="F7" i="9"/>
  <c r="F6" i="9"/>
  <c r="F5" i="9"/>
  <c r="M4" i="9"/>
  <c r="F4" i="9"/>
  <c r="M3" i="9"/>
  <c r="K29" i="8"/>
  <c r="J29" i="8"/>
  <c r="M17" i="8"/>
  <c r="M16" i="8"/>
  <c r="S23" i="8"/>
  <c r="K28" i="8"/>
  <c r="J28" i="8"/>
  <c r="D28" i="8"/>
  <c r="D27" i="8"/>
  <c r="D29" i="8"/>
  <c r="F18" i="8"/>
  <c r="F17" i="8"/>
  <c r="D60" i="9" l="1"/>
  <c r="F8" i="8"/>
  <c r="C59" i="8"/>
  <c r="C27" i="8"/>
  <c r="D30" i="8"/>
  <c r="K30" i="8" l="1"/>
  <c r="K27" i="8"/>
  <c r="K26" i="8"/>
  <c r="K25" i="8"/>
  <c r="K24" i="8"/>
  <c r="K23" i="8"/>
  <c r="J24" i="8"/>
  <c r="J23" i="8"/>
  <c r="G24" i="8"/>
  <c r="H24" i="8" s="1"/>
  <c r="G23" i="8"/>
  <c r="H23" i="8" s="1"/>
  <c r="J25" i="8"/>
  <c r="J26" i="8"/>
  <c r="D26" i="8"/>
  <c r="D25" i="8"/>
  <c r="D24" i="8"/>
  <c r="D23" i="8"/>
  <c r="C23" i="8"/>
  <c r="J63" i="8"/>
  <c r="K62" i="8" s="1"/>
  <c r="C63" i="8"/>
  <c r="D63" i="8" s="1"/>
  <c r="J62" i="8"/>
  <c r="D62" i="8"/>
  <c r="J61" i="8"/>
  <c r="D61" i="8"/>
  <c r="C61" i="8"/>
  <c r="J60" i="8"/>
  <c r="D60" i="8"/>
  <c r="J59" i="8"/>
  <c r="D59" i="8"/>
  <c r="K58" i="8"/>
  <c r="J58" i="8"/>
  <c r="D58" i="8"/>
  <c r="J57" i="8"/>
  <c r="D57" i="8"/>
  <c r="K61" i="8" l="1"/>
  <c r="K59" i="8"/>
  <c r="K63" i="8"/>
  <c r="K57" i="8"/>
  <c r="K60" i="8"/>
  <c r="J30" i="8"/>
  <c r="J27" i="8"/>
  <c r="C30" i="8"/>
  <c r="D7" i="7"/>
  <c r="M15" i="8"/>
  <c r="M14" i="8"/>
  <c r="M13" i="8"/>
  <c r="M7" i="8"/>
  <c r="M4" i="8"/>
  <c r="M3" i="8"/>
  <c r="F5" i="8"/>
  <c r="F6" i="8"/>
  <c r="F7" i="8"/>
  <c r="F9" i="8"/>
  <c r="F10" i="8"/>
  <c r="F11" i="8"/>
  <c r="F12" i="8"/>
  <c r="F13" i="8"/>
  <c r="F14" i="8"/>
  <c r="F15" i="8"/>
  <c r="F16" i="8"/>
  <c r="F4" i="8"/>
  <c r="D11" i="6"/>
  <c r="D10" i="6"/>
  <c r="D9" i="6"/>
  <c r="D8" i="6"/>
  <c r="D7" i="6"/>
  <c r="D6" i="6"/>
  <c r="D5" i="6"/>
  <c r="D4" i="6"/>
  <c r="D10" i="7" l="1"/>
  <c r="D9" i="7"/>
  <c r="D8" i="7"/>
  <c r="D6" i="7"/>
  <c r="D5" i="7"/>
  <c r="D4" i="7"/>
  <c r="E9" i="3" l="1"/>
  <c r="F10" i="4"/>
  <c r="F9" i="4"/>
  <c r="G30" i="4"/>
  <c r="G29" i="4"/>
  <c r="F24" i="4"/>
  <c r="F25" i="4"/>
  <c r="F26" i="4"/>
  <c r="F27" i="4"/>
  <c r="F28" i="4"/>
  <c r="F29" i="4"/>
  <c r="F30" i="4"/>
  <c r="F23" i="4"/>
  <c r="D30" i="4"/>
  <c r="D24" i="4"/>
  <c r="D25" i="4"/>
  <c r="D26" i="4"/>
  <c r="D27" i="4"/>
  <c r="D28" i="4"/>
  <c r="D29" i="4"/>
  <c r="D23" i="4"/>
  <c r="E8" i="3" l="1"/>
  <c r="D16" i="3" l="1"/>
  <c r="B23" i="3" l="1"/>
  <c r="E7" i="3" l="1"/>
  <c r="D102" i="1"/>
  <c r="D101" i="1"/>
  <c r="D99" i="1"/>
  <c r="D100" i="1"/>
  <c r="D98" i="1"/>
  <c r="G5" i="5" l="1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 l="1"/>
  <c r="G21" i="5"/>
  <c r="O7" i="1" l="1"/>
  <c r="P7" i="1"/>
  <c r="Q7" i="1"/>
  <c r="R7" i="1"/>
  <c r="O8" i="1"/>
  <c r="P8" i="1"/>
  <c r="Q8" i="1"/>
  <c r="R8" i="1"/>
  <c r="O9" i="1"/>
  <c r="P9" i="1"/>
  <c r="Q9" i="1"/>
  <c r="R9" i="1"/>
  <c r="P6" i="1"/>
  <c r="Q6" i="1"/>
  <c r="R6" i="1"/>
  <c r="O6" i="1"/>
</calcChain>
</file>

<file path=xl/sharedStrings.xml><?xml version="1.0" encoding="utf-8"?>
<sst xmlns="http://schemas.openxmlformats.org/spreadsheetml/2006/main" count="2127" uniqueCount="237">
  <si>
    <t>Minsup 23</t>
  </si>
  <si>
    <t>Minsup 22</t>
  </si>
  <si>
    <t>Minsup 21</t>
  </si>
  <si>
    <t>Minsup 20</t>
  </si>
  <si>
    <t>minsup</t>
  </si>
  <si>
    <t>dataset 2</t>
  </si>
  <si>
    <t>dataset 1</t>
  </si>
  <si>
    <t>Minsup</t>
  </si>
  <si>
    <t>Parallel FP-Growth</t>
  </si>
  <si>
    <t>dataset breast</t>
  </si>
  <si>
    <t>Parallel FP-growth</t>
  </si>
  <si>
    <t>Centralized Carpenter</t>
  </si>
  <si>
    <t>expansion threshold</t>
  </si>
  <si>
    <t>max</t>
  </si>
  <si>
    <t>min</t>
  </si>
  <si>
    <t>53 s</t>
  </si>
  <si>
    <t>4 s</t>
  </si>
  <si>
    <t>1h, 54m, 33s</t>
  </si>
  <si>
    <t>min - max difference</t>
  </si>
  <si>
    <t>Expansion Threshold</t>
  </si>
  <si>
    <t>#Iterations</t>
  </si>
  <si>
    <t>Execution Time</t>
  </si>
  <si>
    <t>fuori scala!</t>
  </si>
  <si>
    <t>finito</t>
  </si>
  <si>
    <t>a 18 crash</t>
  </si>
  <si>
    <t>reducers</t>
  </si>
  <si>
    <t>execution time</t>
  </si>
  <si>
    <t>dalle alle</t>
  </si>
  <si>
    <t>PaMPa-HD</t>
  </si>
  <si>
    <t>bigfim</t>
  </si>
  <si>
    <t>esperimento ottobre</t>
  </si>
  <si>
    <t>dalle</t>
  </si>
  <si>
    <t>alle</t>
  </si>
  <si>
    <t>tot</t>
  </si>
  <si>
    <t>15 it</t>
  </si>
  <si>
    <t>it</t>
  </si>
  <si>
    <t>6 it</t>
  </si>
  <si>
    <t>almeno</t>
  </si>
  <si>
    <t>disteclat</t>
  </si>
  <si>
    <t>morto</t>
  </si>
  <si>
    <t>DistEclat</t>
  </si>
  <si>
    <t>BigFIM</t>
  </si>
  <si>
    <t>tempo</t>
  </si>
  <si>
    <t>surplus</t>
  </si>
  <si>
    <t>totale</t>
  </si>
  <si>
    <t>Minsup 50</t>
  </si>
  <si>
    <t>exponential</t>
  </si>
  <si>
    <t>partenza</t>
  </si>
  <si>
    <t>steps</t>
  </si>
  <si>
    <t>slow start</t>
  </si>
  <si>
    <t>crescente</t>
  </si>
  <si>
    <t>sync effect</t>
  </si>
  <si>
    <t>PEMS</t>
  </si>
  <si>
    <t>BREAST</t>
  </si>
  <si>
    <t>minsup 5</t>
  </si>
  <si>
    <t>minuti</t>
  </si>
  <si>
    <t>secondi</t>
  </si>
  <si>
    <t>exponential(10,10)</t>
  </si>
  <si>
    <t>exponential(10,100)</t>
  </si>
  <si>
    <t>slow_start(10)</t>
  </si>
  <si>
    <t>growing(10,10)</t>
  </si>
  <si>
    <t>growing(10,100)</t>
  </si>
  <si>
    <t>pruning_effect(10,000,000)</t>
  </si>
  <si>
    <t>pruning_effect(10,000)</t>
  </si>
  <si>
    <t>pruning_effect(1,000,000)</t>
  </si>
  <si>
    <t>best_fixed</t>
  </si>
  <si>
    <t>Execution time (sec)</t>
  </si>
  <si>
    <t>ralative gain (%)</t>
  </si>
  <si>
    <t>relative gain (%)</t>
  </si>
  <si>
    <t>Strategy #1 (10,100)</t>
  </si>
  <si>
    <t>Strategy #1 (10,10)</t>
  </si>
  <si>
    <t>Strategy #3 (10)</t>
  </si>
  <si>
    <t>exp pruning</t>
  </si>
  <si>
    <t>Strategy #4 (100)</t>
  </si>
  <si>
    <t>Strategy #2 (100)</t>
  </si>
  <si>
    <t>Strategy #2 (10)</t>
  </si>
  <si>
    <t>Strategy #1 (100)</t>
  </si>
  <si>
    <t>Strategy #1 (10)</t>
  </si>
  <si>
    <t>Strategy #4 (10)</t>
  </si>
  <si>
    <t>negativo</t>
  </si>
  <si>
    <t>Relative performance gain (%)</t>
  </si>
  <si>
    <t>Optimal</t>
  </si>
  <si>
    <t>Strategy#1 (10)</t>
  </si>
  <si>
    <t>Strategy#1 (100)</t>
  </si>
  <si>
    <t>Strategy#2 (10)</t>
  </si>
  <si>
    <t>Strategy#2 (100)</t>
  </si>
  <si>
    <t>Strategy#4 (10)</t>
  </si>
  <si>
    <t>Strategy#4 (100)</t>
  </si>
  <si>
    <t>Strategy#3</t>
  </si>
  <si>
    <t>82 m</t>
  </si>
  <si>
    <t>28m e 12</t>
  </si>
  <si>
    <t>Strategy#4 (1000)</t>
  </si>
  <si>
    <t>Strategy#2 (1000)</t>
  </si>
  <si>
    <t>Strategy#1 (1000)</t>
  </si>
  <si>
    <t>vince lei</t>
  </si>
  <si>
    <t>pfp</t>
  </si>
  <si>
    <t>pampa_new</t>
  </si>
  <si>
    <t>pampa_old</t>
  </si>
  <si>
    <t>Carpenter</t>
  </si>
  <si>
    <t>PEMS dataset</t>
  </si>
  <si>
    <t>crash</t>
  </si>
  <si>
    <t>strategy1(10)</t>
  </si>
  <si>
    <t>STRATEGIES</t>
  </si>
  <si>
    <t>fisso</t>
  </si>
  <si>
    <t xml:space="preserve">dalle </t>
  </si>
  <si>
    <t>strategy1(100)</t>
  </si>
  <si>
    <t>media=</t>
  </si>
  <si>
    <t>conf</t>
  </si>
  <si>
    <t>dev_stan</t>
  </si>
  <si>
    <t>media</t>
  </si>
  <si>
    <t>strategy1(1000)</t>
  </si>
  <si>
    <t>strategy2(10)</t>
  </si>
  <si>
    <t>strategy2(100)</t>
  </si>
  <si>
    <t>strategy2(1000)</t>
  </si>
  <si>
    <t>strategy3</t>
  </si>
  <si>
    <t>strategy4(100)</t>
  </si>
  <si>
    <t>iterazioni</t>
  </si>
  <si>
    <t>Execution time</t>
  </si>
  <si>
    <t>#iterations</t>
  </si>
  <si>
    <t>strategy4(10)</t>
  </si>
  <si>
    <t>strategy4(1000)</t>
  </si>
  <si>
    <t>conf(95)</t>
  </si>
  <si>
    <t>Best - fixed</t>
  </si>
  <si>
    <t>relative diff</t>
  </si>
  <si>
    <t>conf(95) - rel</t>
  </si>
  <si>
    <t>conf(95) - rel %</t>
  </si>
  <si>
    <t>relative diff (%)</t>
  </si>
  <si>
    <t>strategy1(10000)</t>
  </si>
  <si>
    <t>strategy2(10000)</t>
  </si>
  <si>
    <t>strategy4(10000)</t>
  </si>
  <si>
    <t>strategy1(100000)</t>
  </si>
  <si>
    <t>strategy2(100000)</t>
  </si>
  <si>
    <t>strategy4(100000)</t>
  </si>
  <si>
    <t>noooooooooooooooooooooooooooooooooooooo</t>
  </si>
  <si>
    <t>to do!!!</t>
  </si>
  <si>
    <t>second run</t>
  </si>
  <si>
    <t>terzo</t>
  </si>
  <si>
    <t>dev.star</t>
  </si>
  <si>
    <t>Strategy1(1000000)</t>
  </si>
  <si>
    <t>Strategy2(1000000)</t>
  </si>
  <si>
    <t>Strategy3(1000000)</t>
  </si>
  <si>
    <t>Strategy1(10000000)</t>
  </si>
  <si>
    <t>Strategy2(10000000)</t>
  </si>
  <si>
    <t>Strategy3(10000000)</t>
  </si>
  <si>
    <t>17:03:54 </t>
  </si>
  <si>
    <t>prblemi</t>
  </si>
  <si>
    <t xml:space="preserve">problemi </t>
  </si>
  <si>
    <t>dev.standard</t>
  </si>
  <si>
    <t>fino a 32</t>
  </si>
  <si>
    <t>problemi</t>
  </si>
  <si>
    <t>PFP</t>
  </si>
  <si>
    <t>Pampa-HD</t>
  </si>
  <si>
    <t>strategy2(10,000,000)</t>
  </si>
  <si>
    <t>strategy4(1,000)</t>
  </si>
  <si>
    <t>strategy4(10,000)</t>
  </si>
  <si>
    <t>strategy4(100,000)</t>
  </si>
  <si>
    <t>strategy4(10,000,000)</t>
  </si>
  <si>
    <t>strategy2(1,000,000)</t>
  </si>
  <si>
    <t>strategy1(1,000)</t>
  </si>
  <si>
    <t>strategy1(10,000)</t>
  </si>
  <si>
    <t>strategy1(100,000)</t>
  </si>
  <si>
    <t>strategy1(1,000,000)</t>
  </si>
  <si>
    <t>strategy1(10,000,000)</t>
  </si>
  <si>
    <t>strategy2(1,000)</t>
  </si>
  <si>
    <t>strategy2(10,000)</t>
  </si>
  <si>
    <t>strategy2(100,000)</t>
  </si>
  <si>
    <t>strategy3(10,000)</t>
  </si>
  <si>
    <t>strategy3(1,000)</t>
  </si>
  <si>
    <t>strategy3(100)</t>
  </si>
  <si>
    <t>strategy2(1000000)</t>
  </si>
  <si>
    <t>strategy2(10000000)</t>
  </si>
  <si>
    <t>strategy2(100000000)</t>
  </si>
  <si>
    <t>strategy2(1000000000)</t>
  </si>
  <si>
    <t>real</t>
  </si>
  <si>
    <t>real_2</t>
  </si>
  <si>
    <t>da rifare</t>
  </si>
  <si>
    <t>avg</t>
  </si>
  <si>
    <t>dev.</t>
  </si>
  <si>
    <t>trasposta</t>
  </si>
  <si>
    <t>Relative Difference</t>
  </si>
  <si>
    <t>EXPONENTIAL NORMALE</t>
  </si>
  <si>
    <t>EXPONENTIAL PRUNING</t>
  </si>
  <si>
    <t>4 iter</t>
  </si>
  <si>
    <t>5 iter</t>
  </si>
  <si>
    <t>9 iter</t>
  </si>
  <si>
    <t>iterazione</t>
  </si>
  <si>
    <t>6 iter</t>
  </si>
  <si>
    <t>strategy4(1000000)</t>
  </si>
  <si>
    <t>strategy4(10000000)</t>
  </si>
  <si>
    <t>strategy4(100000000)</t>
  </si>
  <si>
    <t>strategy4(1000000000)</t>
  </si>
  <si>
    <t>fino a qui minsup 5</t>
  </si>
  <si>
    <t>pampa</t>
  </si>
  <si>
    <t>12:09:16 </t>
  </si>
  <si>
    <t>12:01:19 </t>
  </si>
  <si>
    <t>fixed</t>
  </si>
  <si>
    <t>strategy3(1000)</t>
  </si>
  <si>
    <t>load balancing</t>
  </si>
  <si>
    <t>best</t>
  </si>
  <si>
    <t>worst</t>
  </si>
  <si>
    <t>2h 16</t>
  </si>
  <si>
    <t>7 m</t>
  </si>
  <si>
    <t>6m 21</t>
  </si>
  <si>
    <t>45m 16s</t>
  </si>
  <si>
    <t>2h 20m 28s</t>
  </si>
  <si>
    <t>44 s</t>
  </si>
  <si>
    <t>errore</t>
  </si>
  <si>
    <t>fail</t>
  </si>
  <si>
    <t>job 4887</t>
  </si>
  <si>
    <t>2mins, 24sec</t>
  </si>
  <si>
    <t>6s</t>
  </si>
  <si>
    <t>superiore a questo, bloccato manualmente ed era al 25% del mapper,</t>
  </si>
  <si>
    <t>old_Pampa</t>
  </si>
  <si>
    <t>old-pampa</t>
  </si>
  <si>
    <t>pampa-old</t>
  </si>
  <si>
    <t>pampa - old</t>
  </si>
  <si>
    <t>prova con versione vecchia 22 2</t>
  </si>
  <si>
    <t>prova con versione vecchia experimental che ignora quelli del job prima</t>
  </si>
  <si>
    <t>per cento</t>
  </si>
  <si>
    <t>heap space</t>
  </si>
  <si>
    <t>ci vuole prefix almeno2</t>
  </si>
  <si>
    <t>idem</t>
  </si>
  <si>
    <t>difficoltà!</t>
  </si>
  <si>
    <t>job5820</t>
  </si>
  <si>
    <t>Pampa-HD (200-rows)</t>
  </si>
  <si>
    <t>Pampa-HD (440 rows)</t>
  </si>
  <si>
    <t>Pampa-HD (100-rows)</t>
  </si>
  <si>
    <t>TO REDO</t>
  </si>
  <si>
    <t>pems minsup 15</t>
  </si>
  <si>
    <t>minsup 10</t>
  </si>
  <si>
    <t>minsup 15</t>
  </si>
  <si>
    <t>pems</t>
  </si>
  <si>
    <t>breast minsup 6</t>
  </si>
  <si>
    <t>minsup 6</t>
  </si>
  <si>
    <t>pems 10</t>
  </si>
  <si>
    <t>strategy1</t>
  </si>
  <si>
    <t>strategy2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</si>
</sst>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12.1"/>
      <color rgb="FF222222"/>
      <name val="Arial"/>
      <family val="2"/>
    </font>
    <font>
      <sz val="10"/>
      <color theme="1"/>
      <name val="Calibri"/>
      <family val="2"/>
      <scheme val="minor"/>
    </font>
    <font>
      <sz val="12.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4" xfId="0" applyFont="1" applyBorder="1"/>
    <xf numFmtId="9" fontId="0" fillId="0" borderId="0" xfId="0" applyNumberFormat="1"/>
    <xf numFmtId="0" fontId="1" fillId="0" borderId="2" xfId="0" applyFont="1" applyFill="1" applyBorder="1" applyAlignment="1">
      <alignment horizontal="right" wrapText="1"/>
    </xf>
    <xf numFmtId="21" fontId="0" fillId="0" borderId="0" xfId="0" applyNumberFormat="1"/>
    <xf numFmtId="20" fontId="0" fillId="0" borderId="0" xfId="0" applyNumberFormat="1"/>
    <xf numFmtId="21" fontId="4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2" fillId="0" borderId="9" xfId="0" applyFont="1" applyFill="1" applyBorder="1" applyAlignment="1">
      <alignment vertical="center" wrapText="1"/>
    </xf>
    <xf numFmtId="0" fontId="0" fillId="0" borderId="0" xfId="0" applyNumberFormat="1"/>
    <xf numFmtId="2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NumberFormat="1" applyFont="1"/>
    <xf numFmtId="0" fontId="5" fillId="2" borderId="0" xfId="0" applyFont="1" applyFill="1"/>
    <xf numFmtId="21" fontId="5" fillId="2" borderId="0" xfId="0" applyNumberFormat="1" applyFont="1" applyFill="1"/>
    <xf numFmtId="20" fontId="0" fillId="2" borderId="0" xfId="0" applyNumberFormat="1" applyFill="1"/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7" fillId="4" borderId="0" xfId="0" applyFont="1" applyFill="1"/>
    <xf numFmtId="0" fontId="0" fillId="6" borderId="0" xfId="0" applyFill="1"/>
    <xf numFmtId="0" fontId="0" fillId="3" borderId="0" xfId="0" applyFill="1" applyBorder="1"/>
    <xf numFmtId="21" fontId="0" fillId="3" borderId="0" xfId="0" applyNumberFormat="1" applyFill="1" applyBorder="1"/>
    <xf numFmtId="0" fontId="7" fillId="3" borderId="0" xfId="0" applyFont="1" applyFill="1" applyBorder="1"/>
    <xf numFmtId="0" fontId="6" fillId="3" borderId="0" xfId="0" applyNumberFormat="1" applyFont="1" applyFill="1" applyBorder="1"/>
    <xf numFmtId="0" fontId="1" fillId="3" borderId="0" xfId="0" applyNumberFormat="1" applyFont="1" applyFill="1" applyBorder="1"/>
    <xf numFmtId="0" fontId="0" fillId="0" borderId="0" xfId="0" applyBorder="1"/>
    <xf numFmtId="1" fontId="0" fillId="0" borderId="0" xfId="0" applyNumberFormat="1"/>
    <xf numFmtId="21" fontId="0" fillId="0" borderId="0" xfId="0" applyNumberFormat="1" applyFont="1"/>
    <xf numFmtId="165" fontId="0" fillId="0" borderId="0" xfId="0" applyNumberFormat="1"/>
    <xf numFmtId="46" fontId="0" fillId="0" borderId="0" xfId="0" applyNumberFormat="1"/>
    <xf numFmtId="21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wrapText="1"/>
    </xf>
    <xf numFmtId="21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21" fontId="10" fillId="0" borderId="1" xfId="0" applyNumberFormat="1" applyFont="1" applyBorder="1" applyAlignment="1">
      <alignment horizontal="right" wrapText="1"/>
    </xf>
    <xf numFmtId="0" fontId="10" fillId="0" borderId="1" xfId="0" applyNumberFormat="1" applyFont="1" applyBorder="1" applyAlignment="1">
      <alignment horizontal="right" wrapText="1"/>
    </xf>
    <xf numFmtId="21" fontId="8" fillId="7" borderId="1" xfId="0" applyNumberFormat="1" applyFont="1" applyFill="1" applyBorder="1" applyAlignment="1">
      <alignment horizontal="right" wrapText="1"/>
    </xf>
    <xf numFmtId="21" fontId="8" fillId="8" borderId="1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NumberForma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5" xfId="0" applyNumberFormat="1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11" fillId="5" borderId="0" xfId="0" applyFont="1" applyFill="1"/>
    <xf numFmtId="0" fontId="0" fillId="0" borderId="0" xfId="0" applyFont="1"/>
    <xf numFmtId="0" fontId="0" fillId="2" borderId="4" xfId="0" applyFill="1" applyBorder="1"/>
    <xf numFmtId="1" fontId="0" fillId="2" borderId="4" xfId="0" applyNumberFormat="1" applyFill="1" applyBorder="1"/>
    <xf numFmtId="164" fontId="0" fillId="2" borderId="4" xfId="0" applyNumberFormat="1" applyFill="1" applyBorder="1"/>
    <xf numFmtId="21" fontId="0" fillId="2" borderId="4" xfId="0" applyNumberFormat="1" applyFill="1" applyBorder="1"/>
    <xf numFmtId="21" fontId="0" fillId="2" borderId="4" xfId="0" applyNumberFormat="1" applyFill="1" applyBorder="1" applyAlignment="1">
      <alignment vertical="center" wrapText="1"/>
    </xf>
    <xf numFmtId="16" fontId="4" fillId="0" borderId="0" xfId="0" applyNumberFormat="1" applyFont="1"/>
    <xf numFmtId="22" fontId="0" fillId="0" borderId="0" xfId="0" applyNumberFormat="1"/>
    <xf numFmtId="0" fontId="1" fillId="0" borderId="1" xfId="0" applyNumberFormat="1" applyFont="1" applyBorder="1" applyAlignment="1">
      <alignment horizontal="right" wrapText="1"/>
    </xf>
    <xf numFmtId="0" fontId="4" fillId="0" borderId="0" xfId="0" applyNumberFormat="1" applyFont="1"/>
    <xf numFmtId="21" fontId="5" fillId="0" borderId="0" xfId="0" applyNumberFormat="1" applyFont="1"/>
    <xf numFmtId="46" fontId="4" fillId="0" borderId="0" xfId="0" applyNumberFormat="1" applyFont="1"/>
    <xf numFmtId="164" fontId="11" fillId="5" borderId="0" xfId="0" applyNumberFormat="1" applyFont="1" applyFill="1"/>
    <xf numFmtId="21" fontId="11" fillId="5" borderId="0" xfId="0" applyNumberFormat="1" applyFont="1" applyFill="1"/>
    <xf numFmtId="0" fontId="11" fillId="5" borderId="0" xfId="0" applyNumberFormat="1" applyFont="1" applyFill="1"/>
    <xf numFmtId="0" fontId="0" fillId="9" borderId="0" xfId="0" applyFill="1"/>
    <xf numFmtId="20" fontId="0" fillId="9" borderId="0" xfId="0" applyNumberFormat="1" applyFill="1"/>
    <xf numFmtId="0" fontId="0" fillId="9" borderId="0" xfId="0" applyNumberFormat="1" applyFill="1"/>
    <xf numFmtId="21" fontId="0" fillId="9" borderId="0" xfId="0" applyNumberFormat="1" applyFill="1"/>
    <xf numFmtId="0" fontId="1" fillId="9" borderId="1" xfId="0" applyNumberFormat="1" applyFont="1" applyFill="1" applyBorder="1" applyAlignment="1">
      <alignment horizontal="right" wrapText="1"/>
    </xf>
    <xf numFmtId="21" fontId="1" fillId="9" borderId="1" xfId="0" applyNumberFormat="1" applyFont="1" applyFill="1" applyBorder="1" applyAlignment="1">
      <alignment horizontal="right" wrapText="1"/>
    </xf>
    <xf numFmtId="0" fontId="4" fillId="9" borderId="0" xfId="0" applyNumberFormat="1" applyFont="1" applyFill="1"/>
    <xf numFmtId="21" fontId="4" fillId="9" borderId="0" xfId="0" applyNumberFormat="1" applyFont="1" applyFill="1"/>
    <xf numFmtId="46" fontId="0" fillId="9" borderId="0" xfId="0" applyNumberFormat="1" applyFill="1"/>
    <xf numFmtId="21" fontId="7" fillId="5" borderId="0" xfId="0" applyNumberFormat="1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3" xfId="0" applyNumberFormat="1" applyFill="1" applyBorder="1"/>
    <xf numFmtId="0" fontId="0" fillId="0" borderId="0" xfId="0" applyFill="1"/>
    <xf numFmtId="164" fontId="0" fillId="2" borderId="0" xfId="0" applyNumberFormat="1" applyFill="1"/>
    <xf numFmtId="21" fontId="4" fillId="2" borderId="0" xfId="0" applyNumberFormat="1" applyFont="1" applyFill="1"/>
    <xf numFmtId="22" fontId="0" fillId="2" borderId="0" xfId="0" applyNumberFormat="1" applyFill="1"/>
    <xf numFmtId="0" fontId="4" fillId="2" borderId="0" xfId="0" applyFont="1" applyFill="1"/>
    <xf numFmtId="164" fontId="0" fillId="5" borderId="0" xfId="0" applyNumberFormat="1" applyFill="1"/>
    <xf numFmtId="21" fontId="0" fillId="5" borderId="0" xfId="0" applyNumberFormat="1" applyFill="1"/>
    <xf numFmtId="164" fontId="0" fillId="3" borderId="0" xfId="0" applyNumberFormat="1" applyFill="1"/>
    <xf numFmtId="0" fontId="0" fillId="5" borderId="13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11" fillId="0" borderId="17" xfId="0" applyFont="1" applyFill="1" applyBorder="1"/>
    <xf numFmtId="0" fontId="11" fillId="5" borderId="16" xfId="0" applyFont="1" applyFill="1" applyBorder="1"/>
    <xf numFmtId="22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Expansion Threshold vs Performance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Minsup 23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Foglio1!$B$6:$B$9</c:f>
              <c:numCache>
                <c:formatCode>[$-F400]h:mm:ss\ AM/PM</c:formatCode>
                <c:ptCount val="4"/>
                <c:pt idx="0">
                  <c:v>6.9444444444444441E-3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3.472222222222222E-3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Minsup 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Foglio1!$C$6:$C$9</c:f>
              <c:numCache>
                <c:formatCode>[$-F400]h:mm:ss\ AM/PM</c:formatCode>
                <c:ptCount val="4"/>
                <c:pt idx="0">
                  <c:v>2.1527777777777781E-2</c:v>
                </c:pt>
                <c:pt idx="1">
                  <c:v>1.0416666666666666E-2</c:v>
                </c:pt>
                <c:pt idx="2">
                  <c:v>7.6388888888888886E-3</c:v>
                </c:pt>
                <c:pt idx="3">
                  <c:v>7.6388888888888886E-3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Foglio1!$D$5</c:f>
              <c:strCache>
                <c:ptCount val="1"/>
                <c:pt idx="0">
                  <c:v>Minsup 21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Foglio1!$D$6:$D$9</c:f>
              <c:numCache>
                <c:formatCode>[$-F400]h:mm:ss\ AM/PM</c:formatCode>
                <c:ptCount val="4"/>
                <c:pt idx="0">
                  <c:v>6.0416666666666667E-2</c:v>
                </c:pt>
                <c:pt idx="1">
                  <c:v>4.6527777777777779E-2</c:v>
                </c:pt>
                <c:pt idx="2">
                  <c:v>4.6527777777777779E-2</c:v>
                </c:pt>
                <c:pt idx="3">
                  <c:v>4.5138888888888888E-2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Foglio1!$E$5</c:f>
              <c:strCache>
                <c:ptCount val="1"/>
                <c:pt idx="0">
                  <c:v>Minsup 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Foglio1!$E$6:$E$9</c:f>
              <c:numCache>
                <c:formatCode>[$-F400]h:mm:ss\ AM/PM</c:formatCode>
                <c:ptCount val="4"/>
                <c:pt idx="0">
                  <c:v>0.27083333333333331</c:v>
                </c:pt>
                <c:pt idx="1">
                  <c:v>0.28680555555555554</c:v>
                </c:pt>
                <c:pt idx="2">
                  <c:v>0.25486111111111109</c:v>
                </c:pt>
                <c:pt idx="3">
                  <c:v>0.28125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58112"/>
        <c:axId val="1821580416"/>
      </c:scatterChart>
      <c:valAx>
        <c:axId val="1821558112"/>
        <c:scaling>
          <c:logBase val="10"/>
          <c:orientation val="maxMin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80416"/>
        <c:crosses val="autoZero"/>
        <c:crossBetween val="midCat"/>
      </c:valAx>
      <c:valAx>
        <c:axId val="1821580416"/>
        <c:scaling>
          <c:orientation val="minMax"/>
          <c:max val="0.2922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58112"/>
        <c:crossesAt val="100000000"/>
        <c:crossBetween val="midCat"/>
        <c:majorUnit val="4.1666000000000009E-2"/>
        <c:minorUnit val="6.0000000000000019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70672"/>
        <c:axId val="1825083728"/>
      </c:scatterChart>
      <c:valAx>
        <c:axId val="1825070672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3728"/>
        <c:crosses val="autoZero"/>
        <c:crossBetween val="midCat"/>
      </c:valAx>
      <c:valAx>
        <c:axId val="1825083728"/>
        <c:scaling>
          <c:orientation val="minMax"/>
          <c:max val="2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Execution time (Sec)</a:t>
                </a:r>
                <a:endParaRPr lang="en-GB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breast_new16aprile!$G$62:$G$66</c:f>
              <c:numCache>
                <c:formatCode>General</c:formatCode>
                <c:ptCount val="5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65408"/>
        <c:axId val="1975373568"/>
      </c:barChart>
      <c:catAx>
        <c:axId val="19753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3568"/>
        <c:crosses val="autoZero"/>
        <c:auto val="0"/>
        <c:lblAlgn val="ctr"/>
        <c:lblOffset val="100"/>
        <c:noMultiLvlLbl val="0"/>
      </c:catAx>
      <c:valAx>
        <c:axId val="19753735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breast_new16aprile!$G$70:$G$75</c15:sqref>
                  </c15:fullRef>
                </c:ext>
              </c:extLst>
              <c:f>breast_new16aprile!$G$70:$G$74</c:f>
              <c:numCache>
                <c:formatCode>General</c:formatCode>
                <c:ptCount val="5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74112"/>
        <c:axId val="1975378464"/>
      </c:barChart>
      <c:catAx>
        <c:axId val="19753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8464"/>
        <c:crosses val="autoZero"/>
        <c:auto val="0"/>
        <c:lblAlgn val="ctr"/>
        <c:lblOffset val="100"/>
        <c:noMultiLvlLbl val="0"/>
      </c:catAx>
      <c:valAx>
        <c:axId val="19753784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74656"/>
        <c:axId val="1975379552"/>
      </c:barChart>
      <c:catAx>
        <c:axId val="19753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9552"/>
        <c:crosses val="autoZero"/>
        <c:auto val="0"/>
        <c:lblAlgn val="ctr"/>
        <c:lblOffset val="100"/>
        <c:noMultiLvlLbl val="0"/>
      </c:catAx>
      <c:valAx>
        <c:axId val="19753795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breast_new16aprile!$G$127:$G$129</c:f>
              <c:numCache>
                <c:formatCode>General</c:formatCode>
                <c:ptCount val="3"/>
                <c:pt idx="0">
                  <c:v>4.4452161833651669</c:v>
                </c:pt>
                <c:pt idx="1">
                  <c:v>-16.166001041847544</c:v>
                </c:pt>
                <c:pt idx="2">
                  <c:v>-16.166001041847544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80096"/>
        <c:axId val="1975365952"/>
      </c:barChart>
      <c:catAx>
        <c:axId val="197538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5952"/>
        <c:crosses val="autoZero"/>
        <c:auto val="0"/>
        <c:lblAlgn val="ctr"/>
        <c:lblOffset val="100"/>
        <c:noMultiLvlLbl val="0"/>
      </c:catAx>
      <c:valAx>
        <c:axId val="1975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(breast_new_minsup_5!$A$55:$A$60,breast_new_minsup_5!$A$62:$A$74)</c:f>
              <c:strCache>
                <c:ptCount val="19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strategy2(10)</c:v>
                </c:pt>
                <c:pt idx="7">
                  <c:v>strategy2(100)</c:v>
                </c:pt>
                <c:pt idx="8">
                  <c:v>strategy2(1,000)</c:v>
                </c:pt>
                <c:pt idx="9">
                  <c:v>strategy2(10,000)</c:v>
                </c:pt>
                <c:pt idx="10">
                  <c:v>strategy2(100,000)</c:v>
                </c:pt>
                <c:pt idx="11">
                  <c:v>strategy2(1,000,000)</c:v>
                </c:pt>
                <c:pt idx="12">
                  <c:v>strategy2(10,000,000)</c:v>
                </c:pt>
                <c:pt idx="13">
                  <c:v>strategy3(100)</c:v>
                </c:pt>
                <c:pt idx="14">
                  <c:v>strategy4(10)</c:v>
                </c:pt>
                <c:pt idx="15">
                  <c:v>strategy4(100)</c:v>
                </c:pt>
                <c:pt idx="16">
                  <c:v>strategy4(1,000)</c:v>
                </c:pt>
                <c:pt idx="17">
                  <c:v>strategy4(10,000)</c:v>
                </c:pt>
                <c:pt idx="18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breast_new16aprile!$G$55:$G$61</c15:sqref>
                  </c15:fullRef>
                </c:ext>
              </c:extLst>
              <c:f>breast_new16aprile!$G$55:$G$60</c:f>
              <c:numCache>
                <c:formatCode>General</c:formatCode>
                <c:ptCount val="6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75744"/>
        <c:axId val="1975371936"/>
      </c:barChart>
      <c:catAx>
        <c:axId val="197537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1936"/>
        <c:crosses val="autoZero"/>
        <c:auto val="0"/>
        <c:lblAlgn val="ctr"/>
        <c:lblOffset val="100"/>
        <c:noMultiLvlLbl val="0"/>
      </c:catAx>
      <c:valAx>
        <c:axId val="19753719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confronto_pems_200!$E$24:$E$31</c:f>
              <c:numCache>
                <c:formatCode>General</c:formatCode>
                <c:ptCount val="8"/>
                <c:pt idx="0">
                  <c:v>0</c:v>
                </c:pt>
                <c:pt idx="1">
                  <c:v>203</c:v>
                </c:pt>
                <c:pt idx="2">
                  <c:v>218</c:v>
                </c:pt>
                <c:pt idx="3">
                  <c:v>216</c:v>
                </c:pt>
                <c:pt idx="4">
                  <c:v>201</c:v>
                </c:pt>
                <c:pt idx="5">
                  <c:v>182</c:v>
                </c:pt>
                <c:pt idx="6">
                  <c:v>223</c:v>
                </c:pt>
                <c:pt idx="7">
                  <c:v>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confronto_pems_200!$B$23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confronto_pems_200!$B$24:$B$31</c:f>
              <c:numCache>
                <c:formatCode>General</c:formatCode>
                <c:ptCount val="8"/>
                <c:pt idx="0">
                  <c:v>119</c:v>
                </c:pt>
                <c:pt idx="1">
                  <c:v>120</c:v>
                </c:pt>
                <c:pt idx="2">
                  <c:v>250</c:v>
                </c:pt>
                <c:pt idx="3">
                  <c:v>347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confronto_pems_200!$H$24:$H$31</c:f>
              <c:numCache>
                <c:formatCode>General</c:formatCode>
                <c:ptCount val="8"/>
                <c:pt idx="0">
                  <c:v>214</c:v>
                </c:pt>
                <c:pt idx="1">
                  <c:v>205</c:v>
                </c:pt>
                <c:pt idx="2">
                  <c:v>217</c:v>
                </c:pt>
                <c:pt idx="3">
                  <c:v>221</c:v>
                </c:pt>
                <c:pt idx="4">
                  <c:v>234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confronto_pems_200!$N$23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confronto_pems_200!$N$24:$N$30</c:f>
              <c:numCache>
                <c:formatCode>General</c:formatCode>
                <c:ptCount val="7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77376"/>
        <c:axId val="1975364864"/>
      </c:scatterChart>
      <c:valAx>
        <c:axId val="1975377376"/>
        <c:scaling>
          <c:orientation val="maxMin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4864"/>
        <c:crosses val="autoZero"/>
        <c:crossBetween val="midCat"/>
      </c:valAx>
      <c:valAx>
        <c:axId val="197536486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confronto_pems_200!$C$63</c:f>
              <c:strCache>
                <c:ptCount val="1"/>
                <c:pt idx="0">
                  <c:v>Pampa-HD (100-rows)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confronto_pems_200!$C$64:$C$73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103</c:v>
                </c:pt>
                <c:pt idx="3">
                  <c:v>122</c:v>
                </c:pt>
                <c:pt idx="4">
                  <c:v>123</c:v>
                </c:pt>
                <c:pt idx="5">
                  <c:v>219</c:v>
                </c:pt>
                <c:pt idx="6">
                  <c:v>402</c:v>
                </c:pt>
                <c:pt idx="7">
                  <c:v>1087</c:v>
                </c:pt>
                <c:pt idx="8">
                  <c:v>4612</c:v>
                </c:pt>
                <c:pt idx="9">
                  <c:v>17897.5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confronto_pems_200!$E$63</c:f>
              <c:strCache>
                <c:ptCount val="1"/>
                <c:pt idx="0">
                  <c:v>Pampa-HD (200-rows)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confronto_pems_200!$E$64:$E$74</c:f>
              <c:numCache>
                <c:formatCode>General</c:formatCode>
                <c:ptCount val="11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confronto_pems_200!$H$63</c:f>
              <c:strCache>
                <c:ptCount val="1"/>
                <c:pt idx="0">
                  <c:v>Pampa-HD (440 rows)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confronto_pems_200!$H$64:$H$73</c:f>
              <c:numCache>
                <c:formatCode>General</c:formatCode>
                <c:ptCount val="10"/>
                <c:pt idx="0">
                  <c:v>132</c:v>
                </c:pt>
                <c:pt idx="2">
                  <c:v>981</c:v>
                </c:pt>
                <c:pt idx="3">
                  <c:v>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82816"/>
        <c:axId val="1975383360"/>
      </c:scatterChart>
      <c:valAx>
        <c:axId val="1975382816"/>
        <c:scaling>
          <c:orientation val="maxMin"/>
          <c:max val="5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3360"/>
        <c:crosses val="autoZero"/>
        <c:crossBetween val="midCat"/>
      </c:valAx>
      <c:valAx>
        <c:axId val="1975383360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scalabilità!$B$4</c:f>
              <c:strCache>
                <c:ptCount val="1"/>
                <c:pt idx="0">
                  <c:v>minsup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scalabilità!$A$5:$A$10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scalabilità!$B$5:$B$10</c:f>
              <c:numCache>
                <c:formatCode>General</c:formatCode>
                <c:ptCount val="6"/>
                <c:pt idx="0">
                  <c:v>18363</c:v>
                </c:pt>
                <c:pt idx="1">
                  <c:v>17126</c:v>
                </c:pt>
                <c:pt idx="2">
                  <c:v>15799</c:v>
                </c:pt>
                <c:pt idx="3">
                  <c:v>13570</c:v>
                </c:pt>
                <c:pt idx="4">
                  <c:v>9700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scalabilità!$B$13</c:f>
              <c:strCache>
                <c:ptCount val="1"/>
                <c:pt idx="0">
                  <c:v>minsup 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scalabilità!$A$14:$A$19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scalabilità!$B$14:$B$19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84448"/>
        <c:axId val="1975384992"/>
      </c:scatterChart>
      <c:valAx>
        <c:axId val="1975384448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4992"/>
        <c:crosses val="autoZero"/>
        <c:crossBetween val="midCat"/>
      </c:valAx>
      <c:valAx>
        <c:axId val="1975384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ysClr val="windowText" lastClr="000000"/>
                </a:solidFill>
                <a:effectLst/>
              </a:rPr>
              <a:t>Execution time vs #Reducers</a:t>
            </a:r>
            <a:endParaRPr lang="it-IT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080464"/>
        <c:axId val="1825073936"/>
      </c:barChart>
      <c:catAx>
        <c:axId val="18250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3936"/>
        <c:crosses val="autoZero"/>
        <c:auto val="1"/>
        <c:lblAlgn val="ctr"/>
        <c:lblOffset val="100"/>
        <c:noMultiLvlLbl val="0"/>
      </c:catAx>
      <c:valAx>
        <c:axId val="18250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Execution time vs</a:t>
            </a:r>
            <a:r>
              <a:rPr lang="en-GB" baseline="0">
                <a:solidFill>
                  <a:sysClr val="windowText" lastClr="000000"/>
                </a:solidFill>
              </a:rPr>
              <a:t> #Reducers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69040"/>
        <c:axId val="1825079920"/>
      </c:scatterChart>
      <c:valAx>
        <c:axId val="1825069040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9920"/>
        <c:crosses val="autoZero"/>
        <c:crossBetween val="midCat"/>
        <c:majorUnit val="3"/>
      </c:valAx>
      <c:valAx>
        <c:axId val="18250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PEMS_threshold_fisso!$D$3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PEMS_threshold_fisso!$D$4:$D$11</c:f>
              <c:numCache>
                <c:formatCode>General</c:formatCode>
                <c:ptCount val="8"/>
                <c:pt idx="0">
                  <c:v>2631</c:v>
                </c:pt>
                <c:pt idx="1">
                  <c:v>2725</c:v>
                </c:pt>
                <c:pt idx="2">
                  <c:v>2582</c:v>
                </c:pt>
                <c:pt idx="3">
                  <c:v>2493</c:v>
                </c:pt>
                <c:pt idx="4">
                  <c:v>2803</c:v>
                </c:pt>
                <c:pt idx="5">
                  <c:v>2437</c:v>
                </c:pt>
                <c:pt idx="6">
                  <c:v>4205</c:v>
                </c:pt>
                <c:pt idx="7">
                  <c:v>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83184"/>
        <c:axId val="1825072304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PEMS_threshold_fisso!$E$4:$E$11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6112"/>
        <c:axId val="1825074480"/>
      </c:lineChart>
      <c:catAx>
        <c:axId val="18250831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2304"/>
        <c:crosses val="autoZero"/>
        <c:auto val="1"/>
        <c:lblAlgn val="ctr"/>
        <c:lblOffset val="100"/>
        <c:noMultiLvlLbl val="0"/>
      </c:catAx>
      <c:valAx>
        <c:axId val="182507230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3184"/>
        <c:crosses val="autoZero"/>
        <c:crossBetween val="between"/>
      </c:valAx>
      <c:valAx>
        <c:axId val="182507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6112"/>
        <c:crosses val="max"/>
        <c:crossBetween val="between"/>
      </c:valAx>
      <c:catAx>
        <c:axId val="18250761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2507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Breast_treshold_fisso!$D$3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Breast_treshold_fisso!$D$4:$D$10</c:f>
              <c:numCache>
                <c:formatCode>General</c:formatCode>
                <c:ptCount val="7"/>
                <c:pt idx="0">
                  <c:v>6295</c:v>
                </c:pt>
                <c:pt idx="1">
                  <c:v>6195</c:v>
                </c:pt>
                <c:pt idx="2">
                  <c:v>6170</c:v>
                </c:pt>
                <c:pt idx="3">
                  <c:v>4838</c:v>
                </c:pt>
                <c:pt idx="4">
                  <c:v>5896</c:v>
                </c:pt>
                <c:pt idx="5">
                  <c:v>7113</c:v>
                </c:pt>
                <c:pt idx="6">
                  <c:v>7282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7200"/>
        <c:axId val="1825081552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Breast_treshold_fisso!$E$4:$E$11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6656"/>
        <c:axId val="1825084272"/>
      </c:lineChart>
      <c:catAx>
        <c:axId val="18250772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1552"/>
        <c:crosses val="autoZero"/>
        <c:auto val="1"/>
        <c:lblAlgn val="ctr"/>
        <c:lblOffset val="100"/>
        <c:noMultiLvlLbl val="0"/>
      </c:catAx>
      <c:valAx>
        <c:axId val="182508155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7200"/>
        <c:crosses val="autoZero"/>
        <c:crossBetween val="between"/>
      </c:valAx>
      <c:valAx>
        <c:axId val="1825084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6656"/>
        <c:crosses val="max"/>
        <c:crossBetween val="between"/>
      </c:valAx>
      <c:catAx>
        <c:axId val="182507665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2508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38832"/>
        <c:axId val="1826250800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51344"/>
        <c:axId val="1826237744"/>
      </c:barChart>
      <c:catAx>
        <c:axId val="18262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0800"/>
        <c:crosses val="autoZero"/>
        <c:auto val="1"/>
        <c:lblAlgn val="ctr"/>
        <c:lblOffset val="100"/>
        <c:noMultiLvlLbl val="0"/>
      </c:catAx>
      <c:valAx>
        <c:axId val="1826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8832"/>
        <c:crosses val="autoZero"/>
        <c:crossBetween val="between"/>
      </c:valAx>
      <c:valAx>
        <c:axId val="1826237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1344"/>
        <c:crosses val="max"/>
        <c:crossBetween val="between"/>
      </c:valAx>
      <c:catAx>
        <c:axId val="182625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23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(2)'!$J$23:$J$33</c:f>
              <c:numCache>
                <c:formatCode>General</c:formatCode>
                <c:ptCount val="11"/>
                <c:pt idx="0">
                  <c:v>5689</c:v>
                </c:pt>
                <c:pt idx="1">
                  <c:v>5121</c:v>
                </c:pt>
                <c:pt idx="2">
                  <c:v>5111</c:v>
                </c:pt>
                <c:pt idx="3">
                  <c:v>5626</c:v>
                </c:pt>
                <c:pt idx="4">
                  <c:v>5147</c:v>
                </c:pt>
                <c:pt idx="5">
                  <c:v>4860</c:v>
                </c:pt>
                <c:pt idx="6">
                  <c:v>5212</c:v>
                </c:pt>
                <c:pt idx="7">
                  <c:v>5580</c:v>
                </c:pt>
                <c:pt idx="8">
                  <c:v>5160</c:v>
                </c:pt>
                <c:pt idx="9">
                  <c:v>4968</c:v>
                </c:pt>
                <c:pt idx="10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38288"/>
        <c:axId val="1826249712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'PEMS_strategies (2)'!$K$23:$K$33</c:f>
              <c:numCache>
                <c:formatCode>General</c:formatCode>
                <c:ptCount val="11"/>
                <c:pt idx="0">
                  <c:v>-17.589913187267467</c:v>
                </c:pt>
                <c:pt idx="1">
                  <c:v>-5.8495245969408849</c:v>
                </c:pt>
                <c:pt idx="2">
                  <c:v>-5.6428276147168246</c:v>
                </c:pt>
                <c:pt idx="3">
                  <c:v>-16.287722199255892</c:v>
                </c:pt>
                <c:pt idx="4">
                  <c:v>-6.3869367507234394</c:v>
                </c:pt>
                <c:pt idx="5">
                  <c:v>-0.45473336089293093</c:v>
                </c:pt>
                <c:pt idx="6">
                  <c:v>-7.7304671351798264</c:v>
                </c:pt>
                <c:pt idx="7">
                  <c:v>-15.336916081025217</c:v>
                </c:pt>
                <c:pt idx="8">
                  <c:v>-6.6556428276147166</c:v>
                </c:pt>
                <c:pt idx="9">
                  <c:v>-2.6870607689127737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36656"/>
        <c:axId val="1826248080"/>
      </c:barChart>
      <c:catAx>
        <c:axId val="18262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9712"/>
        <c:crosses val="autoZero"/>
        <c:auto val="1"/>
        <c:lblAlgn val="ctr"/>
        <c:lblOffset val="100"/>
        <c:noMultiLvlLbl val="0"/>
      </c:catAx>
      <c:valAx>
        <c:axId val="1826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8288"/>
        <c:crosses val="autoZero"/>
        <c:crossBetween val="between"/>
      </c:valAx>
      <c:valAx>
        <c:axId val="1826248080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6656"/>
        <c:crosses val="max"/>
        <c:crossBetween val="between"/>
      </c:valAx>
      <c:catAx>
        <c:axId val="1826236656"/>
        <c:scaling>
          <c:orientation val="minMax"/>
        </c:scaling>
        <c:delete val="1"/>
        <c:axPos val="t"/>
        <c:majorTickMark val="out"/>
        <c:minorTickMark val="none"/>
        <c:tickLblPos val="nextTo"/>
        <c:crossAx val="182624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52976"/>
        <c:axId val="1826239376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45360"/>
        <c:axId val="1826242640"/>
      </c:barChart>
      <c:catAx>
        <c:axId val="18262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9376"/>
        <c:crosses val="autoZero"/>
        <c:auto val="1"/>
        <c:lblAlgn val="ctr"/>
        <c:lblOffset val="100"/>
        <c:noMultiLvlLbl val="0"/>
      </c:catAx>
      <c:valAx>
        <c:axId val="1826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2976"/>
        <c:crosses val="autoZero"/>
        <c:crossBetween val="between"/>
      </c:valAx>
      <c:valAx>
        <c:axId val="1826242640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5360"/>
        <c:crosses val="max"/>
        <c:crossBetween val="between"/>
      </c:valAx>
      <c:catAx>
        <c:axId val="182624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24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43728"/>
        <c:axId val="1826240464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45904"/>
        <c:axId val="1826244816"/>
      </c:barChart>
      <c:catAx>
        <c:axId val="18262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0464"/>
        <c:crosses val="autoZero"/>
        <c:auto val="1"/>
        <c:lblAlgn val="ctr"/>
        <c:lblOffset val="100"/>
        <c:noMultiLvlLbl val="0"/>
      </c:catAx>
      <c:valAx>
        <c:axId val="1826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3728"/>
        <c:crosses val="autoZero"/>
        <c:crossBetween val="between"/>
      </c:valAx>
      <c:valAx>
        <c:axId val="1826244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5904"/>
        <c:crosses val="max"/>
        <c:crossBetween val="between"/>
      </c:valAx>
      <c:catAx>
        <c:axId val="182624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24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PEMS_strategies!$J$23:$J$30</c:f>
              <c:numCache>
                <c:formatCode>General</c:formatCode>
                <c:ptCount val="8"/>
                <c:pt idx="0">
                  <c:v>5689</c:v>
                </c:pt>
                <c:pt idx="1">
                  <c:v>5181</c:v>
                </c:pt>
                <c:pt idx="2">
                  <c:v>5626</c:v>
                </c:pt>
                <c:pt idx="3">
                  <c:v>5197</c:v>
                </c:pt>
                <c:pt idx="4">
                  <c:v>5212</c:v>
                </c:pt>
                <c:pt idx="5">
                  <c:v>5580</c:v>
                </c:pt>
                <c:pt idx="6">
                  <c:v>5160</c:v>
                </c:pt>
                <c:pt idx="7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44272"/>
        <c:axId val="1826248624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PEMS_strategies!$K$23:$K$30</c:f>
              <c:numCache>
                <c:formatCode>General</c:formatCode>
                <c:ptCount val="8"/>
                <c:pt idx="0">
                  <c:v>-17.589913187267467</c:v>
                </c:pt>
                <c:pt idx="1">
                  <c:v>-7.0897064902852414</c:v>
                </c:pt>
                <c:pt idx="2">
                  <c:v>-16.287722199255892</c:v>
                </c:pt>
                <c:pt idx="3">
                  <c:v>-7.4204216618437373</c:v>
                </c:pt>
                <c:pt idx="4">
                  <c:v>-7.7304671351798264</c:v>
                </c:pt>
                <c:pt idx="5">
                  <c:v>-15.336916081025217</c:v>
                </c:pt>
                <c:pt idx="6">
                  <c:v>-6.6556428276147166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46448"/>
        <c:axId val="1826241008"/>
      </c:barChart>
      <c:catAx>
        <c:axId val="1826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8624"/>
        <c:crosses val="autoZero"/>
        <c:auto val="1"/>
        <c:lblAlgn val="ctr"/>
        <c:lblOffset val="100"/>
        <c:noMultiLvlLbl val="0"/>
      </c:catAx>
      <c:valAx>
        <c:axId val="1826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4272"/>
        <c:crosses val="autoZero"/>
        <c:crossBetween val="between"/>
      </c:valAx>
      <c:valAx>
        <c:axId val="182624100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6448"/>
        <c:crosses val="max"/>
        <c:crossBetween val="between"/>
      </c:valAx>
      <c:catAx>
        <c:axId val="1826246448"/>
        <c:scaling>
          <c:orientation val="minMax"/>
        </c:scaling>
        <c:delete val="1"/>
        <c:axPos val="t"/>
        <c:majorTickMark val="out"/>
        <c:minorTickMark val="none"/>
        <c:tickLblPos val="nextTo"/>
        <c:crossAx val="182624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Foglio1!$O$5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Foglio1!$O$6:$O$9</c:f>
              <c:numCache>
                <c:formatCode>0.00</c:formatCode>
                <c:ptCount val="4"/>
                <c:pt idx="0">
                  <c:v>600</c:v>
                </c:pt>
                <c:pt idx="1">
                  <c:v>360</c:v>
                </c:pt>
                <c:pt idx="2">
                  <c:v>360</c:v>
                </c:pt>
                <c:pt idx="3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Foglio1!$P$5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Foglio1!$P$6:$P$9</c:f>
              <c:numCache>
                <c:formatCode>0.00</c:formatCode>
                <c:ptCount val="4"/>
                <c:pt idx="0">
                  <c:v>1860</c:v>
                </c:pt>
                <c:pt idx="1">
                  <c:v>900</c:v>
                </c:pt>
                <c:pt idx="2">
                  <c:v>660</c:v>
                </c:pt>
                <c:pt idx="3">
                  <c:v>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Foglio1!$Q$5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Foglio1!$Q$6:$Q$9</c:f>
              <c:numCache>
                <c:formatCode>0.00</c:formatCode>
                <c:ptCount val="4"/>
                <c:pt idx="0">
                  <c:v>5220</c:v>
                </c:pt>
                <c:pt idx="1">
                  <c:v>4020</c:v>
                </c:pt>
                <c:pt idx="2">
                  <c:v>4020</c:v>
                </c:pt>
                <c:pt idx="3">
                  <c:v>3900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Foglio1!$R$5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Foglio1!$R$6:$R$9</c:f>
              <c:numCache>
                <c:formatCode>0.00</c:formatCode>
                <c:ptCount val="4"/>
                <c:pt idx="0">
                  <c:v>23400</c:v>
                </c:pt>
                <c:pt idx="1">
                  <c:v>24780</c:v>
                </c:pt>
                <c:pt idx="2">
                  <c:v>22020</c:v>
                </c:pt>
                <c:pt idx="3">
                  <c:v>24300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59920"/>
        <c:axId val="1821339744"/>
      </c:scatterChart>
      <c:valAx>
        <c:axId val="17610599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9744"/>
        <c:crosses val="autoZero"/>
        <c:crossBetween val="midCat"/>
      </c:valAx>
      <c:valAx>
        <c:axId val="1821339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254064"/>
        <c:axId val="1826249168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26257872"/>
        <c:axId val="1826250256"/>
      </c:barChart>
      <c:catAx>
        <c:axId val="18262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9168"/>
        <c:crosses val="autoZero"/>
        <c:auto val="1"/>
        <c:lblAlgn val="ctr"/>
        <c:lblOffset val="100"/>
        <c:noMultiLvlLbl val="0"/>
      </c:catAx>
      <c:valAx>
        <c:axId val="1826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4064"/>
        <c:crosses val="autoZero"/>
        <c:crossBetween val="between"/>
      </c:valAx>
      <c:valAx>
        <c:axId val="1826250256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7872"/>
        <c:crosses val="max"/>
        <c:crossBetween val="between"/>
      </c:valAx>
      <c:catAx>
        <c:axId val="182625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25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breast_new_minsup_5!$G$55:$G$74</c:f>
              <c:numCache>
                <c:formatCode>General</c:formatCode>
                <c:ptCount val="20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  <c:pt idx="7">
                  <c:v>24.913876257406635</c:v>
                </c:pt>
                <c:pt idx="8">
                  <c:v>20.979743695742041</c:v>
                </c:pt>
                <c:pt idx="9">
                  <c:v>17.54168389141519</c:v>
                </c:pt>
                <c:pt idx="10">
                  <c:v>8.7157227504478492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19.946258784621744</c:v>
                </c:pt>
                <c:pt idx="15">
                  <c:v>21.992558908639932</c:v>
                </c:pt>
                <c:pt idx="16">
                  <c:v>19.822240595287308</c:v>
                </c:pt>
                <c:pt idx="17">
                  <c:v>15.605622157916493</c:v>
                </c:pt>
                <c:pt idx="18">
                  <c:v>8.3918974782968174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41552"/>
        <c:axId val="1826261136"/>
      </c:barChart>
      <c:catAx>
        <c:axId val="18262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1136"/>
        <c:crosses val="autoZero"/>
        <c:auto val="0"/>
        <c:lblAlgn val="ctr"/>
        <c:lblOffset val="100"/>
        <c:noMultiLvlLbl val="0"/>
      </c:catAx>
      <c:valAx>
        <c:axId val="18262611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breast_new_minsup_5!$R$33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breast_new_minsup_5!$R$34:$R$41</c:f>
              <c:numCache>
                <c:formatCode>General</c:formatCode>
                <c:ptCount val="8"/>
                <c:pt idx="0" formatCode="0">
                  <c:v>6317.5</c:v>
                </c:pt>
                <c:pt idx="1">
                  <c:v>6202.5</c:v>
                </c:pt>
                <c:pt idx="2">
                  <c:v>6141.5</c:v>
                </c:pt>
                <c:pt idx="3">
                  <c:v>4889</c:v>
                </c:pt>
                <c:pt idx="4">
                  <c:v>5975</c:v>
                </c:pt>
                <c:pt idx="5">
                  <c:v>7170.5</c:v>
                </c:pt>
                <c:pt idx="6">
                  <c:v>7366</c:v>
                </c:pt>
                <c:pt idx="7">
                  <c:v>7268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59504"/>
        <c:axId val="1826258960"/>
      </c:lineChart>
      <c:lineChart>
        <c:grouping val="standard"/>
        <c:varyColors val="0"/>
        <c:ser>
          <c:idx val="0"/>
          <c:order val="1"/>
          <c:tx>
            <c:strRef>
              <c:f>breast_new_minsup_5!$O$11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breast_new_minsup_5!$O$12:$O$19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60592"/>
        <c:axId val="1826264944"/>
      </c:lineChart>
      <c:catAx>
        <c:axId val="1826259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8960"/>
        <c:crosses val="autoZero"/>
        <c:auto val="1"/>
        <c:lblAlgn val="ctr"/>
        <c:lblOffset val="100"/>
        <c:noMultiLvlLbl val="0"/>
      </c:catAx>
      <c:valAx>
        <c:axId val="182625896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9504"/>
        <c:crosses val="autoZero"/>
        <c:crossBetween val="between"/>
      </c:valAx>
      <c:valAx>
        <c:axId val="182626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0592"/>
        <c:crosses val="max"/>
        <c:crossBetween val="between"/>
      </c:valAx>
      <c:catAx>
        <c:axId val="182626059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2626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breast_new_minsup_5!$G$55:$G$61</c:f>
              <c:numCache>
                <c:formatCode>General</c:formatCode>
                <c:ptCount val="7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67664"/>
        <c:axId val="1826261680"/>
      </c:barChart>
      <c:catAx>
        <c:axId val="18262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1680"/>
        <c:crosses val="autoZero"/>
        <c:auto val="0"/>
        <c:lblAlgn val="ctr"/>
        <c:lblOffset val="100"/>
        <c:noMultiLvlLbl val="0"/>
      </c:catAx>
      <c:valAx>
        <c:axId val="182626168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breast_new_minsup_5!$G$62:$G$68</c:f>
              <c:numCache>
                <c:formatCode>General</c:formatCode>
                <c:ptCount val="7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62768"/>
        <c:axId val="1826263312"/>
      </c:barChart>
      <c:catAx>
        <c:axId val="18262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3312"/>
        <c:crosses val="autoZero"/>
        <c:auto val="0"/>
        <c:lblAlgn val="ctr"/>
        <c:lblOffset val="100"/>
        <c:noMultiLvlLbl val="0"/>
      </c:catAx>
      <c:valAx>
        <c:axId val="182626331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breast_new_minsup_5!$G$70:$G$75</c:f>
              <c:numCache>
                <c:formatCode>General</c:formatCode>
                <c:ptCount val="6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63856"/>
        <c:axId val="1826256784"/>
      </c:barChart>
      <c:catAx>
        <c:axId val="18262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6784"/>
        <c:crosses val="autoZero"/>
        <c:auto val="0"/>
        <c:lblAlgn val="ctr"/>
        <c:lblOffset val="100"/>
        <c:noMultiLvlLbl val="0"/>
      </c:catAx>
      <c:valAx>
        <c:axId val="18262567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breast_new_minsup_5!$G$62:$G$66</c:f>
              <c:numCache>
                <c:formatCode>General</c:formatCode>
                <c:ptCount val="5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57328"/>
        <c:axId val="1826268752"/>
      </c:barChart>
      <c:catAx>
        <c:axId val="18262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8752"/>
        <c:crosses val="autoZero"/>
        <c:auto val="0"/>
        <c:lblAlgn val="ctr"/>
        <c:lblOffset val="100"/>
        <c:noMultiLvlLbl val="0"/>
      </c:catAx>
      <c:valAx>
        <c:axId val="18262687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breast_new_minsup_5!$G$70:$G$74</c:f>
              <c:numCache>
                <c:formatCode>General</c:formatCode>
                <c:ptCount val="5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42576"/>
        <c:axId val="1828045840"/>
      </c:barChart>
      <c:catAx>
        <c:axId val="18280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5840"/>
        <c:crosses val="autoZero"/>
        <c:auto val="0"/>
        <c:lblAlgn val="ctr"/>
        <c:lblOffset val="100"/>
        <c:noMultiLvlLbl val="0"/>
      </c:catAx>
      <c:valAx>
        <c:axId val="18280458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(breast_new_minsup_5!$A$57,breast_new_minsup_5!$A$65,breast_new_minsup_5!$A$69,breast_new_minsup_5!$A$72)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breast_new_minsup_5!$G$55:$G$74</c15:sqref>
                  </c15:fullRef>
                </c:ext>
              </c:extLst>
              <c:f>(breast_new_minsup_5!$G$57,breast_new_minsup_5!$G$65,breast_new_minsup_5!$G$69,breast_new_minsup_5!$G$72)</c:f>
              <c:numCache>
                <c:formatCode>General</c:formatCode>
                <c:ptCount val="4"/>
                <c:pt idx="0">
                  <c:v>0.95769601763813617</c:v>
                </c:pt>
                <c:pt idx="1">
                  <c:v>8.7157227504478492</c:v>
                </c:pt>
                <c:pt idx="2">
                  <c:v>19.946258784621744</c:v>
                </c:pt>
                <c:pt idx="3">
                  <c:v>15.605622157916493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55088"/>
        <c:axId val="1828051824"/>
      </c:barChart>
      <c:catAx>
        <c:axId val="18280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1824"/>
        <c:crosses val="autoZero"/>
        <c:auto val="0"/>
        <c:lblAlgn val="ctr"/>
        <c:lblOffset val="100"/>
        <c:noMultiLvlLbl val="0"/>
      </c:catAx>
      <c:valAx>
        <c:axId val="18280518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(breast_new_minsup_5!$A$55:$A$58,breast_new_minsup_5!$A$62:$A$74)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breast_new_minsup_5!$G$55:$G$61</c15:sqref>
                  </c15:fullRef>
                </c:ext>
              </c:extLst>
              <c:f>breast_new_minsup_5!$G$55:$G$58</c:f>
              <c:numCache>
                <c:formatCode>General</c:formatCode>
                <c:ptCount val="4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42032"/>
        <c:axId val="1828044208"/>
      </c:barChart>
      <c:catAx>
        <c:axId val="18280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4208"/>
        <c:crosses val="autoZero"/>
        <c:auto val="0"/>
        <c:lblAlgn val="ctr"/>
        <c:lblOffset val="100"/>
        <c:noMultiLvlLbl val="0"/>
      </c:catAx>
      <c:valAx>
        <c:axId val="182804420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Execution</a:t>
            </a:r>
            <a:r>
              <a:rPr lang="it-IT" baseline="0">
                <a:solidFill>
                  <a:schemeClr val="tx1"/>
                </a:solidFill>
              </a:rPr>
              <a:t> Time vs Expansion Threshold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83168"/>
        <c:axId val="1818880992"/>
      </c:scatterChart>
      <c:valAx>
        <c:axId val="1818883168"/>
        <c:scaling>
          <c:logBase val="10"/>
          <c:orientation val="maxMin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0992"/>
        <c:crosses val="autoZero"/>
        <c:crossBetween val="midCat"/>
      </c:valAx>
      <c:valAx>
        <c:axId val="1818880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48560"/>
        <c:axId val="1828047472"/>
      </c:barChart>
      <c:catAx>
        <c:axId val="18280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7472"/>
        <c:crosses val="autoZero"/>
        <c:auto val="0"/>
        <c:lblAlgn val="ctr"/>
        <c:lblOffset val="100"/>
        <c:noMultiLvlLbl val="0"/>
      </c:catAx>
      <c:valAx>
        <c:axId val="182804747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breast_new_minsup_5!$G$127:$G$129</c:f>
              <c:numCache>
                <c:formatCode>General</c:formatCode>
                <c:ptCount val="3"/>
                <c:pt idx="0">
                  <c:v>19.946258784621744</c:v>
                </c:pt>
                <c:pt idx="1">
                  <c:v>21.04864268981672</c:v>
                </c:pt>
                <c:pt idx="2">
                  <c:v>20.431996692848283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53456"/>
        <c:axId val="1828039856"/>
      </c:barChart>
      <c:catAx>
        <c:axId val="18280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9856"/>
        <c:crosses val="autoZero"/>
        <c:auto val="0"/>
        <c:lblAlgn val="ctr"/>
        <c:lblOffset val="100"/>
        <c:noMultiLvlLbl val="0"/>
      </c:catAx>
      <c:valAx>
        <c:axId val="1828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breast_new_minsup_5!$T$143:$T$147</c15:sqref>
                  </c15:fullRef>
                </c:ext>
              </c:extLst>
              <c:f>breast_new_minsup_5!$T$143:$T$146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51280"/>
        <c:axId val="1828040944"/>
      </c:barChart>
      <c:catAx>
        <c:axId val="18280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0944"/>
        <c:crosses val="autoZero"/>
        <c:auto val="0"/>
        <c:lblAlgn val="ctr"/>
        <c:lblOffset val="100"/>
        <c:noMultiLvlLbl val="0"/>
      </c:catAx>
      <c:valAx>
        <c:axId val="1828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41488"/>
        <c:axId val="1828038768"/>
      </c:barChart>
      <c:catAx>
        <c:axId val="182804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8768"/>
        <c:crosses val="autoZero"/>
        <c:auto val="0"/>
        <c:lblAlgn val="ctr"/>
        <c:lblOffset val="100"/>
        <c:noMultiLvlLbl val="0"/>
      </c:catAx>
      <c:valAx>
        <c:axId val="18280387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breast_news!$R$33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55632"/>
        <c:axId val="1828039312"/>
      </c:lineChart>
      <c:lineChart>
        <c:grouping val="standard"/>
        <c:varyColors val="0"/>
        <c:ser>
          <c:idx val="0"/>
          <c:order val="1"/>
          <c:tx>
            <c:strRef>
              <c:f>breast_news!$O$11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56176"/>
        <c:axId val="1828062704"/>
      </c:lineChart>
      <c:catAx>
        <c:axId val="18280556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9312"/>
        <c:crosses val="autoZero"/>
        <c:auto val="1"/>
        <c:lblAlgn val="ctr"/>
        <c:lblOffset val="100"/>
        <c:noMultiLvlLbl val="0"/>
      </c:catAx>
      <c:valAx>
        <c:axId val="182803931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5632"/>
        <c:crosses val="autoZero"/>
        <c:crossBetween val="between"/>
      </c:valAx>
      <c:valAx>
        <c:axId val="1828062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6176"/>
        <c:crosses val="max"/>
        <c:crossBetween val="between"/>
      </c:valAx>
      <c:catAx>
        <c:axId val="182805617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2806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56720"/>
        <c:axId val="1828057808"/>
      </c:barChart>
      <c:catAx>
        <c:axId val="18280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7808"/>
        <c:crosses val="autoZero"/>
        <c:auto val="0"/>
        <c:lblAlgn val="ctr"/>
        <c:lblOffset val="100"/>
        <c:noMultiLvlLbl val="0"/>
      </c:catAx>
      <c:valAx>
        <c:axId val="182805780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60528"/>
        <c:axId val="1828057264"/>
      </c:barChart>
      <c:catAx>
        <c:axId val="18280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7264"/>
        <c:crosses val="autoZero"/>
        <c:auto val="0"/>
        <c:lblAlgn val="ctr"/>
        <c:lblOffset val="100"/>
        <c:noMultiLvlLbl val="0"/>
      </c:catAx>
      <c:valAx>
        <c:axId val="18280572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breast_news!$G$70:$G$75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59440"/>
        <c:axId val="1828059984"/>
      </c:barChart>
      <c:catAx>
        <c:axId val="18280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9984"/>
        <c:crosses val="autoZero"/>
        <c:auto val="0"/>
        <c:lblAlgn val="ctr"/>
        <c:lblOffset val="100"/>
        <c:noMultiLvlLbl val="0"/>
      </c:catAx>
      <c:valAx>
        <c:axId val="18280599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61072"/>
        <c:axId val="1828061616"/>
      </c:barChart>
      <c:catAx>
        <c:axId val="18280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1616"/>
        <c:crosses val="autoZero"/>
        <c:auto val="0"/>
        <c:lblAlgn val="ctr"/>
        <c:lblOffset val="100"/>
        <c:noMultiLvlLbl val="0"/>
      </c:catAx>
      <c:valAx>
        <c:axId val="18280616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64336"/>
        <c:axId val="1828066512"/>
      </c:barChart>
      <c:catAx>
        <c:axId val="182806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6512"/>
        <c:crosses val="autoZero"/>
        <c:auto val="0"/>
        <c:lblAlgn val="ctr"/>
        <c:lblOffset val="100"/>
        <c:noMultiLvlLbl val="0"/>
      </c:catAx>
      <c:valAx>
        <c:axId val="182806651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876640"/>
        <c:axId val="1818877728"/>
      </c:bar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72832"/>
        <c:axId val="1818885344"/>
      </c:lineChart>
      <c:catAx>
        <c:axId val="181887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7728"/>
        <c:crosses val="autoZero"/>
        <c:auto val="1"/>
        <c:lblAlgn val="ctr"/>
        <c:lblOffset val="100"/>
        <c:noMultiLvlLbl val="0"/>
      </c:catAx>
      <c:valAx>
        <c:axId val="1818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6640"/>
        <c:crosses val="autoZero"/>
        <c:crossBetween val="between"/>
      </c:valAx>
      <c:valAx>
        <c:axId val="1818885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2832"/>
        <c:crosses val="max"/>
        <c:crossBetween val="between"/>
      </c:valAx>
      <c:catAx>
        <c:axId val="18188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8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(breast_news!$A$57,breast_news!$A$65,breast_news!$A$69,breast_news!$A$72)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breast_news!$G$55:$G$74</c15:sqref>
                  </c15:fullRef>
                </c:ext>
              </c:extLst>
              <c:f>(breast_news!$G$57,breast_news!$G$65,breast_news!$G$69,breast_news!$G$72)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03952"/>
        <c:axId val="1828012656"/>
      </c:barChart>
      <c:catAx>
        <c:axId val="18280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2656"/>
        <c:crosses val="autoZero"/>
        <c:auto val="0"/>
        <c:lblAlgn val="ctr"/>
        <c:lblOffset val="100"/>
        <c:noMultiLvlLbl val="0"/>
      </c:catAx>
      <c:valAx>
        <c:axId val="18280126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(breast_news!$A$55:$A$58,breast_news!$A$62:$A$74)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breast_news!$G$55:$G$61</c15:sqref>
                  </c15:fullRef>
                </c:ext>
              </c:extLst>
              <c:f>breast_news!$G$55:$G$58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19728"/>
        <c:axId val="1828005584"/>
      </c:barChart>
      <c:catAx>
        <c:axId val="182801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5584"/>
        <c:crosses val="autoZero"/>
        <c:auto val="0"/>
        <c:lblAlgn val="ctr"/>
        <c:lblOffset val="100"/>
        <c:noMultiLvlLbl val="0"/>
      </c:catAx>
      <c:valAx>
        <c:axId val="18280055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15376"/>
        <c:axId val="1828015920"/>
      </c:barChart>
      <c:catAx>
        <c:axId val="182801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5920"/>
        <c:crosses val="autoZero"/>
        <c:auto val="0"/>
        <c:lblAlgn val="ctr"/>
        <c:lblOffset val="100"/>
        <c:noMultiLvlLbl val="0"/>
      </c:catAx>
      <c:valAx>
        <c:axId val="18280159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breast_news!$G$127:$G$129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06128"/>
        <c:axId val="1828007760"/>
      </c:barChart>
      <c:catAx>
        <c:axId val="18280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7760"/>
        <c:crosses val="autoZero"/>
        <c:auto val="0"/>
        <c:lblAlgn val="ctr"/>
        <c:lblOffset val="100"/>
        <c:noMultiLvlLbl val="0"/>
      </c:catAx>
      <c:valAx>
        <c:axId val="1828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breast_news!$T$143:$T$147</c15:sqref>
                  </c15:fullRef>
                </c:ext>
              </c:extLst>
              <c:f>breast_news!$T$143:$T$146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14288"/>
        <c:axId val="1828008304"/>
      </c:barChart>
      <c:catAx>
        <c:axId val="1828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8304"/>
        <c:crosses val="autoZero"/>
        <c:auto val="0"/>
        <c:lblAlgn val="ctr"/>
        <c:lblOffset val="100"/>
        <c:noMultiLvlLbl val="0"/>
      </c:catAx>
      <c:valAx>
        <c:axId val="18280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breast_news!$T$175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plus>
            <c:min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breast_news!$R$176:$R$180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  <c:pt idx="4">
                  <c:v>strategy4(100000)</c:v>
                </c:pt>
              </c:strCache>
            </c:strRef>
          </c:cat>
          <c:val>
            <c:numRef>
              <c:f>breast_news!$T$176:$T$180</c:f>
              <c:numCache>
                <c:formatCode>General</c:formatCode>
                <c:ptCount val="5"/>
                <c:pt idx="0">
                  <c:v>13.492063492063492</c:v>
                </c:pt>
                <c:pt idx="1">
                  <c:v>5.5158730158730158</c:v>
                </c:pt>
                <c:pt idx="2">
                  <c:v>-1.5079365079365079</c:v>
                </c:pt>
                <c:pt idx="3">
                  <c:v>7.8968253968253963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08848"/>
        <c:axId val="1828018096"/>
      </c:barChart>
      <c:catAx>
        <c:axId val="18280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8096"/>
        <c:crosses val="autoZero"/>
        <c:auto val="0"/>
        <c:lblAlgn val="ctr"/>
        <c:lblOffset val="100"/>
        <c:noMultiLvlLbl val="0"/>
      </c:catAx>
      <c:valAx>
        <c:axId val="1828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18640"/>
        <c:axId val="1828020816"/>
      </c:lineChart>
      <c:lineChart>
        <c:grouping val="standard"/>
        <c:varyColors val="0"/>
        <c:ser>
          <c:idx val="0"/>
          <c:order val="1"/>
          <c:tx>
            <c:strRef>
              <c:f>pems_new!$O$11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pems_new!$O$12:$O$19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21360"/>
        <c:axId val="1828004496"/>
      </c:lineChart>
      <c:catAx>
        <c:axId val="18280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0816"/>
        <c:crosses val="autoZero"/>
        <c:auto val="1"/>
        <c:lblAlgn val="ctr"/>
        <c:lblOffset val="100"/>
        <c:noMultiLvlLbl val="0"/>
      </c:catAx>
      <c:valAx>
        <c:axId val="182802081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8640"/>
        <c:crosses val="autoZero"/>
        <c:crossBetween val="between"/>
      </c:valAx>
      <c:valAx>
        <c:axId val="1828004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1360"/>
        <c:crosses val="max"/>
        <c:crossBetween val="between"/>
      </c:valAx>
      <c:catAx>
        <c:axId val="182802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00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22448"/>
        <c:axId val="1828022992"/>
      </c:barChart>
      <c:catAx>
        <c:axId val="18280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2992"/>
        <c:crosses val="autoZero"/>
        <c:auto val="0"/>
        <c:lblAlgn val="ctr"/>
        <c:lblOffset val="100"/>
        <c:noMultiLvlLbl val="0"/>
      </c:catAx>
      <c:valAx>
        <c:axId val="1828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23536"/>
        <c:axId val="1828025168"/>
      </c:barChart>
      <c:catAx>
        <c:axId val="182802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5168"/>
        <c:crosses val="autoZero"/>
        <c:auto val="0"/>
        <c:lblAlgn val="ctr"/>
        <c:lblOffset val="100"/>
        <c:noMultiLvlLbl val="0"/>
      </c:catAx>
      <c:valAx>
        <c:axId val="18280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27888"/>
        <c:axId val="1828027344"/>
      </c:barChart>
      <c:catAx>
        <c:axId val="18280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7344"/>
        <c:crosses val="autoZero"/>
        <c:auto val="0"/>
        <c:lblAlgn val="ctr"/>
        <c:lblOffset val="100"/>
        <c:noMultiLvlLbl val="0"/>
      </c:catAx>
      <c:valAx>
        <c:axId val="18280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75008"/>
        <c:axId val="1818875552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84256"/>
        <c:axId val="1818878272"/>
      </c:lineChart>
      <c:catAx>
        <c:axId val="18188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5552"/>
        <c:crosses val="autoZero"/>
        <c:auto val="1"/>
        <c:lblAlgn val="ctr"/>
        <c:lblOffset val="100"/>
        <c:noMultiLvlLbl val="0"/>
      </c:catAx>
      <c:valAx>
        <c:axId val="18188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5008"/>
        <c:crosses val="autoZero"/>
        <c:crossBetween val="between"/>
      </c:valAx>
      <c:valAx>
        <c:axId val="1818878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4256"/>
        <c:crosses val="max"/>
        <c:crossBetween val="between"/>
      </c:valAx>
      <c:catAx>
        <c:axId val="18188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87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26800"/>
        <c:axId val="1828011568"/>
      </c:barChart>
      <c:catAx>
        <c:axId val="18280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1568"/>
        <c:crosses val="autoZero"/>
        <c:auto val="0"/>
        <c:lblAlgn val="ctr"/>
        <c:lblOffset val="100"/>
        <c:noMultiLvlLbl val="0"/>
      </c:catAx>
      <c:valAx>
        <c:axId val="1828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(pems_new!$A$57,pems_new!$A$63,pems_new!$A$65,pems_new!$A$69,pems_new!$A$72)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pems_new!$G$55:$G$71</c15:sqref>
                  </c15:fullRef>
                </c:ext>
              </c:extLst>
              <c:f>(pems_new!$G$57,pems_new!$G$63,pems_new!$G$65,pems_new!$G$69)</c:f>
              <c:numCache>
                <c:formatCode>General</c:formatCode>
                <c:ptCount val="4"/>
                <c:pt idx="0">
                  <c:v>-100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32240"/>
        <c:axId val="1828028976"/>
      </c:barChart>
      <c:catAx>
        <c:axId val="18280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8976"/>
        <c:crosses val="autoZero"/>
        <c:auto val="0"/>
        <c:lblAlgn val="ctr"/>
        <c:lblOffset val="100"/>
        <c:noMultiLvlLbl val="0"/>
      </c:catAx>
      <c:valAx>
        <c:axId val="18280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pems_new!$G$55:$G$59</c15:sqref>
                  </c15:fullRef>
                </c:ext>
              </c:extLst>
              <c:f>pems_new!$G$55:$G$58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29520"/>
        <c:axId val="1828033872"/>
      </c:barChart>
      <c:catAx>
        <c:axId val="182802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3872"/>
        <c:crosses val="autoZero"/>
        <c:auto val="0"/>
        <c:lblAlgn val="ctr"/>
        <c:lblOffset val="100"/>
        <c:noMultiLvlLbl val="0"/>
      </c:catAx>
      <c:valAx>
        <c:axId val="18280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pems_new!$A$60:$A$64</c15:sqref>
                  </c15:fullRef>
                </c:ext>
              </c:extLst>
              <c:f>pems_new!$A$60:$A$63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pems_new!$G$60:$G$64</c15:sqref>
                  </c15:fullRef>
                </c:ext>
              </c:extLst>
              <c:f>pems_new!$G$60:$G$63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34960"/>
        <c:axId val="1828030608"/>
      </c:barChart>
      <c:catAx>
        <c:axId val="18280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0608"/>
        <c:crosses val="autoZero"/>
        <c:auto val="0"/>
        <c:lblAlgn val="ctr"/>
        <c:lblOffset val="100"/>
        <c:noMultiLvlLbl val="0"/>
      </c:catAx>
      <c:valAx>
        <c:axId val="18280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pems_new!$A$67:$A$71</c15:sqref>
                  </c15:fullRef>
                </c:ext>
              </c:extLst>
              <c:f>pems_new!$A$67:$A$70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pems_new!$G$67:$G$71</c15:sqref>
                  </c15:fullRef>
                </c:ext>
              </c:extLst>
              <c:f>pems_new!$G$67:$G$70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36592"/>
        <c:axId val="1828031696"/>
      </c:barChart>
      <c:catAx>
        <c:axId val="18280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1696"/>
        <c:crosses val="autoZero"/>
        <c:auto val="0"/>
        <c:lblAlgn val="ctr"/>
        <c:lblOffset val="100"/>
        <c:noMultiLvlLbl val="0"/>
      </c:catAx>
      <c:valAx>
        <c:axId val="18280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037136"/>
        <c:axId val="1828037680"/>
      </c:barChart>
      <c:catAx>
        <c:axId val="18280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7680"/>
        <c:crosses val="autoZero"/>
        <c:auto val="0"/>
        <c:lblAlgn val="ctr"/>
        <c:lblOffset val="100"/>
        <c:noMultiLvlLbl val="0"/>
      </c:catAx>
      <c:valAx>
        <c:axId val="18280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pems_new!$T$122:$T$126</c:f>
              <c:numCache>
                <c:formatCode>General</c:formatCode>
                <c:ptCount val="5"/>
                <c:pt idx="0">
                  <c:v>82.302771855010661</c:v>
                </c:pt>
                <c:pt idx="1">
                  <c:v>81.971096896470044</c:v>
                </c:pt>
                <c:pt idx="2">
                  <c:v>-17.614309405354174</c:v>
                </c:pt>
                <c:pt idx="3">
                  <c:v>-19.059464581852648</c:v>
                </c:pt>
                <c:pt idx="4">
                  <c:v>26.012793176972281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93696"/>
        <c:axId val="1830690976"/>
      </c:barChart>
      <c:catAx>
        <c:axId val="18306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0976"/>
        <c:crosses val="autoZero"/>
        <c:auto val="0"/>
        <c:lblAlgn val="ctr"/>
        <c:lblOffset val="100"/>
        <c:noMultiLvlLbl val="0"/>
      </c:catAx>
      <c:valAx>
        <c:axId val="18306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01312"/>
        <c:axId val="1830706752"/>
      </c:barChart>
      <c:catAx>
        <c:axId val="18307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6752"/>
        <c:crosses val="autoZero"/>
        <c:auto val="0"/>
        <c:lblAlgn val="ctr"/>
        <c:lblOffset val="100"/>
        <c:noMultiLvlLbl val="0"/>
      </c:catAx>
      <c:valAx>
        <c:axId val="1830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04576"/>
        <c:axId val="1830692064"/>
      </c:barChart>
      <c:catAx>
        <c:axId val="18307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2064"/>
        <c:crosses val="autoZero"/>
        <c:auto val="0"/>
        <c:lblAlgn val="ctr"/>
        <c:lblOffset val="100"/>
        <c:noMultiLvlLbl val="0"/>
      </c:catAx>
      <c:valAx>
        <c:axId val="1830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94784"/>
        <c:axId val="1830693152"/>
      </c:barChart>
      <c:catAx>
        <c:axId val="18306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152"/>
        <c:crosses val="autoZero"/>
        <c:auto val="0"/>
        <c:lblAlgn val="ctr"/>
        <c:lblOffset val="100"/>
        <c:noMultiLvlLbl val="0"/>
      </c:catAx>
      <c:valAx>
        <c:axId val="18306931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85888"/>
        <c:axId val="1818879904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79360"/>
        <c:axId val="1818882624"/>
      </c:lineChart>
      <c:catAx>
        <c:axId val="181888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9904"/>
        <c:crosses val="autoZero"/>
        <c:auto val="1"/>
        <c:lblAlgn val="ctr"/>
        <c:lblOffset val="100"/>
        <c:noMultiLvlLbl val="0"/>
      </c:catAx>
      <c:valAx>
        <c:axId val="1818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5888"/>
        <c:crosses val="autoZero"/>
        <c:crossBetween val="between"/>
      </c:valAx>
      <c:valAx>
        <c:axId val="181888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9360"/>
        <c:crosses val="max"/>
        <c:crossBetween val="between"/>
      </c:valAx>
      <c:catAx>
        <c:axId val="18188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8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02400"/>
        <c:axId val="1830691520"/>
      </c:lineChart>
      <c:lineChart>
        <c:grouping val="standard"/>
        <c:varyColors val="0"/>
        <c:ser>
          <c:idx val="0"/>
          <c:order val="1"/>
          <c:tx>
            <c:strRef>
              <c:f>'breast_confidence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08384"/>
        <c:axId val="1830706208"/>
      </c:lineChart>
      <c:catAx>
        <c:axId val="18307024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1520"/>
        <c:crosses val="autoZero"/>
        <c:auto val="1"/>
        <c:lblAlgn val="ctr"/>
        <c:lblOffset val="100"/>
        <c:noMultiLvlLbl val="0"/>
      </c:catAx>
      <c:valAx>
        <c:axId val="18306915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2400"/>
        <c:crosses val="autoZero"/>
        <c:crossBetween val="between"/>
      </c:valAx>
      <c:valAx>
        <c:axId val="1830706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384"/>
        <c:crosses val="max"/>
        <c:crossBetween val="between"/>
      </c:valAx>
      <c:catAx>
        <c:axId val="183070838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3070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97504"/>
        <c:axId val="1830708928"/>
      </c:barChart>
      <c:catAx>
        <c:axId val="183069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928"/>
        <c:crosses val="autoZero"/>
        <c:auto val="0"/>
        <c:lblAlgn val="ctr"/>
        <c:lblOffset val="100"/>
        <c:noMultiLvlLbl val="0"/>
      </c:catAx>
      <c:valAx>
        <c:axId val="18307089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98048"/>
        <c:axId val="1830699680"/>
      </c:barChart>
      <c:catAx>
        <c:axId val="18306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9680"/>
        <c:crosses val="autoZero"/>
        <c:auto val="0"/>
        <c:lblAlgn val="ctr"/>
        <c:lblOffset val="100"/>
        <c:noMultiLvlLbl val="0"/>
      </c:catAx>
      <c:valAx>
        <c:axId val="183069968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'breast_confidence interval'!$G$70:$G$75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07840"/>
        <c:axId val="1830692608"/>
      </c:barChart>
      <c:catAx>
        <c:axId val="183070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2608"/>
        <c:crosses val="autoZero"/>
        <c:auto val="0"/>
        <c:lblAlgn val="ctr"/>
        <c:lblOffset val="100"/>
        <c:noMultiLvlLbl val="0"/>
      </c:catAx>
      <c:valAx>
        <c:axId val="183069260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11104"/>
        <c:axId val="1830718720"/>
      </c:barChart>
      <c:catAx>
        <c:axId val="18307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8720"/>
        <c:crosses val="autoZero"/>
        <c:auto val="0"/>
        <c:lblAlgn val="ctr"/>
        <c:lblOffset val="100"/>
        <c:noMultiLvlLbl val="0"/>
      </c:catAx>
      <c:valAx>
        <c:axId val="18307187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12736"/>
        <c:axId val="1830716544"/>
      </c:barChart>
      <c:catAx>
        <c:axId val="183071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6544"/>
        <c:crosses val="autoZero"/>
        <c:auto val="0"/>
        <c:lblAlgn val="ctr"/>
        <c:lblOffset val="100"/>
        <c:noMultiLvlLbl val="0"/>
      </c:catAx>
      <c:valAx>
        <c:axId val="18307165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interval'!$A$57,'breast_confidence interval'!$A$65,'breast_confidence interval'!$A$69,'breast_confidence interval'!$A$72)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interval'!$G$55:$G$74</c15:sqref>
                  </c15:fullRef>
                </c:ext>
              </c:extLst>
              <c:f>('breast_confidence interval'!$G$57,'breast_confidence interval'!$G$65,'breast_confidence interval'!$G$69,'breast_confidence interval'!$G$72)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11648"/>
        <c:axId val="1830712192"/>
      </c:barChart>
      <c:catAx>
        <c:axId val="18307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2192"/>
        <c:crosses val="autoZero"/>
        <c:auto val="0"/>
        <c:lblAlgn val="ctr"/>
        <c:lblOffset val="100"/>
        <c:noMultiLvlLbl val="0"/>
      </c:catAx>
      <c:valAx>
        <c:axId val="18307121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interval'!$A$55:$A$58,'breast_confidence interval'!$A$62:$A$74)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interval'!$G$55:$G$61</c15:sqref>
                  </c15:fullRef>
                </c:ext>
              </c:extLst>
              <c:f>'breast_confidence interval'!$G$55:$G$58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24160"/>
        <c:axId val="1830721984"/>
      </c:barChart>
      <c:catAx>
        <c:axId val="183072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1984"/>
        <c:crosses val="autoZero"/>
        <c:auto val="0"/>
        <c:lblAlgn val="ctr"/>
        <c:lblOffset val="100"/>
        <c:noMultiLvlLbl val="0"/>
      </c:catAx>
      <c:valAx>
        <c:axId val="18307219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15456"/>
        <c:axId val="1830716000"/>
      </c:barChart>
      <c:catAx>
        <c:axId val="18307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6000"/>
        <c:crosses val="autoZero"/>
        <c:auto val="0"/>
        <c:lblAlgn val="ctr"/>
        <c:lblOffset val="100"/>
        <c:noMultiLvlLbl val="0"/>
      </c:catAx>
      <c:valAx>
        <c:axId val="183071600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'breast_confidence interval'!$G$127:$G$129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21440"/>
        <c:axId val="1830718176"/>
      </c:barChart>
      <c:catAx>
        <c:axId val="18307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8176"/>
        <c:crosses val="autoZero"/>
        <c:auto val="0"/>
        <c:lblAlgn val="ctr"/>
        <c:lblOffset val="100"/>
        <c:noMultiLvlLbl val="0"/>
      </c:catAx>
      <c:valAx>
        <c:axId val="18307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Foglio2!$B$2:$B$12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105</c:v>
                </c:pt>
                <c:pt idx="3">
                  <c:v>113</c:v>
                </c:pt>
                <c:pt idx="4">
                  <c:v>116</c:v>
                </c:pt>
                <c:pt idx="5">
                  <c:v>116</c:v>
                </c:pt>
                <c:pt idx="6">
                  <c:v>120</c:v>
                </c:pt>
                <c:pt idx="7">
                  <c:v>354</c:v>
                </c:pt>
                <c:pt idx="8">
                  <c:v>662</c:v>
                </c:pt>
                <c:pt idx="9">
                  <c:v>4017</c:v>
                </c:pt>
                <c:pt idx="10">
                  <c:v>22011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104</c:v>
                </c:pt>
                <c:pt idx="9">
                  <c:v>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  <a:headEnd type="none"/>
                <a:tailEnd type="oval"/>
              </a:ln>
              <a:effectLst/>
            </c:spPr>
          </c:dPt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Foglio2!$D$2:$D$12</c:f>
              <c:numCache>
                <c:formatCode>General</c:formatCode>
                <c:ptCount val="11"/>
                <c:pt idx="0">
                  <c:v>267</c:v>
                </c:pt>
                <c:pt idx="1">
                  <c:v>271</c:v>
                </c:pt>
                <c:pt idx="2">
                  <c:v>279</c:v>
                </c:pt>
                <c:pt idx="3">
                  <c:v>275</c:v>
                </c:pt>
                <c:pt idx="4">
                  <c:v>279</c:v>
                </c:pt>
                <c:pt idx="5">
                  <c:v>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73920"/>
        <c:axId val="1818871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Foglio2!$E$1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Foglio2!$A$2:$A$12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28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25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Foglio2!$E$2:$E$7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240</c:v>
                      </c:pt>
                      <c:pt idx="3">
                        <c:v>295</c:v>
                      </c:pt>
                      <c:pt idx="4">
                        <c:v>296</c:v>
                      </c:pt>
                      <c:pt idx="5">
                        <c:v>362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18873920"/>
        <c:scaling>
          <c:orientation val="maxMin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1744"/>
        <c:crosses val="autoZero"/>
        <c:crossBetween val="midCat"/>
        <c:majorUnit val="1"/>
      </c:valAx>
      <c:valAx>
        <c:axId val="181887174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050" baseline="0">
                    <a:solidFill>
                      <a:sysClr val="windowText" lastClr="000000"/>
                    </a:solidFill>
                  </a:rPr>
                  <a:t> time (sec)</a:t>
                </a:r>
                <a:endParaRPr lang="it-IT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interval'!$T$143:$T$147</c15:sqref>
                  </c15:fullRef>
                </c:ext>
              </c:extLst>
              <c:f>'breast_confidence interval'!$T$143:$T$146</c:f>
              <c:numCache>
                <c:formatCode>General</c:formatCode>
                <c:ptCount val="4"/>
                <c:pt idx="0">
                  <c:v>7.6472025409235229</c:v>
                </c:pt>
                <c:pt idx="1">
                  <c:v>-1.3133208255159412</c:v>
                </c:pt>
                <c:pt idx="2">
                  <c:v>-8.1854607899255782</c:v>
                </c:pt>
                <c:pt idx="3">
                  <c:v>-20.921305182341651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09472"/>
        <c:axId val="1830725248"/>
      </c:barChart>
      <c:catAx>
        <c:axId val="183070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5248"/>
        <c:crosses val="autoZero"/>
        <c:auto val="0"/>
        <c:lblAlgn val="ctr"/>
        <c:lblOffset val="100"/>
        <c:noMultiLvlLbl val="0"/>
      </c:catAx>
      <c:valAx>
        <c:axId val="1830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'pems_confidence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'pems_confidence interval'!$Q$2:$Q$9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'pems_confidence interval'!$R$34:$R$41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33952"/>
        <c:axId val="1830741024"/>
      </c:lineChart>
      <c:lineChart>
        <c:grouping val="standard"/>
        <c:varyColors val="0"/>
        <c:ser>
          <c:idx val="0"/>
          <c:order val="1"/>
          <c:tx>
            <c:strRef>
              <c:f>'pems_confidence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'pems_confidence interval'!$O$12:$O$19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31232"/>
        <c:axId val="1830737760"/>
      </c:lineChart>
      <c:catAx>
        <c:axId val="183073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1024"/>
        <c:crosses val="autoZero"/>
        <c:auto val="1"/>
        <c:lblAlgn val="ctr"/>
        <c:lblOffset val="100"/>
        <c:noMultiLvlLbl val="0"/>
      </c:catAx>
      <c:valAx>
        <c:axId val="183074102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3952"/>
        <c:crosses val="autoZero"/>
        <c:crossBetween val="between"/>
      </c:valAx>
      <c:valAx>
        <c:axId val="1830737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1232"/>
        <c:crosses val="max"/>
        <c:crossBetween val="between"/>
      </c:valAx>
      <c:catAx>
        <c:axId val="183073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073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1568"/>
        <c:axId val="1830738848"/>
      </c:barChart>
      <c:catAx>
        <c:axId val="18307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8848"/>
        <c:crosses val="autoZero"/>
        <c:auto val="0"/>
        <c:lblAlgn val="ctr"/>
        <c:lblOffset val="100"/>
        <c:noMultiLvlLbl val="0"/>
      </c:catAx>
      <c:valAx>
        <c:axId val="18307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0480"/>
        <c:axId val="1830727968"/>
      </c:barChart>
      <c:catAx>
        <c:axId val="18307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7968"/>
        <c:crosses val="autoZero"/>
        <c:auto val="0"/>
        <c:lblAlgn val="ctr"/>
        <c:lblOffset val="100"/>
        <c:noMultiLvlLbl val="0"/>
      </c:catAx>
      <c:valAx>
        <c:axId val="1830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'pems_confidence interval'!$G$60:$G$64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34496"/>
        <c:axId val="1830736672"/>
      </c:barChart>
      <c:catAx>
        <c:axId val="18307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6672"/>
        <c:crosses val="autoZero"/>
        <c:auto val="0"/>
        <c:lblAlgn val="ctr"/>
        <c:lblOffset val="100"/>
        <c:noMultiLvlLbl val="0"/>
      </c:catAx>
      <c:valAx>
        <c:axId val="1830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'pems_confidence interval'!$G$67:$G$71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2656"/>
        <c:axId val="1830731776"/>
      </c:barChart>
      <c:catAx>
        <c:axId val="18307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1776"/>
        <c:crosses val="autoZero"/>
        <c:auto val="0"/>
        <c:lblAlgn val="ctr"/>
        <c:lblOffset val="100"/>
        <c:noMultiLvlLbl val="0"/>
      </c:catAx>
      <c:valAx>
        <c:axId val="1830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interval'!$A$57,'pems_confidence interval'!$A$63,'pems_confidence interval'!$A$65,'pems_confidence interval'!$A$69,'pems_confidence interval'!$A$72)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interval'!$G$55:$G$71</c15:sqref>
                  </c15:fullRef>
                </c:ext>
              </c:extLst>
              <c:f>('pems_confidence interval'!$G$57,'pems_confidence interval'!$G$63,'pems_confidence interval'!$G$65,'pems_confidence interval'!$G$69)</c:f>
              <c:numCache>
                <c:formatCode>General</c:formatCode>
                <c:ptCount val="4"/>
                <c:pt idx="0">
                  <c:v>-34.61265103056148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28512"/>
        <c:axId val="1830732864"/>
      </c:barChart>
      <c:catAx>
        <c:axId val="183072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2864"/>
        <c:crosses val="autoZero"/>
        <c:auto val="0"/>
        <c:lblAlgn val="ctr"/>
        <c:lblOffset val="100"/>
        <c:noMultiLvlLbl val="0"/>
      </c:catAx>
      <c:valAx>
        <c:axId val="1830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interval'!$A$55:$A$58,'pems_confidence interval'!$A$60:$A$72)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interval'!$G$55:$G$59</c15:sqref>
                  </c15:fullRef>
                </c:ext>
              </c:extLst>
              <c:f>'pems_confidence interval'!$G$55:$G$58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3744"/>
        <c:axId val="1830727424"/>
      </c:barChart>
      <c:catAx>
        <c:axId val="183074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7424"/>
        <c:crosses val="autoZero"/>
        <c:auto val="0"/>
        <c:lblAlgn val="ctr"/>
        <c:lblOffset val="100"/>
        <c:noMultiLvlLbl val="0"/>
      </c:catAx>
      <c:valAx>
        <c:axId val="1830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interval'!$A$60:$A$64</c15:sqref>
                  </c15:fullRef>
                </c:ext>
              </c:extLst>
              <c:f>'pems_confidence interval'!$A$60:$A$63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interval'!$G$60:$G$64</c15:sqref>
                  </c15:fullRef>
                </c:ext>
              </c:extLst>
              <c:f>'pems_confidence interval'!$G$60:$G$63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5376"/>
        <c:axId val="1830729056"/>
      </c:barChart>
      <c:catAx>
        <c:axId val="183074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9056"/>
        <c:crosses val="autoZero"/>
        <c:auto val="0"/>
        <c:lblAlgn val="ctr"/>
        <c:lblOffset val="100"/>
        <c:noMultiLvlLbl val="0"/>
      </c:catAx>
      <c:valAx>
        <c:axId val="1830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interval'!$A$67:$A$71</c15:sqref>
                  </c15:fullRef>
                </c:ext>
              </c:extLst>
              <c:f>'pems_confidence interval'!$A$67:$A$70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interval'!$G$67:$G$71</c15:sqref>
                  </c15:fullRef>
                </c:ext>
              </c:extLst>
              <c:f>'pems_confidence interval'!$G$67:$G$70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6464"/>
        <c:axId val="1830747008"/>
      </c:barChart>
      <c:catAx>
        <c:axId val="183074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7008"/>
        <c:crosses val="autoZero"/>
        <c:auto val="0"/>
        <c:lblAlgn val="ctr"/>
        <c:lblOffset val="100"/>
        <c:noMultiLvlLbl val="0"/>
      </c:catAx>
      <c:valAx>
        <c:axId val="18307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Foglio3!$B$3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Foglio3!$B$4:$B$10</c:f>
              <c:numCache>
                <c:formatCode>General</c:formatCode>
                <c:ptCount val="7"/>
                <c:pt idx="0">
                  <c:v>113</c:v>
                </c:pt>
                <c:pt idx="1">
                  <c:v>121</c:v>
                </c:pt>
                <c:pt idx="2">
                  <c:v>247</c:v>
                </c:pt>
                <c:pt idx="3">
                  <c:v>1213</c:v>
                </c:pt>
                <c:pt idx="4">
                  <c:v>5102</c:v>
                </c:pt>
                <c:pt idx="5">
                  <c:v>12270</c:v>
                </c:pt>
                <c:pt idx="6">
                  <c:v>13024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Foglio3!$C$3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155</c:v>
                </c:pt>
                <c:pt idx="4">
                  <c:v>15022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Foglio3!$E$3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Foglio3!$E$4:$E$9</c:f>
              <c:numCache>
                <c:formatCode>General</c:formatCode>
                <c:ptCount val="6"/>
                <c:pt idx="0">
                  <c:v>167</c:v>
                </c:pt>
                <c:pt idx="1">
                  <c:v>189</c:v>
                </c:pt>
                <c:pt idx="2">
                  <c:v>645</c:v>
                </c:pt>
                <c:pt idx="3">
                  <c:v>5160</c:v>
                </c:pt>
                <c:pt idx="4">
                  <c:v>52080</c:v>
                </c:pt>
                <c:pt idx="5">
                  <c:v>207150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74464"/>
        <c:axId val="1818872288"/>
        <c:extLst/>
      </c:scatterChart>
      <c:valAx>
        <c:axId val="1818874464"/>
        <c:scaling>
          <c:orientation val="maxMin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2288"/>
        <c:crosses val="autoZero"/>
        <c:crossBetween val="midCat"/>
        <c:majorUnit val="1"/>
      </c:valAx>
      <c:valAx>
        <c:axId val="1818872288"/>
        <c:scaling>
          <c:logBase val="10"/>
          <c:orientation val="minMax"/>
          <c:max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'pems_confidence interval'!$G$95:$G$97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30688"/>
        <c:axId val="1830747552"/>
      </c:barChart>
      <c:catAx>
        <c:axId val="183073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7552"/>
        <c:crosses val="autoZero"/>
        <c:auto val="0"/>
        <c:lblAlgn val="ctr"/>
        <c:lblOffset val="100"/>
        <c:noMultiLvlLbl val="0"/>
      </c:catAx>
      <c:valAx>
        <c:axId val="1830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interval'!$T$122:$T$126</c:f>
              <c:numCache>
                <c:formatCode>General</c:formatCode>
                <c:ptCount val="5"/>
                <c:pt idx="0">
                  <c:v>45.146198830409354</c:v>
                </c:pt>
                <c:pt idx="1">
                  <c:v>45.046217940372351</c:v>
                </c:pt>
                <c:pt idx="2">
                  <c:v>-21.380301941049595</c:v>
                </c:pt>
                <c:pt idx="3">
                  <c:v>-23.547490121469348</c:v>
                </c:pt>
                <c:pt idx="4">
                  <c:v>20.642978003384094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49184"/>
        <c:axId val="1830749728"/>
      </c:barChart>
      <c:catAx>
        <c:axId val="18307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9728"/>
        <c:crosses val="autoZero"/>
        <c:auto val="0"/>
        <c:lblAlgn val="ctr"/>
        <c:lblOffset val="100"/>
        <c:noMultiLvlLbl val="0"/>
      </c:catAx>
      <c:valAx>
        <c:axId val="1830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plus>
            <c:min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interval'!$T$154:$T$158</c:f>
              <c:numCache>
                <c:formatCode>General</c:formatCode>
                <c:ptCount val="5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  <c:pt idx="4">
                  <c:v>-21.136461472234181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4624"/>
        <c:axId val="1830750816"/>
      </c:barChart>
      <c:catAx>
        <c:axId val="18307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0816"/>
        <c:crosses val="autoZero"/>
        <c:auto val="0"/>
        <c:lblAlgn val="ctr"/>
        <c:lblOffset val="100"/>
        <c:noMultiLvlLbl val="0"/>
      </c:catAx>
      <c:valAx>
        <c:axId val="1830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interval'!$R$154:$R$158</c15:sqref>
                  </c15:fullRef>
                </c:ext>
              </c:extLst>
              <c:f>'pems_confidence interval'!$R$154:$R$157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interval'!$T$154:$T$158</c15:sqref>
                  </c15:fullRef>
                </c:ext>
              </c:extLst>
              <c:f>'pems_confidence interval'!$T$154:$T$157</c:f>
              <c:numCache>
                <c:formatCode>General</c:formatCode>
                <c:ptCount val="4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2448"/>
        <c:axId val="1830752992"/>
      </c:barChart>
      <c:catAx>
        <c:axId val="18307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2992"/>
        <c:crosses val="autoZero"/>
        <c:auto val="0"/>
        <c:lblAlgn val="ctr"/>
        <c:lblOffset val="100"/>
        <c:noMultiLvlLbl val="0"/>
      </c:catAx>
      <c:valAx>
        <c:axId val="18307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interval_back'!$G$55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plus>
            <c:min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interval_back'!$A$56:$A$65</c:f>
              <c:strCache>
                <c:ptCount val="10"/>
                <c:pt idx="0">
                  <c:v>strategy1(10)</c:v>
                </c:pt>
                <c:pt idx="1">
                  <c:v>strategy1(100)</c:v>
                </c:pt>
                <c:pt idx="2">
                  <c:v>strategy1(1000)</c:v>
                </c:pt>
                <c:pt idx="3">
                  <c:v>strategy2(10)</c:v>
                </c:pt>
                <c:pt idx="4">
                  <c:v>strategy2(100)</c:v>
                </c:pt>
                <c:pt idx="5">
                  <c:v>strategy2(1000)</c:v>
                </c:pt>
                <c:pt idx="6">
                  <c:v>strategy3</c:v>
                </c:pt>
                <c:pt idx="7">
                  <c:v>strategy4(10)</c:v>
                </c:pt>
                <c:pt idx="8">
                  <c:v>strategy4(100)</c:v>
                </c:pt>
                <c:pt idx="9">
                  <c:v>strategy4(1000)</c:v>
                </c:pt>
              </c:strCache>
            </c:strRef>
          </c:cat>
          <c:val>
            <c:numRef>
              <c:f>'breast_confidence interval_back'!$G$56:$G$65</c:f>
              <c:numCache>
                <c:formatCode>General</c:formatCode>
                <c:ptCount val="10"/>
                <c:pt idx="0">
                  <c:v>6.3789359391965199</c:v>
                </c:pt>
                <c:pt idx="1">
                  <c:v>-4.9674267100977199</c:v>
                </c:pt>
                <c:pt idx="2">
                  <c:v>-21.118349619978289</c:v>
                </c:pt>
                <c:pt idx="3">
                  <c:v>6.677524429967427</c:v>
                </c:pt>
                <c:pt idx="4">
                  <c:v>-5.2660152008686278</c:v>
                </c:pt>
                <c:pt idx="5">
                  <c:v>-19.598262757871876</c:v>
                </c:pt>
                <c:pt idx="6">
                  <c:v>-4.9674267100977199</c:v>
                </c:pt>
                <c:pt idx="7">
                  <c:v>5.7817589576547226</c:v>
                </c:pt>
                <c:pt idx="8">
                  <c:v>-5.2660152008686278</c:v>
                </c:pt>
                <c:pt idx="9">
                  <c:v>-20.955483170466888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5168"/>
        <c:axId val="1830755712"/>
      </c:barChart>
      <c:catAx>
        <c:axId val="18307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5712"/>
        <c:crosses val="autoZero"/>
        <c:auto val="0"/>
        <c:lblAlgn val="ctr"/>
        <c:lblOffset val="100"/>
        <c:noMultiLvlLbl val="0"/>
      </c:catAx>
      <c:valAx>
        <c:axId val="18307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interval_back'!$K$11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'breast_confidence interval_back'!$K$12:$K$19</c:f>
              <c:numCache>
                <c:formatCode>0</c:formatCode>
                <c:ptCount val="8"/>
                <c:pt idx="0">
                  <c:v>1713</c:v>
                </c:pt>
                <c:pt idx="1">
                  <c:v>1533</c:v>
                </c:pt>
                <c:pt idx="2">
                  <c:v>1414</c:v>
                </c:pt>
                <c:pt idx="3">
                  <c:v>1287</c:v>
                </c:pt>
                <c:pt idx="4">
                  <c:v>1228</c:v>
                </c:pt>
                <c:pt idx="5">
                  <c:v>1258</c:v>
                </c:pt>
                <c:pt idx="6">
                  <c:v>1276</c:v>
                </c:pt>
                <c:pt idx="7">
                  <c:v>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88784"/>
        <c:axId val="1829685520"/>
      </c:lineChart>
      <c:lineChart>
        <c:grouping val="standard"/>
        <c:varyColors val="0"/>
        <c:ser>
          <c:idx val="0"/>
          <c:order val="1"/>
          <c:tx>
            <c:strRef>
              <c:f>'breast_confidence interval_back'!$O$11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'breast_confidence interval_back'!$O$12:$O$19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80080"/>
        <c:axId val="1829677904"/>
      </c:lineChart>
      <c:catAx>
        <c:axId val="182968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5520"/>
        <c:crosses val="autoZero"/>
        <c:auto val="1"/>
        <c:lblAlgn val="ctr"/>
        <c:lblOffset val="100"/>
        <c:noMultiLvlLbl val="0"/>
      </c:catAx>
      <c:valAx>
        <c:axId val="1829685520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8784"/>
        <c:crosses val="autoZero"/>
        <c:crossBetween val="between"/>
      </c:valAx>
      <c:valAx>
        <c:axId val="182967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0080"/>
        <c:crosses val="max"/>
        <c:crossBetween val="between"/>
      </c:valAx>
      <c:catAx>
        <c:axId val="182968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67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confronto_pems!$B$23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plus>
            <c:min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confronto_pems!$B$24:$B$28</c:f>
              <c:numCache>
                <c:formatCode>General</c:formatCode>
                <c:ptCount val="5"/>
                <c:pt idx="0">
                  <c:v>207</c:v>
                </c:pt>
                <c:pt idx="1">
                  <c:v>341.66666666666669</c:v>
                </c:pt>
                <c:pt idx="2">
                  <c:v>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confronto_pems!$E$23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plus>
            <c:min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confronto_pems!$E$24:$E$28</c:f>
              <c:numCache>
                <c:formatCode>General</c:formatCode>
                <c:ptCount val="5"/>
                <c:pt idx="0">
                  <c:v>143.66666666666666</c:v>
                </c:pt>
                <c:pt idx="1">
                  <c:v>157.66666666666666</c:v>
                </c:pt>
                <c:pt idx="2">
                  <c:v>159.66666666666666</c:v>
                </c:pt>
                <c:pt idx="3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confronto_pems!$H$23</c:f>
              <c:strCache>
                <c:ptCount val="1"/>
                <c:pt idx="0">
                  <c:v>PFP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plus>
            <c:min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confronto_pems!$H$24:$H$28</c:f>
              <c:numCache>
                <c:formatCode>General</c:formatCode>
                <c:ptCount val="5"/>
                <c:pt idx="0">
                  <c:v>1193.3333333333333</c:v>
                </c:pt>
                <c:pt idx="1">
                  <c:v>18680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confronto_pems!$K$23</c:f>
              <c:strCache>
                <c:ptCount val="1"/>
                <c:pt idx="0">
                  <c:v>Carpenter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confronto_pems!$M$24:$M$28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confronto_pems!$M$24:$M$28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confronto_pems!$K$24:$K$28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4"/>
          <c:tx>
            <c:strRef>
              <c:f>confronto_pems!$N$23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confronto_pems!$P$24:$P$28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confronto_pems!$P$24:$P$28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confronto_pems!$N$24:$N$28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82256"/>
        <c:axId val="1829676272"/>
      </c:scatterChart>
      <c:valAx>
        <c:axId val="1829682256"/>
        <c:scaling>
          <c:orientation val="maxMin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6272"/>
        <c:crosses val="autoZero"/>
        <c:crossBetween val="midCat"/>
      </c:valAx>
      <c:valAx>
        <c:axId val="1829676272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confronto_pems_2!$E$24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confronto_pems_2!$E$25:$E$32</c:f>
              <c:numCache>
                <c:formatCode>General</c:formatCode>
                <c:ptCount val="8"/>
                <c:pt idx="0">
                  <c:v>156</c:v>
                </c:pt>
                <c:pt idx="1">
                  <c:v>140</c:v>
                </c:pt>
                <c:pt idx="2">
                  <c:v>147</c:v>
                </c:pt>
                <c:pt idx="3">
                  <c:v>161.5</c:v>
                </c:pt>
                <c:pt idx="4">
                  <c:v>220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confronto_pems_2!$B$24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confronto_pems_2!$B$25:$B$32</c:f>
              <c:numCache>
                <c:formatCode>General</c:formatCode>
                <c:ptCount val="8"/>
                <c:pt idx="0">
                  <c:v>181</c:v>
                </c:pt>
                <c:pt idx="1">
                  <c:v>188</c:v>
                </c:pt>
                <c:pt idx="2">
                  <c:v>224</c:v>
                </c:pt>
                <c:pt idx="3">
                  <c:v>2631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confronto_pems_2!$H$24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confronto_pems_2!$H$25:$H$32</c:f>
              <c:numCache>
                <c:formatCode>General</c:formatCode>
                <c:ptCount val="8"/>
                <c:pt idx="0">
                  <c:v>202</c:v>
                </c:pt>
                <c:pt idx="1">
                  <c:v>212</c:v>
                </c:pt>
                <c:pt idx="2">
                  <c:v>50479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confronto_pems_2!$N$24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confronto_pems_2!$A$25:$A$34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confronto_pems_2!$N$25:$N$34</c:f>
              <c:numCache>
                <c:formatCode>General</c:formatCode>
                <c:ptCount val="10"/>
                <c:pt idx="0">
                  <c:v>122</c:v>
                </c:pt>
                <c:pt idx="1">
                  <c:v>123</c:v>
                </c:pt>
                <c:pt idx="2">
                  <c:v>219</c:v>
                </c:pt>
                <c:pt idx="3">
                  <c:v>402</c:v>
                </c:pt>
                <c:pt idx="4">
                  <c:v>1087</c:v>
                </c:pt>
                <c:pt idx="5">
                  <c:v>4612</c:v>
                </c:pt>
                <c:pt idx="6">
                  <c:v>17897.5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83344"/>
        <c:axId val="1829686064"/>
      </c:scatterChart>
      <c:valAx>
        <c:axId val="1829683344"/>
        <c:scaling>
          <c:orientation val="maxMin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6064"/>
        <c:crosses val="autoZero"/>
        <c:crossBetween val="midCat"/>
      </c:valAx>
      <c:valAx>
        <c:axId val="182968606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confronto_breast_2!$E$23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confronto_breast_2!$E$24:$E$28</c:f>
              <c:numCache>
                <c:formatCode>General</c:formatCode>
                <c:ptCount val="5"/>
                <c:pt idx="0">
                  <c:v>135</c:v>
                </c:pt>
                <c:pt idx="1">
                  <c:v>171</c:v>
                </c:pt>
                <c:pt idx="2">
                  <c:v>430</c:v>
                </c:pt>
                <c:pt idx="3">
                  <c:v>3061</c:v>
                </c:pt>
                <c:pt idx="4">
                  <c:v>29779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confronto_breast_2!$H$23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confronto_breast_2!$H$24:$H$28</c:f>
              <c:numCache>
                <c:formatCode>General</c:formatCode>
                <c:ptCount val="5"/>
                <c:pt idx="0">
                  <c:v>1442</c:v>
                </c:pt>
                <c:pt idx="1">
                  <c:v>5140</c:v>
                </c:pt>
                <c:pt idx="2">
                  <c:v>79288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confronto_breast_2!$N$23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confronto_breast_2!$N$24:$N$29</c:f>
              <c:numCache>
                <c:formatCode>General</c:formatCode>
                <c:ptCount val="6"/>
                <c:pt idx="0">
                  <c:v>128</c:v>
                </c:pt>
                <c:pt idx="1">
                  <c:v>153</c:v>
                </c:pt>
                <c:pt idx="2">
                  <c:v>298</c:v>
                </c:pt>
                <c:pt idx="3">
                  <c:v>1545</c:v>
                </c:pt>
                <c:pt idx="4">
                  <c:v>4663</c:v>
                </c:pt>
                <c:pt idx="5">
                  <c:v>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78448"/>
        <c:axId val="1829678992"/>
      </c:scatterChart>
      <c:valAx>
        <c:axId val="1829678448"/>
        <c:scaling>
          <c:orientation val="maxMin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  <a:endParaRPr lang="en-US" sz="11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8992"/>
        <c:crosses val="autoZero"/>
        <c:crossBetween val="midCat"/>
      </c:valAx>
      <c:valAx>
        <c:axId val="1829678992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pems_new16aprile!$R$36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pems_new16aprile!$T$37:$T$44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pems_new16aprile!$T$37:$T$44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pems_new16aprile!$R$37:$R$44</c:f>
              <c:numCache>
                <c:formatCode>General</c:formatCode>
                <c:ptCount val="8"/>
                <c:pt idx="0">
                  <c:v>7678</c:v>
                </c:pt>
                <c:pt idx="1">
                  <c:v>7575</c:v>
                </c:pt>
                <c:pt idx="2">
                  <c:v>7422</c:v>
                </c:pt>
                <c:pt idx="3">
                  <c:v>7080</c:v>
                </c:pt>
                <c:pt idx="4">
                  <c:v>7200</c:v>
                </c:pt>
                <c:pt idx="5">
                  <c:v>7519</c:v>
                </c:pt>
                <c:pt idx="6">
                  <c:v>14040</c:v>
                </c:pt>
                <c:pt idx="7">
                  <c:v>15391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89328"/>
        <c:axId val="1829675184"/>
      </c:lineChart>
      <c:lineChart>
        <c:grouping val="standard"/>
        <c:varyColors val="0"/>
        <c:ser>
          <c:idx val="0"/>
          <c:order val="1"/>
          <c:tx>
            <c:strRef>
              <c:f>pems_new16aprile!$O$36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pems_new16aprile!$O$37:$O$44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77360"/>
        <c:axId val="1829690416"/>
      </c:lineChart>
      <c:catAx>
        <c:axId val="18296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5184"/>
        <c:crosses val="autoZero"/>
        <c:auto val="1"/>
        <c:lblAlgn val="ctr"/>
        <c:lblOffset val="100"/>
        <c:noMultiLvlLbl val="0"/>
      </c:catAx>
      <c:valAx>
        <c:axId val="18296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9328"/>
        <c:crosses val="autoZero"/>
        <c:crossBetween val="between"/>
      </c:valAx>
      <c:valAx>
        <c:axId val="18296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7360"/>
        <c:crosses val="max"/>
        <c:crossBetween val="between"/>
      </c:valAx>
      <c:catAx>
        <c:axId val="182967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6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82096"/>
        <c:axId val="1825078832"/>
      </c:scatterChart>
      <c:valAx>
        <c:axId val="1825082096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8832"/>
        <c:crosses val="autoZero"/>
        <c:crossBetween val="midCat"/>
      </c:valAx>
      <c:valAx>
        <c:axId val="1825078832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baseline="0">
                    <a:effectLst/>
                  </a:rPr>
                  <a:t>Execution time (Sec)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pems_new16aprile!$G$58:$G$62</c:f>
              <c:numCache>
                <c:formatCode>General</c:formatCode>
                <c:ptCount val="5"/>
                <c:pt idx="0">
                  <c:v>5.2824858757062145</c:v>
                </c:pt>
                <c:pt idx="1">
                  <c:v>-31.341807909604519</c:v>
                </c:pt>
                <c:pt idx="2">
                  <c:v>-34.858757062146893</c:v>
                </c:pt>
                <c:pt idx="3">
                  <c:v>-42.132768361581917</c:v>
                </c:pt>
                <c:pt idx="4">
                  <c:v>-41.72316384180791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679536"/>
        <c:axId val="1829689872"/>
      </c:barChart>
      <c:catAx>
        <c:axId val="18296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9872"/>
        <c:crosses val="autoZero"/>
        <c:auto val="0"/>
        <c:lblAlgn val="ctr"/>
        <c:lblOffset val="100"/>
        <c:noMultiLvlLbl val="0"/>
      </c:catAx>
      <c:valAx>
        <c:axId val="18296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pems_new16aprile!$A$57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pems_new16aprile!$A$63:$A$67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pems_new16aprile!$G$63:$G$67</c:f>
              <c:numCache>
                <c:formatCode>General</c:formatCode>
                <c:ptCount val="5"/>
                <c:pt idx="0">
                  <c:v>-1.8926553672316386</c:v>
                </c:pt>
                <c:pt idx="1">
                  <c:v>5.5790960451977405</c:v>
                </c:pt>
                <c:pt idx="2">
                  <c:v>-7.9661016949152534</c:v>
                </c:pt>
                <c:pt idx="3">
                  <c:v>-30.635593220338986</c:v>
                </c:pt>
                <c:pt idx="4">
                  <c:v>-23.672316384180792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675728"/>
        <c:axId val="1829692592"/>
      </c:barChart>
      <c:catAx>
        <c:axId val="18296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2592"/>
        <c:crosses val="autoZero"/>
        <c:auto val="0"/>
        <c:lblAlgn val="ctr"/>
        <c:lblOffset val="100"/>
        <c:noMultiLvlLbl val="0"/>
      </c:catAx>
      <c:valAx>
        <c:axId val="1829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pems_new16aprile!$G$70:$G$74</c:f>
              <c:numCache>
                <c:formatCode>General</c:formatCode>
                <c:ptCount val="5"/>
                <c:pt idx="0">
                  <c:v>-0.87570621468926557</c:v>
                </c:pt>
                <c:pt idx="1">
                  <c:v>-6.9632768361581912</c:v>
                </c:pt>
                <c:pt idx="2">
                  <c:v>53.665254237288138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706192"/>
        <c:axId val="1829704016"/>
      </c:barChart>
      <c:catAx>
        <c:axId val="18297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4016"/>
        <c:crosses val="autoZero"/>
        <c:auto val="0"/>
        <c:lblAlgn val="ctr"/>
        <c:lblOffset val="100"/>
        <c:noMultiLvlLbl val="0"/>
      </c:catAx>
      <c:valAx>
        <c:axId val="1829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pems_new16aprile!$G$98:$G$100</c:f>
              <c:numCache>
                <c:formatCode>General</c:formatCode>
                <c:ptCount val="3"/>
                <c:pt idx="0">
                  <c:v>9.3926553672316384</c:v>
                </c:pt>
                <c:pt idx="1">
                  <c:v>-42.33050847457627</c:v>
                </c:pt>
                <c:pt idx="2">
                  <c:v>-42.076271186440678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707280"/>
        <c:axId val="1829698576"/>
      </c:barChart>
      <c:catAx>
        <c:axId val="182970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576"/>
        <c:crosses val="autoZero"/>
        <c:auto val="0"/>
        <c:lblAlgn val="ctr"/>
        <c:lblOffset val="100"/>
        <c:noMultiLvlLbl val="0"/>
      </c:catAx>
      <c:valAx>
        <c:axId val="18296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693680"/>
        <c:axId val="1829702928"/>
      </c:barChart>
      <c:catAx>
        <c:axId val="18296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2928"/>
        <c:crosses val="autoZero"/>
        <c:auto val="0"/>
        <c:lblAlgn val="ctr"/>
        <c:lblOffset val="100"/>
        <c:noMultiLvlLbl val="0"/>
      </c:catAx>
      <c:valAx>
        <c:axId val="1829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705104"/>
        <c:axId val="1829705648"/>
      </c:barChart>
      <c:catAx>
        <c:axId val="18297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5648"/>
        <c:crosses val="autoZero"/>
        <c:auto val="0"/>
        <c:lblAlgn val="ctr"/>
        <c:lblOffset val="100"/>
        <c:noMultiLvlLbl val="0"/>
      </c:catAx>
      <c:valAx>
        <c:axId val="182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breast_new16aprile!$R$33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breast_new16aprile!$R$34:$R$41</c:f>
              <c:numCache>
                <c:formatCode>General</c:formatCode>
                <c:ptCount val="8"/>
                <c:pt idx="0" formatCode="0">
                  <c:v>20378</c:v>
                </c:pt>
                <c:pt idx="1">
                  <c:v>16364</c:v>
                </c:pt>
                <c:pt idx="2">
                  <c:v>8215</c:v>
                </c:pt>
                <c:pt idx="3">
                  <c:v>5759</c:v>
                </c:pt>
                <c:pt idx="4">
                  <c:v>6688</c:v>
                </c:pt>
                <c:pt idx="5">
                  <c:v>8631</c:v>
                </c:pt>
                <c:pt idx="6">
                  <c:v>9227</c:v>
                </c:pt>
                <c:pt idx="7">
                  <c:v>8650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01840"/>
        <c:axId val="1829695312"/>
      </c:lineChart>
      <c:lineChart>
        <c:grouping val="standard"/>
        <c:varyColors val="0"/>
        <c:ser>
          <c:idx val="0"/>
          <c:order val="1"/>
          <c:tx>
            <c:strRef>
              <c:f>breast_new16aprile!$O$11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breast_new16aprile!$O$2:$O$9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00752"/>
        <c:axId val="1829695856"/>
      </c:lineChart>
      <c:catAx>
        <c:axId val="18297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Expansion Threshold</a:t>
                </a:r>
                <a:endParaRPr lang="en-US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5312"/>
        <c:crosses val="autoZero"/>
        <c:auto val="1"/>
        <c:lblAlgn val="ctr"/>
        <c:lblOffset val="100"/>
        <c:noMultiLvlLbl val="0"/>
      </c:catAx>
      <c:valAx>
        <c:axId val="18296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1840"/>
        <c:crosses val="autoZero"/>
        <c:crossBetween val="between"/>
      </c:valAx>
      <c:valAx>
        <c:axId val="1829695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0752"/>
        <c:crosses val="max"/>
        <c:crossBetween val="between"/>
      </c:valAx>
      <c:catAx>
        <c:axId val="182970075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296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breast_new16aprile!$G$55:$G$61</c:f>
              <c:numCache>
                <c:formatCode>General</c:formatCode>
                <c:ptCount val="7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  <c:pt idx="6">
                  <c:v>-16.461191179024137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697488"/>
        <c:axId val="1829701296"/>
      </c:barChart>
      <c:catAx>
        <c:axId val="18296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01296"/>
        <c:crosses val="autoZero"/>
        <c:auto val="0"/>
        <c:lblAlgn val="ctr"/>
        <c:lblOffset val="100"/>
        <c:noMultiLvlLbl val="0"/>
      </c:catAx>
      <c:valAx>
        <c:axId val="18297012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breast_new16aprile!$G$62:$G$68</c:f>
              <c:numCache>
                <c:formatCode>General</c:formatCode>
                <c:ptCount val="7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73024"/>
        <c:axId val="1975367584"/>
      </c:barChart>
      <c:catAx>
        <c:axId val="19753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7584"/>
        <c:crosses val="autoZero"/>
        <c:auto val="0"/>
        <c:lblAlgn val="ctr"/>
        <c:lblOffset val="100"/>
        <c:noMultiLvlLbl val="0"/>
      </c:catAx>
      <c:valAx>
        <c:axId val="19753675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breast_new16aprile!$G$70:$G$75</c:f>
              <c:numCache>
                <c:formatCode>General</c:formatCode>
                <c:ptCount val="6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68672"/>
        <c:axId val="1975379008"/>
      </c:barChart>
      <c:catAx>
        <c:axId val="19753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9008"/>
        <c:crosses val="autoZero"/>
        <c:auto val="0"/>
        <c:lblAlgn val="ctr"/>
        <c:lblOffset val="100"/>
        <c:noMultiLvlLbl val="0"/>
      </c:catAx>
      <c:valAx>
        <c:axId val="197537900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11</xdr:row>
      <xdr:rowOff>180975</xdr:rowOff>
    </xdr:from>
    <xdr:to>
      <xdr:col>10</xdr:col>
      <xdr:colOff>561975</xdr:colOff>
      <xdr:row>34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171450</xdr:rowOff>
    </xdr:from>
    <xdr:to>
      <xdr:col>18</xdr:col>
      <xdr:colOff>333375</xdr:colOff>
      <xdr:row>28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41</xdr:row>
      <xdr:rowOff>4762</xdr:rowOff>
    </xdr:from>
    <xdr:to>
      <xdr:col>15</xdr:col>
      <xdr:colOff>0</xdr:colOff>
      <xdr:row>57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</xdr:colOff>
      <xdr:row>60</xdr:row>
      <xdr:rowOff>23812</xdr:rowOff>
    </xdr:from>
    <xdr:to>
      <xdr:col>10</xdr:col>
      <xdr:colOff>328612</xdr:colOff>
      <xdr:row>74</xdr:row>
      <xdr:rowOff>100012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20</xdr:col>
      <xdr:colOff>304800</xdr:colOff>
      <xdr:row>74</xdr:row>
      <xdr:rowOff>76200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304800</xdr:colOff>
      <xdr:row>91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174</xdr:row>
      <xdr:rowOff>0</xdr:rowOff>
    </xdr:from>
    <xdr:to>
      <xdr:col>31</xdr:col>
      <xdr:colOff>523200</xdr:colOff>
      <xdr:row>192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37</xdr:row>
      <xdr:rowOff>71437</xdr:rowOff>
    </xdr:from>
    <xdr:to>
      <xdr:col>20</xdr:col>
      <xdr:colOff>285074</xdr:colOff>
      <xdr:row>66</xdr:row>
      <xdr:rowOff>51937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13</xdr:row>
      <xdr:rowOff>90487</xdr:rowOff>
    </xdr:from>
    <xdr:to>
      <xdr:col>22</xdr:col>
      <xdr:colOff>576262</xdr:colOff>
      <xdr:row>27</xdr:row>
      <xdr:rowOff>166687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31</xdr:row>
      <xdr:rowOff>128587</xdr:rowOff>
    </xdr:from>
    <xdr:to>
      <xdr:col>13</xdr:col>
      <xdr:colOff>276225</xdr:colOff>
      <xdr:row>46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33</xdr:row>
      <xdr:rowOff>147637</xdr:rowOff>
    </xdr:from>
    <xdr:to>
      <xdr:col>11</xdr:col>
      <xdr:colOff>327937</xdr:colOff>
      <xdr:row>52</xdr:row>
      <xdr:rowOff>128137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38</xdr:row>
      <xdr:rowOff>161925</xdr:rowOff>
    </xdr:from>
    <xdr:to>
      <xdr:col>11</xdr:col>
      <xdr:colOff>227925</xdr:colOff>
      <xdr:row>56</xdr:row>
      <xdr:rowOff>190050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99561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18</xdr:col>
      <xdr:colOff>523200</xdr:colOff>
      <xdr:row>90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72</xdr:row>
      <xdr:rowOff>0</xdr:rowOff>
    </xdr:from>
    <xdr:to>
      <xdr:col>27</xdr:col>
      <xdr:colOff>542250</xdr:colOff>
      <xdr:row>90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72</xdr:row>
      <xdr:rowOff>0</xdr:rowOff>
    </xdr:from>
    <xdr:to>
      <xdr:col>38</xdr:col>
      <xdr:colOff>389850</xdr:colOff>
      <xdr:row>90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95</xdr:row>
      <xdr:rowOff>171450</xdr:rowOff>
    </xdr:from>
    <xdr:to>
      <xdr:col>18</xdr:col>
      <xdr:colOff>218400</xdr:colOff>
      <xdr:row>114</xdr:row>
      <xdr:rowOff>151950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156</xdr:row>
      <xdr:rowOff>0</xdr:rowOff>
    </xdr:from>
    <xdr:to>
      <xdr:col>31</xdr:col>
      <xdr:colOff>523200</xdr:colOff>
      <xdr:row>174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176</xdr:row>
      <xdr:rowOff>0</xdr:rowOff>
    </xdr:from>
    <xdr:to>
      <xdr:col>31</xdr:col>
      <xdr:colOff>523200</xdr:colOff>
      <xdr:row>194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52386</xdr:rowOff>
    </xdr:from>
    <xdr:to>
      <xdr:col>14</xdr:col>
      <xdr:colOff>382275</xdr:colOff>
      <xdr:row>16</xdr:row>
      <xdr:rowOff>190161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271460</xdr:colOff>
      <xdr:row>13</xdr:row>
      <xdr:rowOff>90486</xdr:rowOff>
    </xdr:from>
    <xdr:to>
      <xdr:col>24</xdr:col>
      <xdr:colOff>185060</xdr:colOff>
      <xdr:row>32</xdr:row>
      <xdr:rowOff>42411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523200</xdr:colOff>
      <xdr:row>97</xdr:row>
      <xdr:rowOff>390075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152400</xdr:rowOff>
    </xdr:from>
    <xdr:to>
      <xdr:col>12</xdr:col>
      <xdr:colOff>523200</xdr:colOff>
      <xdr:row>50</xdr:row>
      <xdr:rowOff>132900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65</xdr:row>
      <xdr:rowOff>76200</xdr:rowOff>
    </xdr:from>
    <xdr:to>
      <xdr:col>17</xdr:col>
      <xdr:colOff>132675</xdr:colOff>
      <xdr:row>84</xdr:row>
      <xdr:rowOff>56700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161925</xdr:rowOff>
    </xdr:from>
    <xdr:to>
      <xdr:col>15</xdr:col>
      <xdr:colOff>351750</xdr:colOff>
      <xdr:row>24</xdr:row>
      <xdr:rowOff>142425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14286</xdr:rowOff>
    </xdr:from>
    <xdr:to>
      <xdr:col>15</xdr:col>
      <xdr:colOff>106049</xdr:colOff>
      <xdr:row>17</xdr:row>
      <xdr:rowOff>190161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28575</xdr:rowOff>
    </xdr:from>
    <xdr:to>
      <xdr:col>16</xdr:col>
      <xdr:colOff>542924</xdr:colOff>
      <xdr:row>19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9525</xdr:colOff>
      <xdr:row>39</xdr:row>
      <xdr:rowOff>95250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596993</xdr:colOff>
      <xdr:row>22</xdr:row>
      <xdr:rowOff>80122</xdr:rowOff>
    </xdr:from>
    <xdr:to>
      <xdr:col>20</xdr:col>
      <xdr:colOff>292193</xdr:colOff>
      <xdr:row>36</xdr:row>
      <xdr:rowOff>156322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78442</xdr:colOff>
      <xdr:row>28</xdr:row>
      <xdr:rowOff>163606</xdr:rowOff>
    </xdr:from>
    <xdr:to>
      <xdr:col>9</xdr:col>
      <xdr:colOff>414618</xdr:colOff>
      <xdr:row>43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28575</xdr:rowOff>
    </xdr:from>
    <xdr:to>
      <xdr:col>15</xdr:col>
      <xdr:colOff>237450</xdr:colOff>
      <xdr:row>20</xdr:row>
      <xdr:rowOff>9075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13</xdr:row>
      <xdr:rowOff>0</xdr:rowOff>
    </xdr:from>
    <xdr:to>
      <xdr:col>26</xdr:col>
      <xdr:colOff>536917</xdr:colOff>
      <xdr:row>31</xdr:row>
      <xdr:rowOff>180145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476500"/>
          <a:ext cx="5413717" cy="36091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9525</xdr:rowOff>
    </xdr:from>
    <xdr:to>
      <xdr:col>16</xdr:col>
      <xdr:colOff>294600</xdr:colOff>
      <xdr:row>19</xdr:row>
      <xdr:rowOff>180525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27</xdr:col>
      <xdr:colOff>536917</xdr:colOff>
      <xdr:row>32</xdr:row>
      <xdr:rowOff>180145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3875" y="2667000"/>
          <a:ext cx="5413717" cy="36091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36</xdr:row>
      <xdr:rowOff>14287</xdr:rowOff>
    </xdr:from>
    <xdr:to>
      <xdr:col>8</xdr:col>
      <xdr:colOff>799425</xdr:colOff>
      <xdr:row>54</xdr:row>
      <xdr:rowOff>185287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1143000</xdr:colOff>
      <xdr:row>36</xdr:row>
      <xdr:rowOff>161925</xdr:rowOff>
    </xdr:from>
    <xdr:to>
      <xdr:col>17</xdr:col>
      <xdr:colOff>227925</xdr:colOff>
      <xdr:row>55</xdr:row>
      <xdr:rowOff>142425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32</xdr:row>
      <xdr:rowOff>157162</xdr:rowOff>
    </xdr:from>
    <xdr:to>
      <xdr:col>8</xdr:col>
      <xdr:colOff>1075650</xdr:colOff>
      <xdr:row>51</xdr:row>
      <xdr:rowOff>137662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523200</xdr:colOff>
      <xdr:row>51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02"/>
  <sheetViews>
    <sheetView topLeftCell="A81" workbookViewId="0">
      <selection activeCell="C42" sqref="C42"/>
    </sheetView>
  </sheetViews>
  <sheetFormatPr defaultRowHeight="15" x14ac:dyDescent="0.25"/>
  <cols>
    <col min="1" max="1" width="10" bestFit="1" customWidth="1"/>
    <col min="2" max="2" width="13.85546875" customWidth="1"/>
  </cols>
  <sheetData>
    <row r="5" spans="1:18" x14ac:dyDescent="0.25">
      <c r="B5" t="s">
        <v>0</v>
      </c>
      <c r="C5" t="s">
        <v>1</v>
      </c>
      <c r="D5" t="s">
        <v>2</v>
      </c>
      <c r="E5" t="s">
        <v>3</v>
      </c>
      <c r="I5">
        <v>23</v>
      </c>
      <c r="J5">
        <v>22</v>
      </c>
      <c r="K5">
        <v>21</v>
      </c>
      <c r="L5">
        <v>20</v>
      </c>
      <c r="O5">
        <v>23</v>
      </c>
      <c r="P5">
        <v>22</v>
      </c>
      <c r="Q5">
        <v>21</v>
      </c>
      <c r="R5">
        <v>20</v>
      </c>
    </row>
    <row r="6" spans="1:18" x14ac:dyDescent="0.25">
      <c r="A6">
        <v>10000</v>
      </c>
      <c r="B6" s="1">
        <v>6.9444444444444441E-3</v>
      </c>
      <c r="C6" s="1">
        <v>2.1527777777777781E-2</v>
      </c>
      <c r="D6" s="1">
        <v>6.0416666666666667E-2</v>
      </c>
      <c r="E6" s="1">
        <v>0.27083333333333331</v>
      </c>
      <c r="H6">
        <v>10000</v>
      </c>
      <c r="I6" s="2">
        <v>10</v>
      </c>
      <c r="J6" s="2">
        <v>31</v>
      </c>
      <c r="K6" s="2">
        <v>87</v>
      </c>
      <c r="L6" s="2">
        <v>390</v>
      </c>
      <c r="N6">
        <v>10000</v>
      </c>
      <c r="O6" s="2">
        <f>I6*60</f>
        <v>600</v>
      </c>
      <c r="P6" s="2">
        <f t="shared" ref="P6:R6" si="0">J6*60</f>
        <v>1860</v>
      </c>
      <c r="Q6" s="2">
        <f t="shared" si="0"/>
        <v>5220</v>
      </c>
      <c r="R6" s="2">
        <f t="shared" si="0"/>
        <v>23400</v>
      </c>
    </row>
    <row r="7" spans="1:18" x14ac:dyDescent="0.25">
      <c r="A7">
        <v>100000</v>
      </c>
      <c r="B7" s="1">
        <v>4.1666666666666666E-3</v>
      </c>
      <c r="C7" s="1">
        <v>1.0416666666666666E-2</v>
      </c>
      <c r="D7" s="1">
        <v>4.6527777777777779E-2</v>
      </c>
      <c r="E7" s="1">
        <v>0.28680555555555554</v>
      </c>
      <c r="H7">
        <v>100000</v>
      </c>
      <c r="I7" s="2">
        <v>6</v>
      </c>
      <c r="J7" s="2">
        <v>15</v>
      </c>
      <c r="K7" s="2">
        <v>67</v>
      </c>
      <c r="L7" s="2">
        <v>413</v>
      </c>
      <c r="N7">
        <v>100000</v>
      </c>
      <c r="O7" s="2">
        <f t="shared" ref="O7:O9" si="1">I7*60</f>
        <v>360</v>
      </c>
      <c r="P7" s="2">
        <f t="shared" ref="P7:P9" si="2">J7*60</f>
        <v>900</v>
      </c>
      <c r="Q7" s="2">
        <f t="shared" ref="Q7:Q9" si="3">K7*60</f>
        <v>4020</v>
      </c>
      <c r="R7" s="2">
        <f t="shared" ref="R7:R9" si="4">L7*60</f>
        <v>24780</v>
      </c>
    </row>
    <row r="8" spans="1:18" x14ac:dyDescent="0.25">
      <c r="A8">
        <v>1000000</v>
      </c>
      <c r="B8" s="1">
        <v>4.1666666666666666E-3</v>
      </c>
      <c r="C8" s="1">
        <v>7.6388888888888886E-3</v>
      </c>
      <c r="D8" s="1">
        <v>4.6527777777777779E-2</v>
      </c>
      <c r="E8" s="1">
        <v>0.25486111111111109</v>
      </c>
      <c r="H8">
        <v>1000000</v>
      </c>
      <c r="I8" s="2">
        <v>6</v>
      </c>
      <c r="J8" s="2">
        <v>11</v>
      </c>
      <c r="K8" s="2">
        <v>67</v>
      </c>
      <c r="L8" s="2">
        <v>367</v>
      </c>
      <c r="N8">
        <v>1000000</v>
      </c>
      <c r="O8" s="2">
        <f t="shared" si="1"/>
        <v>360</v>
      </c>
      <c r="P8" s="2">
        <f t="shared" si="2"/>
        <v>660</v>
      </c>
      <c r="Q8" s="2">
        <f t="shared" si="3"/>
        <v>4020</v>
      </c>
      <c r="R8" s="2">
        <f t="shared" si="4"/>
        <v>22020</v>
      </c>
    </row>
    <row r="9" spans="1:18" x14ac:dyDescent="0.25">
      <c r="A9">
        <v>10000000</v>
      </c>
      <c r="B9" s="1">
        <v>3.472222222222222E-3</v>
      </c>
      <c r="C9" s="1">
        <v>7.6388888888888886E-3</v>
      </c>
      <c r="D9" s="1">
        <v>4.5138888888888888E-2</v>
      </c>
      <c r="E9" s="1">
        <v>0.28125</v>
      </c>
      <c r="H9">
        <v>10000000</v>
      </c>
      <c r="I9" s="2">
        <v>5</v>
      </c>
      <c r="J9" s="2">
        <v>11</v>
      </c>
      <c r="K9" s="2">
        <v>65</v>
      </c>
      <c r="L9" s="2">
        <v>405</v>
      </c>
      <c r="N9">
        <v>10000000</v>
      </c>
      <c r="O9" s="2">
        <f t="shared" si="1"/>
        <v>300</v>
      </c>
      <c r="P9" s="2">
        <f t="shared" si="2"/>
        <v>660</v>
      </c>
      <c r="Q9" s="2">
        <f t="shared" si="3"/>
        <v>3900</v>
      </c>
      <c r="R9" s="2">
        <f t="shared" si="4"/>
        <v>24300</v>
      </c>
    </row>
    <row r="39" spans="2:4" x14ac:dyDescent="0.25">
      <c r="B39" t="s">
        <v>19</v>
      </c>
      <c r="C39" t="s">
        <v>21</v>
      </c>
      <c r="D39" t="s">
        <v>20</v>
      </c>
    </row>
    <row r="40" spans="2:4" x14ac:dyDescent="0.25">
      <c r="B40">
        <v>100</v>
      </c>
      <c r="C40">
        <v>6554</v>
      </c>
      <c r="D40">
        <v>7</v>
      </c>
    </row>
    <row r="41" spans="2:4" x14ac:dyDescent="0.25">
      <c r="B41">
        <v>1000</v>
      </c>
      <c r="C41">
        <v>6300</v>
      </c>
      <c r="D41">
        <v>6</v>
      </c>
    </row>
    <row r="42" spans="2:4" x14ac:dyDescent="0.25">
      <c r="B42">
        <v>10000</v>
      </c>
      <c r="C42">
        <v>5102</v>
      </c>
      <c r="D42">
        <v>3</v>
      </c>
    </row>
    <row r="43" spans="2:4" x14ac:dyDescent="0.25">
      <c r="B43">
        <v>100000</v>
      </c>
      <c r="C43">
        <v>6928</v>
      </c>
      <c r="D43">
        <v>2</v>
      </c>
    </row>
    <row r="44" spans="2:4" x14ac:dyDescent="0.25">
      <c r="B44">
        <v>1000000</v>
      </c>
      <c r="C44">
        <v>7669</v>
      </c>
      <c r="D44">
        <v>2</v>
      </c>
    </row>
    <row r="45" spans="2:4" x14ac:dyDescent="0.25">
      <c r="B45">
        <v>10000000</v>
      </c>
      <c r="C45">
        <v>7852</v>
      </c>
      <c r="D45">
        <v>2</v>
      </c>
    </row>
    <row r="46" spans="2:4" x14ac:dyDescent="0.25">
      <c r="B46">
        <v>100000000</v>
      </c>
      <c r="C46">
        <v>7686</v>
      </c>
      <c r="D46">
        <v>2</v>
      </c>
    </row>
    <row r="51" spans="1:4" x14ac:dyDescent="0.25">
      <c r="A51" t="s">
        <v>12</v>
      </c>
      <c r="B51" t="s">
        <v>14</v>
      </c>
      <c r="C51" t="s">
        <v>13</v>
      </c>
      <c r="D51" t="s">
        <v>18</v>
      </c>
    </row>
    <row r="52" spans="1:4" x14ac:dyDescent="0.25">
      <c r="A52">
        <v>100000000</v>
      </c>
      <c r="B52" t="s">
        <v>16</v>
      </c>
      <c r="C52" t="s">
        <v>17</v>
      </c>
      <c r="D52" s="14">
        <v>1568.25</v>
      </c>
    </row>
    <row r="53" spans="1:4" x14ac:dyDescent="0.25">
      <c r="A53">
        <v>100</v>
      </c>
      <c r="B53" t="s">
        <v>16</v>
      </c>
      <c r="C53" t="s">
        <v>15</v>
      </c>
      <c r="D53" s="14">
        <v>13.25</v>
      </c>
    </row>
    <row r="55" spans="1:4" x14ac:dyDescent="0.25">
      <c r="B55">
        <v>6273</v>
      </c>
    </row>
    <row r="77" spans="2:4" x14ac:dyDescent="0.25">
      <c r="B77" t="s">
        <v>19</v>
      </c>
      <c r="C77" t="s">
        <v>21</v>
      </c>
      <c r="D77" t="s">
        <v>20</v>
      </c>
    </row>
    <row r="78" spans="2:4" x14ac:dyDescent="0.25">
      <c r="B78" s="20">
        <v>102</v>
      </c>
      <c r="C78">
        <v>6554</v>
      </c>
      <c r="D78">
        <v>7</v>
      </c>
    </row>
    <row r="79" spans="2:4" x14ac:dyDescent="0.25">
      <c r="B79" s="20">
        <v>103</v>
      </c>
      <c r="C79">
        <v>6300</v>
      </c>
      <c r="D79">
        <v>6</v>
      </c>
    </row>
    <row r="80" spans="2:4" x14ac:dyDescent="0.25">
      <c r="B80" s="19">
        <v>10000</v>
      </c>
      <c r="C80">
        <v>5102</v>
      </c>
      <c r="D80">
        <v>3</v>
      </c>
    </row>
    <row r="81" spans="2:4" x14ac:dyDescent="0.25">
      <c r="B81" s="19">
        <v>100000</v>
      </c>
      <c r="C81">
        <v>6928</v>
      </c>
      <c r="D81">
        <v>2</v>
      </c>
    </row>
    <row r="82" spans="2:4" x14ac:dyDescent="0.25">
      <c r="B82" s="19">
        <v>1000000</v>
      </c>
      <c r="C82">
        <v>7669</v>
      </c>
      <c r="D82">
        <v>2</v>
      </c>
    </row>
    <row r="83" spans="2:4" x14ac:dyDescent="0.25">
      <c r="B83" s="19">
        <v>10000000</v>
      </c>
      <c r="C83">
        <v>7852</v>
      </c>
      <c r="D83">
        <v>2</v>
      </c>
    </row>
    <row r="84" spans="2:4" x14ac:dyDescent="0.25">
      <c r="B84" s="19">
        <v>100000000</v>
      </c>
      <c r="C84">
        <v>7686</v>
      </c>
      <c r="D84">
        <v>2</v>
      </c>
    </row>
    <row r="96" spans="2:4" x14ac:dyDescent="0.25">
      <c r="B96" t="s">
        <v>30</v>
      </c>
    </row>
    <row r="97" spans="1:5" x14ac:dyDescent="0.25">
      <c r="B97" t="s">
        <v>31</v>
      </c>
      <c r="C97" t="s">
        <v>32</v>
      </c>
      <c r="D97" t="s">
        <v>33</v>
      </c>
      <c r="E97" t="s">
        <v>35</v>
      </c>
    </row>
    <row r="98" spans="1:5" x14ac:dyDescent="0.25">
      <c r="A98">
        <v>100</v>
      </c>
      <c r="B98" s="17">
        <v>0.62013888888888891</v>
      </c>
      <c r="C98" s="17">
        <v>0.79166666666666663</v>
      </c>
      <c r="D98" s="17">
        <f>C98-B98</f>
        <v>0.17152777777777772</v>
      </c>
      <c r="E98" s="17" t="s">
        <v>34</v>
      </c>
    </row>
    <row r="99" spans="1:5" x14ac:dyDescent="0.25">
      <c r="A99">
        <v>1000</v>
      </c>
      <c r="B99" s="17">
        <v>0.79375000000000007</v>
      </c>
      <c r="C99" s="17">
        <v>0.97013888888888899</v>
      </c>
      <c r="D99" s="17">
        <f t="shared" ref="D99:D102" si="5">C99-B99</f>
        <v>0.17638888888888893</v>
      </c>
      <c r="E99" t="s">
        <v>34</v>
      </c>
    </row>
    <row r="100" spans="1:5" x14ac:dyDescent="0.25">
      <c r="A100">
        <v>10000</v>
      </c>
      <c r="B100" s="17">
        <v>0.97222222222222221</v>
      </c>
      <c r="C100" s="17">
        <v>1.1347222222222222</v>
      </c>
      <c r="D100" s="17">
        <f t="shared" si="5"/>
        <v>0.16249999999999998</v>
      </c>
      <c r="E100" t="s">
        <v>34</v>
      </c>
    </row>
    <row r="101" spans="1:5" x14ac:dyDescent="0.25">
      <c r="A101">
        <v>100000</v>
      </c>
      <c r="B101" s="17">
        <v>0.13541666666666666</v>
      </c>
      <c r="C101" s="17">
        <v>0.25</v>
      </c>
      <c r="D101" s="17">
        <f t="shared" si="5"/>
        <v>0.11458333333333334</v>
      </c>
      <c r="E101" s="17" t="s">
        <v>36</v>
      </c>
    </row>
    <row r="102" spans="1:5" x14ac:dyDescent="0.25">
      <c r="A102">
        <v>1000000</v>
      </c>
      <c r="B102" s="17">
        <v>0.25069444444444444</v>
      </c>
      <c r="C102" s="17">
        <v>0.43402777777777773</v>
      </c>
      <c r="D102" s="17">
        <f t="shared" si="5"/>
        <v>0.18333333333333329</v>
      </c>
      <c r="E102" t="s">
        <v>37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B5" zoomScaleNormal="100" workbookViewId="0">
      <selection activeCell="C77" sqref="C77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95*60+7</f>
        <v>5707</v>
      </c>
      <c r="E2" s="16">
        <f>G2-F2</f>
        <v>6.6053240740740704E-2</v>
      </c>
      <c r="F2" s="16">
        <v>0.82027777777777777</v>
      </c>
      <c r="G2" s="16">
        <v>0.88633101851851848</v>
      </c>
      <c r="H2">
        <v>5</v>
      </c>
      <c r="J2" s="28">
        <v>10</v>
      </c>
      <c r="K2" s="26">
        <f>104*60+55</f>
        <v>6295</v>
      </c>
      <c r="L2" s="25">
        <v>7.2858796296296297E-2</v>
      </c>
      <c r="M2" s="25"/>
      <c r="N2" s="16"/>
      <c r="O2">
        <v>11</v>
      </c>
    </row>
    <row r="3" spans="1:15" x14ac:dyDescent="0.25">
      <c r="A3" t="s">
        <v>101</v>
      </c>
      <c r="D3">
        <f>96*60+6</f>
        <v>5766</v>
      </c>
      <c r="E3" s="16">
        <f t="shared" ref="E3:E49" si="0">G3-F3</f>
        <v>6.6736111111111107E-2</v>
      </c>
      <c r="F3" s="18">
        <v>0.52241898148148147</v>
      </c>
      <c r="G3" s="18">
        <v>0.58915509259259258</v>
      </c>
      <c r="J3" s="28">
        <v>100</v>
      </c>
      <c r="K3" s="26">
        <f>103*60+15</f>
        <v>6195</v>
      </c>
      <c r="L3" s="25">
        <v>7.1701388888888884E-2</v>
      </c>
      <c r="M3" s="25"/>
      <c r="N3" s="16"/>
      <c r="O3">
        <v>9</v>
      </c>
    </row>
    <row r="4" spans="1:15" x14ac:dyDescent="0.25">
      <c r="A4" t="s">
        <v>101</v>
      </c>
      <c r="D4">
        <f>95*60+11</f>
        <v>5711</v>
      </c>
      <c r="E4" s="16">
        <f t="shared" si="0"/>
        <v>6.609953703703704E-2</v>
      </c>
      <c r="F4" s="16">
        <v>1.0983796296296297E-2</v>
      </c>
      <c r="G4" s="16">
        <v>7.7083333333333337E-2</v>
      </c>
      <c r="J4" s="28">
        <v>1000</v>
      </c>
      <c r="K4" s="26">
        <f>102*60+50</f>
        <v>6170</v>
      </c>
      <c r="L4" s="25">
        <v>7.1412037037037038E-2</v>
      </c>
      <c r="M4" s="25"/>
      <c r="N4" s="16"/>
      <c r="O4">
        <v>6</v>
      </c>
    </row>
    <row r="5" spans="1:15" x14ac:dyDescent="0.25">
      <c r="A5" t="s">
        <v>105</v>
      </c>
      <c r="D5">
        <f>86*60+25</f>
        <v>5185</v>
      </c>
      <c r="E5" s="16">
        <f t="shared" si="0"/>
        <v>6.0011574074074203E-2</v>
      </c>
      <c r="F5" s="16">
        <v>0.88641203703703697</v>
      </c>
      <c r="G5" s="16">
        <v>0.94642361111111117</v>
      </c>
      <c r="H5">
        <v>3</v>
      </c>
      <c r="J5" s="28">
        <v>10000</v>
      </c>
      <c r="K5" s="26">
        <f>80*60+38</f>
        <v>4838</v>
      </c>
      <c r="L5" s="25">
        <v>5.5995370370370369E-2</v>
      </c>
      <c r="M5" s="25"/>
      <c r="N5" s="16"/>
      <c r="O5">
        <v>3</v>
      </c>
    </row>
    <row r="6" spans="1:15" x14ac:dyDescent="0.25">
      <c r="A6" t="s">
        <v>105</v>
      </c>
      <c r="D6">
        <f>86*60</f>
        <v>5160</v>
      </c>
      <c r="E6" s="16">
        <f t="shared" si="0"/>
        <v>5.9722222222222232E-2</v>
      </c>
      <c r="F6" s="18">
        <v>0.58924768518518522</v>
      </c>
      <c r="G6" s="18">
        <v>0.64896990740740745</v>
      </c>
      <c r="J6" s="28">
        <v>100000</v>
      </c>
      <c r="K6" s="26">
        <f>98*60+16</f>
        <v>5896</v>
      </c>
      <c r="L6" s="25">
        <v>6.8240740740740741E-2</v>
      </c>
      <c r="M6" s="25"/>
      <c r="N6" s="16"/>
      <c r="O6">
        <v>2</v>
      </c>
    </row>
    <row r="7" spans="1:15" x14ac:dyDescent="0.25">
      <c r="A7" t="s">
        <v>105</v>
      </c>
      <c r="D7">
        <f>85*60+47</f>
        <v>5147</v>
      </c>
      <c r="E7" s="16">
        <f t="shared" si="0"/>
        <v>5.9571759259259269E-2</v>
      </c>
      <c r="F7" s="16">
        <v>7.7187500000000006E-2</v>
      </c>
      <c r="G7" s="16">
        <v>0.13675925925925927</v>
      </c>
      <c r="J7" s="28">
        <v>1000000</v>
      </c>
      <c r="K7" s="26">
        <f>118*60+33</f>
        <v>7113</v>
      </c>
      <c r="L7" s="25">
        <v>8.2326388888888893E-2</v>
      </c>
      <c r="M7" s="25"/>
      <c r="N7" s="16"/>
      <c r="O7">
        <v>2</v>
      </c>
    </row>
    <row r="8" spans="1:15" x14ac:dyDescent="0.25">
      <c r="A8" t="s">
        <v>110</v>
      </c>
      <c r="D8">
        <f>81*60+28</f>
        <v>4888</v>
      </c>
      <c r="E8" s="16">
        <f t="shared" si="0"/>
        <v>5.6574074074073999E-2</v>
      </c>
      <c r="F8" s="16">
        <v>0.94650462962962967</v>
      </c>
      <c r="G8" s="16">
        <v>1.0030787037037037</v>
      </c>
      <c r="H8">
        <v>3</v>
      </c>
      <c r="J8" s="28">
        <v>10000000</v>
      </c>
      <c r="K8" s="26">
        <f>121*60+22</f>
        <v>7282</v>
      </c>
      <c r="L8" s="25">
        <v>8.4282407407407403E-2</v>
      </c>
      <c r="M8" s="25"/>
      <c r="N8" s="16"/>
      <c r="O8">
        <v>2</v>
      </c>
    </row>
    <row r="9" spans="1:15" x14ac:dyDescent="0.25">
      <c r="A9" t="s">
        <v>110</v>
      </c>
      <c r="D9">
        <f>81*60+23</f>
        <v>4883</v>
      </c>
      <c r="E9" s="16">
        <f t="shared" si="0"/>
        <v>5.6516203703703694E-2</v>
      </c>
      <c r="F9" s="18">
        <v>0.64906249999999999</v>
      </c>
      <c r="G9" s="18">
        <v>0.70557870370370368</v>
      </c>
      <c r="J9" s="28">
        <v>100000000</v>
      </c>
      <c r="K9" s="48"/>
      <c r="M9" s="16"/>
    </row>
    <row r="10" spans="1:15" x14ac:dyDescent="0.25">
      <c r="A10" t="s">
        <v>110</v>
      </c>
      <c r="D10">
        <f>81*60+22</f>
        <v>4882</v>
      </c>
      <c r="E10" s="16">
        <f t="shared" si="0"/>
        <v>5.6504629629629627E-2</v>
      </c>
      <c r="F10" s="16">
        <v>0.13684027777777777</v>
      </c>
      <c r="G10" s="16">
        <v>0.1933449074074074</v>
      </c>
    </row>
    <row r="11" spans="1:15" x14ac:dyDescent="0.25">
      <c r="A11" t="s">
        <v>111</v>
      </c>
      <c r="D11">
        <f>99*60+53</f>
        <v>5993</v>
      </c>
      <c r="E11" s="16">
        <f t="shared" si="0"/>
        <v>6.9363425925925926E-2</v>
      </c>
      <c r="F11" s="16">
        <v>5.603009259259259E-2</v>
      </c>
      <c r="G11" s="16">
        <v>0.12539351851851852</v>
      </c>
      <c r="H11">
        <v>6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101*60+42</f>
        <v>6102</v>
      </c>
      <c r="E12" s="16">
        <f t="shared" si="0"/>
        <v>7.0509259259259216E-2</v>
      </c>
      <c r="F12" s="16">
        <v>0.81268518518518518</v>
      </c>
      <c r="G12" s="16">
        <v>0.88319444444444439</v>
      </c>
      <c r="J12" s="28">
        <v>10</v>
      </c>
      <c r="K12" s="26">
        <f>104*60+55</f>
        <v>6295</v>
      </c>
      <c r="L12" s="25">
        <v>7.2858796296296297E-2</v>
      </c>
      <c r="M12" s="25"/>
      <c r="N12" s="16"/>
      <c r="O12">
        <v>11</v>
      </c>
    </row>
    <row r="13" spans="1:15" x14ac:dyDescent="0.25">
      <c r="A13" t="s">
        <v>111</v>
      </c>
      <c r="D13">
        <f>6000+35</f>
        <v>6035</v>
      </c>
      <c r="E13" s="16">
        <f t="shared" si="0"/>
        <v>6.9849537037037002E-2</v>
      </c>
      <c r="F13" s="16">
        <v>0.29829861111111111</v>
      </c>
      <c r="G13" s="16">
        <v>0.36814814814814811</v>
      </c>
      <c r="J13" s="28">
        <v>100</v>
      </c>
      <c r="K13" s="26">
        <f>103*60+15</f>
        <v>6195</v>
      </c>
      <c r="L13" s="25">
        <v>7.1701388888888884E-2</v>
      </c>
      <c r="M13" s="25"/>
      <c r="N13" s="16"/>
      <c r="O13">
        <v>9</v>
      </c>
    </row>
    <row r="14" spans="1:15" x14ac:dyDescent="0.25">
      <c r="A14" t="s">
        <v>112</v>
      </c>
      <c r="D14">
        <f>98*60+30</f>
        <v>5910</v>
      </c>
      <c r="E14" s="16">
        <f t="shared" si="0"/>
        <v>6.8402777777777785E-2</v>
      </c>
      <c r="F14" s="16">
        <v>0.12547453703703704</v>
      </c>
      <c r="G14" s="16">
        <v>0.19387731481481482</v>
      </c>
      <c r="H14">
        <v>5</v>
      </c>
      <c r="J14" s="28">
        <v>1000</v>
      </c>
      <c r="K14" s="26">
        <f>102*60+50</f>
        <v>6170</v>
      </c>
      <c r="L14" s="25">
        <v>7.1412037037037038E-2</v>
      </c>
      <c r="M14" s="25"/>
      <c r="N14" s="16"/>
      <c r="O14">
        <v>6</v>
      </c>
    </row>
    <row r="15" spans="1:15" x14ac:dyDescent="0.25">
      <c r="A15" t="s">
        <v>112</v>
      </c>
      <c r="D15">
        <f>96*60+15</f>
        <v>5775</v>
      </c>
      <c r="E15" s="16">
        <f t="shared" si="0"/>
        <v>6.6840277777777679E-2</v>
      </c>
      <c r="F15" s="16">
        <v>0.88321759259259258</v>
      </c>
      <c r="G15" s="16">
        <v>0.95005787037037026</v>
      </c>
      <c r="J15" s="28">
        <v>10000</v>
      </c>
      <c r="K15" s="26">
        <f>80*60+38</f>
        <v>4838</v>
      </c>
      <c r="L15" s="25">
        <v>5.5995370370370369E-2</v>
      </c>
      <c r="M15" s="25"/>
      <c r="N15" s="16"/>
      <c r="O15">
        <v>3</v>
      </c>
    </row>
    <row r="16" spans="1:15" x14ac:dyDescent="0.25">
      <c r="A16" t="s">
        <v>112</v>
      </c>
      <c r="D16">
        <f>97*60+54</f>
        <v>5874</v>
      </c>
      <c r="E16" s="16">
        <f t="shared" si="0"/>
        <v>6.7986111111111081E-2</v>
      </c>
      <c r="F16" s="16">
        <v>0.36822916666666666</v>
      </c>
      <c r="G16" s="16">
        <v>0.43621527777777774</v>
      </c>
      <c r="J16" s="28">
        <v>100000</v>
      </c>
      <c r="K16" s="26">
        <f>98*60+16</f>
        <v>5896</v>
      </c>
      <c r="L16" s="25">
        <v>6.8240740740740741E-2</v>
      </c>
      <c r="M16" s="25"/>
      <c r="N16" s="16"/>
      <c r="O16">
        <v>2</v>
      </c>
    </row>
    <row r="17" spans="1:15" x14ac:dyDescent="0.25">
      <c r="A17" t="s">
        <v>113</v>
      </c>
      <c r="D17">
        <f>94*60+56</f>
        <v>5696</v>
      </c>
      <c r="E17" s="16">
        <f t="shared" si="0"/>
        <v>6.5925925925925916E-2</v>
      </c>
      <c r="F17" s="16">
        <v>0.19396990740740741</v>
      </c>
      <c r="G17" s="16">
        <v>0.25989583333333333</v>
      </c>
      <c r="H17">
        <v>4</v>
      </c>
      <c r="J17" s="28">
        <v>1000000</v>
      </c>
      <c r="K17" s="26">
        <f>118*60+33</f>
        <v>7113</v>
      </c>
      <c r="L17" s="25">
        <v>8.2326388888888893E-2</v>
      </c>
      <c r="M17" s="25"/>
      <c r="N17" s="16"/>
      <c r="O17">
        <v>2</v>
      </c>
    </row>
    <row r="18" spans="1:15" x14ac:dyDescent="0.25">
      <c r="A18" t="s">
        <v>113</v>
      </c>
      <c r="D18">
        <f>94*60+5</f>
        <v>5645</v>
      </c>
      <c r="E18" s="16">
        <f t="shared" si="0"/>
        <v>6.5335648148148073E-2</v>
      </c>
      <c r="F18" s="16">
        <v>0.95016203703703705</v>
      </c>
      <c r="G18" s="16">
        <v>1.0154976851851851</v>
      </c>
      <c r="J18" s="28">
        <v>10000000</v>
      </c>
      <c r="K18" s="26">
        <f>121*60+22</f>
        <v>7282</v>
      </c>
      <c r="L18" s="25">
        <v>8.4282407407407403E-2</v>
      </c>
      <c r="M18" s="25"/>
      <c r="N18" s="16"/>
      <c r="O18">
        <v>2</v>
      </c>
    </row>
    <row r="19" spans="1:15" x14ac:dyDescent="0.25">
      <c r="A19" t="s">
        <v>113</v>
      </c>
      <c r="D19">
        <f>95*60+19</f>
        <v>5719</v>
      </c>
      <c r="E19" s="16">
        <f t="shared" si="0"/>
        <v>6.619212962962967E-2</v>
      </c>
      <c r="F19" s="16">
        <v>0.43630787037037039</v>
      </c>
      <c r="G19" s="16">
        <v>0.50250000000000006</v>
      </c>
      <c r="J19" s="28">
        <v>100000000</v>
      </c>
      <c r="K19" s="48"/>
      <c r="M19" s="16"/>
    </row>
    <row r="20" spans="1:15" x14ac:dyDescent="0.25">
      <c r="A20" t="s">
        <v>114</v>
      </c>
      <c r="D20">
        <f>97*60+21</f>
        <v>5841</v>
      </c>
      <c r="E20" s="16">
        <f t="shared" si="0"/>
        <v>6.7604166666666687E-2</v>
      </c>
      <c r="F20" s="16">
        <v>0.32092592592592589</v>
      </c>
      <c r="G20" s="16">
        <v>0.38853009259259258</v>
      </c>
    </row>
    <row r="21" spans="1:15" x14ac:dyDescent="0.25">
      <c r="A21" t="s">
        <v>114</v>
      </c>
      <c r="D21">
        <f>96*60+5</f>
        <v>5765</v>
      </c>
      <c r="E21" s="16">
        <f t="shared" si="0"/>
        <v>6.6724537037037027E-2</v>
      </c>
      <c r="F21" s="16">
        <v>7.7708333333333338E-2</v>
      </c>
      <c r="G21" s="16">
        <v>0.14443287037037036</v>
      </c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98*60+22</f>
        <v>5902</v>
      </c>
      <c r="E23" s="16">
        <f t="shared" si="0"/>
        <v>6.8310185185185224E-2</v>
      </c>
      <c r="F23" s="17">
        <v>0.28125</v>
      </c>
      <c r="G23" s="16">
        <v>0.34956018518518522</v>
      </c>
      <c r="H23">
        <v>6</v>
      </c>
      <c r="J23" s="28">
        <v>10</v>
      </c>
      <c r="K23" s="48">
        <f>105*60+40</f>
        <v>6340</v>
      </c>
      <c r="L23" s="1">
        <f>N23-M23</f>
        <v>7.3379629629629739E-2</v>
      </c>
      <c r="M23" s="18">
        <v>0.92443287037037036</v>
      </c>
      <c r="N23" s="18">
        <v>0.9978125000000001</v>
      </c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>
        <f>103*60+30</f>
        <v>6210</v>
      </c>
      <c r="L24" s="1">
        <f t="shared" ref="L24:L30" si="1">N24-M24</f>
        <v>7.1875000000000133E-2</v>
      </c>
      <c r="M24" s="18">
        <v>0.99790509259259252</v>
      </c>
      <c r="N24" s="18">
        <v>1.0697800925925927</v>
      </c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>
        <f>101*60+53</f>
        <v>6113</v>
      </c>
      <c r="L25" s="1">
        <f t="shared" si="1"/>
        <v>7.075231481481481E-2</v>
      </c>
      <c r="M25" s="18">
        <v>6.987268518518519E-2</v>
      </c>
      <c r="N25" s="18">
        <v>0.140625</v>
      </c>
      <c r="O25" s="48"/>
    </row>
    <row r="26" spans="1:15" x14ac:dyDescent="0.25">
      <c r="A26" s="78" t="s">
        <v>115</v>
      </c>
      <c r="B26" s="78"/>
      <c r="D26">
        <f>96*60+37</f>
        <v>5797</v>
      </c>
      <c r="E26" s="16">
        <f t="shared" si="0"/>
        <v>6.7094907407407367E-2</v>
      </c>
      <c r="F26" s="16">
        <v>0.34965277777777781</v>
      </c>
      <c r="G26" s="16">
        <v>0.41674768518518518</v>
      </c>
      <c r="H26">
        <v>5</v>
      </c>
      <c r="J26" s="28">
        <v>10000</v>
      </c>
      <c r="K26" s="48">
        <f>82*60+20</f>
        <v>4940</v>
      </c>
      <c r="L26" s="1">
        <f t="shared" si="1"/>
        <v>5.7175925925925936E-2</v>
      </c>
      <c r="M26" s="18">
        <v>0.14071759259259259</v>
      </c>
      <c r="N26" s="18">
        <v>0.19789351851851852</v>
      </c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>
        <f>100*60+54</f>
        <v>6054</v>
      </c>
      <c r="L27" s="1">
        <f t="shared" si="1"/>
        <v>7.0069444444444434E-2</v>
      </c>
      <c r="M27" s="18">
        <v>0.19798611111111111</v>
      </c>
      <c r="N27" s="18">
        <v>0.26805555555555555</v>
      </c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>
        <f>120*60+28</f>
        <v>7228</v>
      </c>
      <c r="L28" s="1">
        <f t="shared" si="1"/>
        <v>8.3657407407407458E-2</v>
      </c>
      <c r="M28" s="18">
        <v>0.26813657407407404</v>
      </c>
      <c r="N28" s="18">
        <v>0.3517939814814815</v>
      </c>
      <c r="O28" s="48"/>
    </row>
    <row r="29" spans="1:15" ht="16.5" thickBot="1" x14ac:dyDescent="0.3">
      <c r="A29" s="78" t="s">
        <v>120</v>
      </c>
      <c r="B29" s="78"/>
      <c r="E29" s="16">
        <f t="shared" si="0"/>
        <v>0</v>
      </c>
      <c r="F29" s="16"/>
      <c r="G29" s="16"/>
      <c r="H29" s="32"/>
      <c r="J29" s="28">
        <v>10000000</v>
      </c>
      <c r="K29" s="48">
        <f>124*60+10</f>
        <v>7450</v>
      </c>
      <c r="L29" s="1">
        <f t="shared" si="1"/>
        <v>8.622685185185186E-2</v>
      </c>
      <c r="M29" s="54">
        <v>0.35187499999999999</v>
      </c>
      <c r="N29" s="18">
        <v>0.43810185185185185</v>
      </c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>
        <f>121*60+8</f>
        <v>7268</v>
      </c>
      <c r="L30" s="1">
        <f t="shared" si="1"/>
        <v>8.412037037037029E-2</v>
      </c>
      <c r="M30" s="18">
        <v>0.43820601851851854</v>
      </c>
      <c r="N30" s="18">
        <v>0.52232638888888883</v>
      </c>
      <c r="O30" s="48"/>
    </row>
    <row r="31" spans="1:15" x14ac:dyDescent="0.25">
      <c r="A31" s="78" t="s">
        <v>120</v>
      </c>
      <c r="B31" s="78"/>
      <c r="D31">
        <f>93*60+13</f>
        <v>5593</v>
      </c>
      <c r="E31" s="16">
        <f t="shared" si="0"/>
        <v>6.4722222222222292E-2</v>
      </c>
      <c r="F31" s="16">
        <v>0.45184027777777774</v>
      </c>
      <c r="G31" s="16">
        <v>0.51656250000000004</v>
      </c>
    </row>
    <row r="32" spans="1:15" x14ac:dyDescent="0.25">
      <c r="A32" s="78" t="s">
        <v>127</v>
      </c>
      <c r="B32" s="78"/>
      <c r="D32">
        <f>75*60+59</f>
        <v>4559</v>
      </c>
      <c r="E32" s="16">
        <f t="shared" si="0"/>
        <v>5.2766203703703704E-2</v>
      </c>
      <c r="F32" s="16">
        <v>3.1597222222222222E-3</v>
      </c>
      <c r="G32" s="16">
        <v>5.5925925925925928E-2</v>
      </c>
    </row>
    <row r="33" spans="1:20" x14ac:dyDescent="0.25">
      <c r="A33" s="78" t="s">
        <v>127</v>
      </c>
      <c r="B33" s="78"/>
      <c r="D33">
        <f>78*60+38</f>
        <v>4718</v>
      </c>
      <c r="E33" s="16">
        <f t="shared" si="0"/>
        <v>5.4606481481481395E-2</v>
      </c>
      <c r="F33" s="18">
        <v>0.70565972222222229</v>
      </c>
      <c r="G33" s="18">
        <v>0.76026620370370368</v>
      </c>
      <c r="H33">
        <v>2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D34">
        <f>74*60+49</f>
        <v>4489</v>
      </c>
      <c r="E34" s="16">
        <f t="shared" si="0"/>
        <v>5.1956018518518499E-2</v>
      </c>
      <c r="F34" s="16">
        <v>0.19346064814814815</v>
      </c>
      <c r="G34" s="16">
        <v>0.24541666666666664</v>
      </c>
      <c r="J34" s="28">
        <v>10</v>
      </c>
      <c r="K34" s="48"/>
      <c r="L34" s="1">
        <f>N34-M34</f>
        <v>7.3206018518518434E-2</v>
      </c>
      <c r="M34" s="16">
        <v>0.41689814814814818</v>
      </c>
      <c r="N34" s="16">
        <v>0.49010416666666662</v>
      </c>
      <c r="O34" s="48">
        <v>11</v>
      </c>
      <c r="Q34" s="28">
        <v>10</v>
      </c>
      <c r="R34" s="48">
        <f>AVERAGE(K12,K23,K34)</f>
        <v>6317.5</v>
      </c>
      <c r="S34">
        <f>_xlfn.STDEV.P(K12,K23,K34)</f>
        <v>22.5</v>
      </c>
      <c r="T34">
        <f t="shared" ref="T34:T41" si="2">CONFIDENCE(0.05,S34,3)</f>
        <v>25.460679016713858</v>
      </c>
    </row>
    <row r="35" spans="1:20" x14ac:dyDescent="0.25">
      <c r="A35" s="78" t="s">
        <v>128</v>
      </c>
      <c r="B35" s="78"/>
      <c r="D35">
        <f>87*60+39</f>
        <v>5259</v>
      </c>
      <c r="E35" s="16">
        <f t="shared" si="0"/>
        <v>6.0868055555555522E-2</v>
      </c>
      <c r="F35" s="16">
        <v>0.25997685185185188</v>
      </c>
      <c r="G35" s="16">
        <v>0.3208449074074074</v>
      </c>
      <c r="H35">
        <v>3</v>
      </c>
      <c r="J35" s="28">
        <v>100</v>
      </c>
      <c r="K35" s="48"/>
      <c r="L35" s="1">
        <f t="shared" ref="L35:L41" si="3">N35-M35</f>
        <v>7.0775462962962943E-2</v>
      </c>
      <c r="M35" s="17">
        <v>0.4909722222222222</v>
      </c>
      <c r="N35" s="16">
        <v>0.56174768518518514</v>
      </c>
      <c r="O35" s="48">
        <v>8</v>
      </c>
      <c r="Q35" s="28">
        <v>100</v>
      </c>
      <c r="R35">
        <f t="shared" ref="R35:R40" si="4">AVERAGE(K13,K24,K35)</f>
        <v>6202.5</v>
      </c>
      <c r="S35">
        <f t="shared" ref="S35:S41" si="5">_xlfn.STDEV.P(K13,K24,K35)</f>
        <v>7.5</v>
      </c>
      <c r="T35">
        <f t="shared" si="2"/>
        <v>8.4868930055712859</v>
      </c>
    </row>
    <row r="36" spans="1:20" x14ac:dyDescent="0.25">
      <c r="A36" s="78" t="s">
        <v>128</v>
      </c>
      <c r="B36" s="78"/>
      <c r="D36">
        <f>87*60+41</f>
        <v>5261</v>
      </c>
      <c r="E36" s="16">
        <f t="shared" si="0"/>
        <v>6.0891203703703711E-2</v>
      </c>
      <c r="F36" s="16">
        <v>1.5601851851851851E-2</v>
      </c>
      <c r="G36" s="16">
        <v>7.6493055555555564E-2</v>
      </c>
      <c r="J36" s="28">
        <v>1000</v>
      </c>
      <c r="K36" s="48"/>
      <c r="L36" s="1">
        <f t="shared" si="3"/>
        <v>6.7430555555555549E-2</v>
      </c>
      <c r="M36" s="16">
        <v>0.56568287037037035</v>
      </c>
      <c r="N36" s="16">
        <v>0.6331134259259259</v>
      </c>
      <c r="O36" s="48">
        <v>6</v>
      </c>
      <c r="Q36" s="28">
        <v>1000</v>
      </c>
      <c r="R36">
        <f t="shared" si="4"/>
        <v>6141.5</v>
      </c>
      <c r="S36">
        <f t="shared" si="5"/>
        <v>28.5</v>
      </c>
      <c r="T36">
        <f t="shared" si="2"/>
        <v>32.250193421170884</v>
      </c>
    </row>
    <row r="37" spans="1:20" x14ac:dyDescent="0.25">
      <c r="A37" s="78" t="s">
        <v>128</v>
      </c>
      <c r="B37" s="78"/>
      <c r="D37">
        <f>87*60+39</f>
        <v>5259</v>
      </c>
      <c r="E37" s="16">
        <f t="shared" si="0"/>
        <v>6.0868055555555634E-2</v>
      </c>
      <c r="F37" s="16">
        <v>0.50261574074074067</v>
      </c>
      <c r="G37" s="16">
        <v>0.5634837962962963</v>
      </c>
      <c r="J37" s="28">
        <v>10000</v>
      </c>
      <c r="K37" s="48"/>
      <c r="L37" s="1">
        <f t="shared" si="3"/>
        <v>5.6388888888888933E-2</v>
      </c>
      <c r="M37" s="16">
        <v>0.63322916666666662</v>
      </c>
      <c r="N37" s="16">
        <v>0.68961805555555555</v>
      </c>
      <c r="O37" s="48">
        <v>2</v>
      </c>
      <c r="Q37" s="28">
        <v>10000</v>
      </c>
      <c r="R37">
        <f t="shared" si="4"/>
        <v>4889</v>
      </c>
      <c r="S37">
        <f t="shared" si="5"/>
        <v>51</v>
      </c>
      <c r="T37">
        <f t="shared" si="2"/>
        <v>57.710872437884753</v>
      </c>
    </row>
    <row r="38" spans="1:20" x14ac:dyDescent="0.25">
      <c r="A38" s="78" t="s">
        <v>129</v>
      </c>
      <c r="B38" s="78"/>
      <c r="D38">
        <f>87*60+24</f>
        <v>5244</v>
      </c>
      <c r="E38" s="16">
        <f t="shared" si="0"/>
        <v>6.0694444444444495E-2</v>
      </c>
      <c r="F38" s="16">
        <v>0.51664351851851853</v>
      </c>
      <c r="G38" s="16">
        <v>0.57733796296296302</v>
      </c>
      <c r="I38" t="e">
        <f>confi</f>
        <v>#NAME?</v>
      </c>
      <c r="J38" s="28">
        <v>100000</v>
      </c>
      <c r="K38" s="48"/>
      <c r="L38" s="1">
        <f t="shared" si="3"/>
        <v>7.0046296296296218E-2</v>
      </c>
      <c r="M38" s="16">
        <v>0.6897106481481482</v>
      </c>
      <c r="N38" s="16">
        <v>0.75975694444444442</v>
      </c>
      <c r="O38" s="48">
        <v>2</v>
      </c>
      <c r="Q38" s="28">
        <v>100000</v>
      </c>
      <c r="R38">
        <f t="shared" si="4"/>
        <v>5975</v>
      </c>
      <c r="S38">
        <f t="shared" si="5"/>
        <v>79</v>
      </c>
      <c r="T38">
        <f t="shared" si="2"/>
        <v>89.395272992017553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3"/>
        <v>8.3692129629629575E-2</v>
      </c>
      <c r="M39" s="16">
        <v>0.75982638888888887</v>
      </c>
      <c r="N39" s="16">
        <v>0.84351851851851845</v>
      </c>
      <c r="O39" s="48">
        <v>2</v>
      </c>
      <c r="Q39" s="28">
        <v>1000000</v>
      </c>
      <c r="R39">
        <f t="shared" si="4"/>
        <v>7170.5</v>
      </c>
      <c r="S39">
        <f t="shared" si="5"/>
        <v>57.5</v>
      </c>
      <c r="T39">
        <f t="shared" si="2"/>
        <v>65.066179709379867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3"/>
        <v>8.3090277777777888E-2</v>
      </c>
      <c r="M40" s="16">
        <v>0.84359953703703694</v>
      </c>
      <c r="N40" s="16">
        <v>0.92668981481481483</v>
      </c>
      <c r="O40" s="48">
        <v>2</v>
      </c>
      <c r="Q40" s="28">
        <v>10000000</v>
      </c>
      <c r="R40">
        <f t="shared" si="4"/>
        <v>7366</v>
      </c>
      <c r="S40">
        <f t="shared" si="5"/>
        <v>84</v>
      </c>
      <c r="T40">
        <f t="shared" si="2"/>
        <v>95.053201662398408</v>
      </c>
    </row>
    <row r="41" spans="1:20" x14ac:dyDescent="0.25">
      <c r="A41" s="78" t="s">
        <v>130</v>
      </c>
      <c r="B41" s="78"/>
      <c r="D41">
        <f>74*60+46</f>
        <v>4486</v>
      </c>
      <c r="E41" s="16">
        <f t="shared" si="0"/>
        <v>5.2037037037036993E-2</v>
      </c>
      <c r="F41" s="18">
        <v>0.73619212962962965</v>
      </c>
      <c r="G41" s="18">
        <v>0.78822916666666665</v>
      </c>
      <c r="J41" s="28">
        <v>100000000</v>
      </c>
      <c r="K41" s="48"/>
      <c r="L41" s="1">
        <f t="shared" si="3"/>
        <v>-0.91590277777777784</v>
      </c>
      <c r="M41" s="16">
        <v>0.92679398148148151</v>
      </c>
      <c r="N41" s="16">
        <v>1.0891203703703703E-2</v>
      </c>
      <c r="O41" s="48">
        <v>2</v>
      </c>
      <c r="Q41" s="28">
        <v>100000000</v>
      </c>
      <c r="R41">
        <f>AVERAGE(K19,K30,K41)</f>
        <v>7268</v>
      </c>
      <c r="S41">
        <f t="shared" si="5"/>
        <v>0</v>
      </c>
      <c r="T41" t="e">
        <f t="shared" si="2"/>
        <v>#NUM!</v>
      </c>
    </row>
    <row r="42" spans="1:20" x14ac:dyDescent="0.25">
      <c r="A42" s="78" t="s">
        <v>130</v>
      </c>
      <c r="B42" s="78"/>
      <c r="D42">
        <f>75*60+15</f>
        <v>4515</v>
      </c>
      <c r="E42" s="16">
        <f t="shared" si="0"/>
        <v>5.2256944444444398E-2</v>
      </c>
      <c r="F42" s="18">
        <v>0.76034722222222229</v>
      </c>
      <c r="G42" s="16">
        <v>0.81260416666666668</v>
      </c>
    </row>
    <row r="43" spans="1:20" ht="15.75" customHeight="1" x14ac:dyDescent="0.25">
      <c r="A43" s="78" t="s">
        <v>130</v>
      </c>
      <c r="B43" s="78"/>
      <c r="D43">
        <f>75*60+49</f>
        <v>4549</v>
      </c>
      <c r="E43" s="16">
        <f t="shared" si="0"/>
        <v>5.2650462962962968E-2</v>
      </c>
      <c r="F43" s="16">
        <v>0.24555555555555555</v>
      </c>
      <c r="G43" s="16">
        <v>0.29820601851851852</v>
      </c>
    </row>
    <row r="44" spans="1:20" ht="15.75" customHeight="1" x14ac:dyDescent="0.25">
      <c r="A44" s="78" t="s">
        <v>131</v>
      </c>
      <c r="B44" s="78"/>
      <c r="E44" s="16">
        <f t="shared" si="0"/>
        <v>0</v>
      </c>
      <c r="F44" s="16"/>
      <c r="G44" s="16"/>
    </row>
    <row r="45" spans="1:20" ht="15.75" customHeight="1" thickBot="1" x14ac:dyDescent="0.3">
      <c r="A45" s="78" t="s">
        <v>131</v>
      </c>
      <c r="B45" s="78"/>
      <c r="E45" s="16">
        <f t="shared" si="0"/>
        <v>0</v>
      </c>
      <c r="F45" s="16"/>
      <c r="G45" s="16"/>
    </row>
    <row r="46" spans="1:20" ht="15.75" customHeight="1" thickBot="1" x14ac:dyDescent="0.3">
      <c r="A46" s="78" t="s">
        <v>131</v>
      </c>
      <c r="B46" s="78"/>
      <c r="E46" s="16">
        <f t="shared" si="0"/>
        <v>0</v>
      </c>
      <c r="F46" s="52"/>
      <c r="G46" s="52"/>
    </row>
    <row r="47" spans="1:20" ht="15.75" customHeight="1" x14ac:dyDescent="0.25">
      <c r="A47" s="78" t="s">
        <v>132</v>
      </c>
      <c r="B47" s="78"/>
      <c r="E47" s="16">
        <f t="shared" si="0"/>
        <v>0</v>
      </c>
      <c r="F47" s="16"/>
      <c r="G47" s="16"/>
    </row>
    <row r="48" spans="1:20" ht="15.75" customHeight="1" thickBot="1" x14ac:dyDescent="0.3">
      <c r="A48" s="78" t="s">
        <v>132</v>
      </c>
      <c r="B48" s="78"/>
      <c r="E48" s="16">
        <f t="shared" si="0"/>
        <v>0</v>
      </c>
      <c r="F48" s="16"/>
      <c r="G48" s="16"/>
    </row>
    <row r="49" spans="1:9" ht="15.75" customHeight="1" thickBot="1" x14ac:dyDescent="0.3">
      <c r="A49" s="78" t="s">
        <v>132</v>
      </c>
      <c r="B49" s="78"/>
      <c r="E49" s="16">
        <f t="shared" si="0"/>
        <v>0</v>
      </c>
      <c r="F49" s="52"/>
      <c r="G49" s="52"/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5728</v>
      </c>
      <c r="D55">
        <f>_xlfn.STDEV.P(D2:D4)</f>
        <v>26.919633479426622</v>
      </c>
      <c r="E55">
        <f t="shared" ref="E55:E71" si="6">CONFIDENCE(0.05,D55,3)</f>
        <v>30.461873211878459</v>
      </c>
      <c r="F55" s="2">
        <f>(C55-C77)/C77</f>
        <v>0.18396031417941297</v>
      </c>
      <c r="G55">
        <f>F55*100</f>
        <v>18.396031417941298</v>
      </c>
      <c r="H55" s="50">
        <f>(D55)/C77</f>
        <v>5.5642070027752425E-3</v>
      </c>
      <c r="I55">
        <f>H55*100</f>
        <v>0.55642070027752422</v>
      </c>
    </row>
    <row r="56" spans="1:9" x14ac:dyDescent="0.25">
      <c r="A56" t="s">
        <v>105</v>
      </c>
      <c r="C56" s="48">
        <f>AVERAGE(D5:D7)</f>
        <v>5164</v>
      </c>
      <c r="D56">
        <f>_xlfn.STDEV.P(D5:D7)</f>
        <v>15.769168230019828</v>
      </c>
      <c r="E56">
        <f t="shared" si="6"/>
        <v>17.844165807337632</v>
      </c>
      <c r="F56" s="2">
        <f>(C56-C77)/C77</f>
        <v>6.7383216205043409E-2</v>
      </c>
      <c r="G56">
        <f t="shared" ref="G56:G69" si="7">F56*100</f>
        <v>6.7383216205043412</v>
      </c>
      <c r="H56" s="50">
        <f>(D56)/C77</f>
        <v>3.2594394853286126E-3</v>
      </c>
      <c r="I56">
        <f t="shared" ref="I56:I69" si="8">H56*100</f>
        <v>0.32594394853286124</v>
      </c>
    </row>
    <row r="57" spans="1:9" x14ac:dyDescent="0.25">
      <c r="A57" t="s">
        <v>158</v>
      </c>
      <c r="C57" s="48">
        <f>AVERAGE(D8:D10)</f>
        <v>4884.333333333333</v>
      </c>
      <c r="D57">
        <f>_xlfn.STDEV.P(D8:D10)</f>
        <v>2.6246692913372702</v>
      </c>
      <c r="E57">
        <f t="shared" si="6"/>
        <v>2.9700383267450698</v>
      </c>
      <c r="F57" s="2">
        <f>(C57-C77)/C77</f>
        <v>9.5769601763813616E-3</v>
      </c>
      <c r="G57">
        <f t="shared" si="7"/>
        <v>0.95769601763813617</v>
      </c>
      <c r="H57" s="50">
        <f>(D57)/C77</f>
        <v>5.4251122185557468E-4</v>
      </c>
      <c r="I57">
        <f t="shared" si="8"/>
        <v>5.4251122185557471E-2</v>
      </c>
    </row>
    <row r="58" spans="1:9" x14ac:dyDescent="0.25">
      <c r="A58" t="s">
        <v>159</v>
      </c>
      <c r="C58" s="48">
        <f>AVERAGE(D32:D34)</f>
        <v>4588.666666666667</v>
      </c>
      <c r="D58">
        <f>_xlfn.STDEV.P(D32:D34)</f>
        <v>95.81347620362294</v>
      </c>
      <c r="E58">
        <f t="shared" si="6"/>
        <v>108.42116280426644</v>
      </c>
      <c r="F58" s="2">
        <f>(C58-C77)/C77</f>
        <v>-5.1536447567865448E-2</v>
      </c>
      <c r="G58">
        <f t="shared" si="7"/>
        <v>-5.1536447567865444</v>
      </c>
      <c r="H58" s="50">
        <f>(D58)/C77</f>
        <v>1.9804356387685601E-2</v>
      </c>
      <c r="I58">
        <f t="shared" si="8"/>
        <v>1.9804356387685602</v>
      </c>
    </row>
    <row r="59" spans="1:9" x14ac:dyDescent="0.25">
      <c r="A59" t="s">
        <v>160</v>
      </c>
      <c r="C59" s="48">
        <f>AVERAGE(D41:D43)</f>
        <v>4516.666666666667</v>
      </c>
      <c r="D59">
        <f>_xlfn.STDEV.P(D41:D43)</f>
        <v>25.746628689770024</v>
      </c>
      <c r="E59">
        <f t="shared" si="6"/>
        <v>29.134517725900032</v>
      </c>
      <c r="F59" s="2">
        <f>(C59-C77)/C77</f>
        <v>-6.6418630287997729E-2</v>
      </c>
      <c r="G59">
        <f t="shared" si="7"/>
        <v>-6.6418630287997731</v>
      </c>
      <c r="H59" s="50">
        <f>(D59)/C77</f>
        <v>5.3217504526188557E-3</v>
      </c>
      <c r="I59">
        <f t="shared" si="8"/>
        <v>0.53217504526188553</v>
      </c>
    </row>
    <row r="60" spans="1:9" x14ac:dyDescent="0.25">
      <c r="A60" t="s">
        <v>161</v>
      </c>
      <c r="C60" s="48">
        <f>AVERAGE(D84:D86)</f>
        <v>4620</v>
      </c>
      <c r="D60">
        <f>_xlfn.STDEV.P(D84:D86)</f>
        <v>0</v>
      </c>
      <c r="E60" t="e">
        <f t="shared" si="6"/>
        <v>#NUM!</v>
      </c>
      <c r="F60" s="2">
        <f>(C60-C77)/C77</f>
        <v>-4.505994212484498E-2</v>
      </c>
      <c r="G60">
        <f t="shared" si="7"/>
        <v>-4.5059942124844978</v>
      </c>
      <c r="H60" s="50">
        <f>(D60)/C77</f>
        <v>0</v>
      </c>
      <c r="I60">
        <f t="shared" si="8"/>
        <v>0</v>
      </c>
    </row>
    <row r="61" spans="1:9" x14ac:dyDescent="0.25">
      <c r="A61" t="s">
        <v>162</v>
      </c>
      <c r="C61" s="48" t="e">
        <f>AVERAGE(D93:D95)</f>
        <v>#DIV/0!</v>
      </c>
      <c r="D61" t="e">
        <f>_xlfn.STDEV.P(D93:D95)</f>
        <v>#DIV/0!</v>
      </c>
      <c r="E61" t="e">
        <f t="shared" si="6"/>
        <v>#DIV/0!</v>
      </c>
      <c r="F61" s="2" t="e">
        <f>(C61-C77)/C77</f>
        <v>#DIV/0!</v>
      </c>
      <c r="G61" t="e">
        <f t="shared" si="7"/>
        <v>#DIV/0!</v>
      </c>
      <c r="H61" s="50" t="e">
        <f>(D61)/C77</f>
        <v>#DIV/0!</v>
      </c>
      <c r="I61" t="e">
        <f t="shared" si="8"/>
        <v>#DIV/0!</v>
      </c>
    </row>
    <row r="62" spans="1:9" x14ac:dyDescent="0.25">
      <c r="A62" t="s">
        <v>111</v>
      </c>
      <c r="C62" s="48">
        <f>AVERAGE(D11:D13)</f>
        <v>6043.333333333333</v>
      </c>
      <c r="D62">
        <f>_xlfn.STDEV.P(D11:D13)</f>
        <v>44.887513730311341</v>
      </c>
      <c r="E62">
        <f t="shared" si="6"/>
        <v>50.794070175368589</v>
      </c>
      <c r="F62" s="2">
        <f>(C62-C77)/C77</f>
        <v>0.24913876257406636</v>
      </c>
      <c r="G62">
        <f t="shared" si="7"/>
        <v>24.913876257406635</v>
      </c>
      <c r="H62" s="50">
        <f>(D62)/C77</f>
        <v>9.2781136275963908E-3</v>
      </c>
      <c r="I62">
        <f t="shared" si="8"/>
        <v>0.92781136275963905</v>
      </c>
    </row>
    <row r="63" spans="1:9" x14ac:dyDescent="0.25">
      <c r="A63" t="s">
        <v>112</v>
      </c>
      <c r="C63" s="48">
        <f>AVERAGE(D14:D16)</f>
        <v>5853</v>
      </c>
      <c r="D63">
        <f>_xlfn.STDEV.P(D14:D16)</f>
        <v>57.078892771321343</v>
      </c>
      <c r="E63">
        <f t="shared" si="6"/>
        <v>64.589660776890739</v>
      </c>
      <c r="F63" s="2">
        <f>(C63-C77)/C77</f>
        <v>0.20979743695742042</v>
      </c>
      <c r="G63">
        <f t="shared" si="7"/>
        <v>20.979743695742041</v>
      </c>
      <c r="H63" s="50">
        <f>(D63)/C77</f>
        <v>1.1798034884522808E-2</v>
      </c>
      <c r="I63">
        <f t="shared" si="8"/>
        <v>1.1798034884522808</v>
      </c>
    </row>
    <row r="64" spans="1:9" x14ac:dyDescent="0.25">
      <c r="A64" t="s">
        <v>163</v>
      </c>
      <c r="C64" s="48">
        <f>AVERAGE(D17:D19)</f>
        <v>5686.666666666667</v>
      </c>
      <c r="D64">
        <f>_xlfn.STDEV.P(D17:D19)</f>
        <v>30.922843048824312</v>
      </c>
      <c r="E64">
        <f t="shared" si="6"/>
        <v>34.991848051126091</v>
      </c>
      <c r="F64" s="2">
        <f>(C64-C77)/C77</f>
        <v>0.17541683891415191</v>
      </c>
      <c r="G64">
        <f t="shared" si="7"/>
        <v>17.54168389141519</v>
      </c>
      <c r="H64" s="50">
        <f>(D64)/C77</f>
        <v>6.3916583399802216E-3</v>
      </c>
      <c r="I64">
        <f t="shared" si="8"/>
        <v>0.63916583399802218</v>
      </c>
    </row>
    <row r="65" spans="1:16" x14ac:dyDescent="0.25">
      <c r="A65" t="s">
        <v>164</v>
      </c>
      <c r="C65" s="48">
        <f>AVERAGE(D35:D37)</f>
        <v>5259.666666666667</v>
      </c>
      <c r="D65">
        <f>_xlfn.STDEV.P(D35:D37)</f>
        <v>0.94280904158206336</v>
      </c>
      <c r="E65">
        <f t="shared" si="6"/>
        <v>1.0668692614122908</v>
      </c>
      <c r="F65" s="2">
        <f>(C65-C77)/C77</f>
        <v>8.7157227504478491E-2</v>
      </c>
      <c r="G65">
        <f t="shared" si="7"/>
        <v>8.7157227504478492</v>
      </c>
      <c r="H65" s="50">
        <f>(D65)/C77</f>
        <v>1.9487578370857035E-4</v>
      </c>
      <c r="I65">
        <f t="shared" si="8"/>
        <v>1.9487578370857035E-2</v>
      </c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6"/>
        <v>#DIV/0!</v>
      </c>
      <c r="F66" s="2" t="e">
        <f>(C66-C77)/C77</f>
        <v>#DIV/0!</v>
      </c>
      <c r="G66" t="e">
        <f t="shared" si="7"/>
        <v>#DIV/0!</v>
      </c>
      <c r="H66" s="50" t="e">
        <f>(D66)/C77</f>
        <v>#DIV/0!</v>
      </c>
      <c r="I66" t="e">
        <f t="shared" si="8"/>
        <v>#DIV/0!</v>
      </c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6"/>
        <v>#DIV/0!</v>
      </c>
      <c r="F67" s="2" t="e">
        <f>(C67-C77)/C77</f>
        <v>#DIV/0!</v>
      </c>
      <c r="G67" t="e">
        <f t="shared" si="7"/>
        <v>#DIV/0!</v>
      </c>
      <c r="H67" s="50" t="e">
        <f>(D67)/C77</f>
        <v>#DIV/0!</v>
      </c>
      <c r="I67" t="e">
        <f t="shared" si="8"/>
        <v>#DIV/0!</v>
      </c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6"/>
        <v>#DIV/0!</v>
      </c>
      <c r="F68" s="2" t="e">
        <f>(C68-C77)/C77</f>
        <v>#DIV/0!</v>
      </c>
      <c r="G68" t="e">
        <f t="shared" si="7"/>
        <v>#DIV/0!</v>
      </c>
      <c r="H68" s="50" t="e">
        <f>(D68)/C77</f>
        <v>#DIV/0!</v>
      </c>
      <c r="I68" t="e">
        <f t="shared" si="8"/>
        <v>#DIV/0!</v>
      </c>
    </row>
    <row r="69" spans="1:16" x14ac:dyDescent="0.25">
      <c r="A69" t="s">
        <v>168</v>
      </c>
      <c r="C69" s="48">
        <f>AVERAGE(D20:D22)</f>
        <v>5803</v>
      </c>
      <c r="D69">
        <f>_xlfn.STDEV.P(D20:D22)</f>
        <v>38</v>
      </c>
      <c r="E69">
        <f t="shared" si="6"/>
        <v>43.000257894894517</v>
      </c>
      <c r="F69" s="2">
        <f>(C69-C77)/C77</f>
        <v>0.19946258784621745</v>
      </c>
      <c r="G69">
        <f t="shared" si="7"/>
        <v>19.946258784621744</v>
      </c>
      <c r="H69" s="50">
        <f>(D69)/C77</f>
        <v>7.8544853245142623E-3</v>
      </c>
      <c r="I69">
        <f t="shared" si="8"/>
        <v>0.78544853245142621</v>
      </c>
    </row>
    <row r="70" spans="1:16" x14ac:dyDescent="0.25">
      <c r="A70" t="s">
        <v>119</v>
      </c>
      <c r="C70" s="48">
        <f>AVERAGE(D23:D25)</f>
        <v>5902</v>
      </c>
      <c r="D70">
        <f>_xlfn.STDEV.P(D23:D25)</f>
        <v>0</v>
      </c>
      <c r="E70" t="e">
        <f t="shared" si="6"/>
        <v>#NUM!</v>
      </c>
      <c r="F70" s="2">
        <f>(C70-C77)/C77</f>
        <v>0.21992558908639934</v>
      </c>
      <c r="G70">
        <f>F70*100</f>
        <v>21.992558908639932</v>
      </c>
      <c r="H70" s="50">
        <f>(D70)/C77</f>
        <v>0</v>
      </c>
      <c r="I70">
        <f>H70*100</f>
        <v>0</v>
      </c>
    </row>
    <row r="71" spans="1:16" x14ac:dyDescent="0.25">
      <c r="A71" t="s">
        <v>115</v>
      </c>
      <c r="C71" s="48">
        <f>AVERAGE(D26:D28)</f>
        <v>5797</v>
      </c>
      <c r="D71">
        <f>_xlfn.STDEV.P(D26:D28)</f>
        <v>0</v>
      </c>
      <c r="E71" t="e">
        <f t="shared" si="6"/>
        <v>#NUM!</v>
      </c>
      <c r="F71" s="2">
        <f>(C71-C77)/C77</f>
        <v>0.19822240595287308</v>
      </c>
      <c r="G71">
        <f>F71*100</f>
        <v>19.822240595287308</v>
      </c>
      <c r="H71" s="50">
        <f>(D71)/C77</f>
        <v>0</v>
      </c>
      <c r="I71">
        <f>H71*100</f>
        <v>0</v>
      </c>
    </row>
    <row r="72" spans="1:16" x14ac:dyDescent="0.25">
      <c r="A72" t="s">
        <v>153</v>
      </c>
      <c r="C72" s="48">
        <f>AVERAGE(D29:D31)</f>
        <v>5593</v>
      </c>
      <c r="D72">
        <f>_xlfn.STDEV.P(D29:D31)</f>
        <v>0</v>
      </c>
      <c r="E72" t="e">
        <f>CONFIDENCE(0.05,D72,3)</f>
        <v>#NUM!</v>
      </c>
      <c r="F72" s="2">
        <f>(C72-C77)/C77</f>
        <v>0.15605622157916493</v>
      </c>
      <c r="G72">
        <f>F72*100</f>
        <v>15.605622157916493</v>
      </c>
      <c r="H72" s="50">
        <f>(D72)/C77</f>
        <v>0</v>
      </c>
      <c r="I72">
        <f>H72*100</f>
        <v>0</v>
      </c>
    </row>
    <row r="73" spans="1:16" x14ac:dyDescent="0.25">
      <c r="A73" t="s">
        <v>154</v>
      </c>
      <c r="C73" s="48">
        <f>AVERAGE(D38:D40)</f>
        <v>5244</v>
      </c>
      <c r="D73">
        <f>_xlfn.STDEV.P(D38:D40)</f>
        <v>0</v>
      </c>
      <c r="E73" t="e">
        <f t="shared" ref="E73:E75" si="9">CONFIDENCE(0.05,D73,3)</f>
        <v>#NUM!</v>
      </c>
      <c r="F73" s="2">
        <f>(C73-C77)/C77</f>
        <v>8.391897478296817E-2</v>
      </c>
      <c r="G73">
        <f t="shared" ref="G73:G75" si="10">F73*100</f>
        <v>8.3918974782968174</v>
      </c>
      <c r="H73" s="50">
        <f>(D73)/C77</f>
        <v>0</v>
      </c>
      <c r="I73">
        <f t="shared" ref="I73:I75" si="11">H73*100</f>
        <v>0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9"/>
        <v>#DIV/0!</v>
      </c>
      <c r="F74" s="2" t="e">
        <f>(C74-C77)/C77</f>
        <v>#DIV/0!</v>
      </c>
      <c r="G74" t="e">
        <f t="shared" si="10"/>
        <v>#DIV/0!</v>
      </c>
      <c r="H74" s="50" t="e">
        <f>(D74)/C77</f>
        <v>#DIV/0!</v>
      </c>
      <c r="I74" t="e">
        <f t="shared" si="11"/>
        <v>#DIV/0!</v>
      </c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9"/>
        <v>#NUM!</v>
      </c>
      <c r="F75" s="2" t="e">
        <f>(C75-C77)/C77</f>
        <v>#DIV/0!</v>
      </c>
      <c r="G75" t="e">
        <f t="shared" si="10"/>
        <v>#DIV/0!</v>
      </c>
      <c r="H75" s="50">
        <f>(D75)/C77</f>
        <v>0</v>
      </c>
      <c r="I75">
        <f t="shared" si="11"/>
        <v>0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 s="26">
        <f>80*60+38</f>
        <v>4838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D84">
        <f>77*60</f>
        <v>4620</v>
      </c>
      <c r="E84" s="49">
        <f t="shared" ref="E84:E101" si="12">G84-F84</f>
        <v>5.3472222222222254E-2</v>
      </c>
      <c r="F84" s="16">
        <v>0.59184027777777781</v>
      </c>
      <c r="G84" s="16">
        <v>0.64531250000000007</v>
      </c>
    </row>
    <row r="85" spans="1:7" ht="27" thickBot="1" x14ac:dyDescent="0.3">
      <c r="A85" s="55" t="s">
        <v>138</v>
      </c>
      <c r="B85" s="55"/>
      <c r="C85" s="56"/>
      <c r="D85" s="57"/>
      <c r="E85" s="49">
        <f t="shared" si="12"/>
        <v>0</v>
      </c>
      <c r="F85" s="56"/>
      <c r="G85" s="56"/>
    </row>
    <row r="86" spans="1:7" ht="27" thickBot="1" x14ac:dyDescent="0.3">
      <c r="A86" s="55" t="s">
        <v>138</v>
      </c>
      <c r="B86" s="55"/>
      <c r="C86" s="56"/>
      <c r="D86" s="57"/>
      <c r="E86" s="49">
        <f t="shared" si="12"/>
        <v>0</v>
      </c>
      <c r="F86" s="56"/>
      <c r="G86" s="56"/>
    </row>
    <row r="87" spans="1:7" ht="27" thickBot="1" x14ac:dyDescent="0.3">
      <c r="A87" s="55" t="s">
        <v>139</v>
      </c>
      <c r="B87" s="55"/>
      <c r="C87" s="56"/>
      <c r="D87" s="57"/>
      <c r="E87" s="49">
        <f t="shared" si="12"/>
        <v>0</v>
      </c>
      <c r="F87" s="56"/>
      <c r="G87" s="56"/>
    </row>
    <row r="88" spans="1:7" ht="27" thickBot="1" x14ac:dyDescent="0.3">
      <c r="A88" s="55" t="s">
        <v>139</v>
      </c>
      <c r="B88" s="55"/>
      <c r="C88" s="56"/>
      <c r="D88" s="57"/>
      <c r="E88" s="49">
        <f t="shared" si="12"/>
        <v>0</v>
      </c>
      <c r="F88" s="56"/>
      <c r="G88" s="56"/>
    </row>
    <row r="89" spans="1:7" ht="27" thickBot="1" x14ac:dyDescent="0.3">
      <c r="A89" s="55" t="s">
        <v>139</v>
      </c>
      <c r="B89" s="55"/>
      <c r="C89" s="56"/>
      <c r="D89" s="57"/>
      <c r="E89" s="49">
        <f t="shared" si="12"/>
        <v>0</v>
      </c>
      <c r="F89" s="56"/>
      <c r="G89" s="56"/>
    </row>
    <row r="90" spans="1:7" ht="27" thickBot="1" x14ac:dyDescent="0.3">
      <c r="A90" s="55" t="s">
        <v>140</v>
      </c>
      <c r="B90" s="55"/>
      <c r="C90" s="55"/>
      <c r="D90" s="57"/>
      <c r="E90" s="49">
        <f t="shared" si="12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/>
      <c r="E91" s="49">
        <f t="shared" si="12"/>
        <v>0</v>
      </c>
      <c r="F91" s="56"/>
      <c r="G91" s="56"/>
    </row>
    <row r="92" spans="1:7" ht="27" thickBot="1" x14ac:dyDescent="0.3">
      <c r="A92" s="55" t="s">
        <v>140</v>
      </c>
      <c r="B92" s="55"/>
      <c r="C92" s="56"/>
      <c r="D92" s="57"/>
      <c r="E92" s="49">
        <f t="shared" si="12"/>
        <v>0</v>
      </c>
      <c r="F92" s="56"/>
      <c r="G92" s="56"/>
    </row>
    <row r="93" spans="1:7" ht="39.75" thickBot="1" x14ac:dyDescent="0.3">
      <c r="A93" s="3" t="s">
        <v>141</v>
      </c>
      <c r="B93" s="55"/>
      <c r="C93" s="56"/>
      <c r="D93" s="57"/>
      <c r="E93" s="49">
        <f t="shared" si="12"/>
        <v>0</v>
      </c>
      <c r="F93" s="58"/>
      <c r="G93" s="59"/>
    </row>
    <row r="94" spans="1:7" ht="39.75" thickBot="1" x14ac:dyDescent="0.3">
      <c r="A94" s="3" t="s">
        <v>141</v>
      </c>
      <c r="B94" s="55"/>
      <c r="C94" s="56"/>
      <c r="D94" s="57"/>
      <c r="E94" s="49">
        <f t="shared" si="12"/>
        <v>0</v>
      </c>
      <c r="F94" s="58"/>
      <c r="G94" s="59"/>
    </row>
    <row r="95" spans="1:7" ht="39.75" thickBot="1" x14ac:dyDescent="0.3">
      <c r="A95" s="3" t="s">
        <v>141</v>
      </c>
      <c r="B95" s="55"/>
      <c r="C95" s="56"/>
      <c r="D95" s="57"/>
      <c r="E95" s="49">
        <f t="shared" si="12"/>
        <v>0</v>
      </c>
      <c r="F95" s="58"/>
      <c r="G95" s="59"/>
    </row>
    <row r="96" spans="1:7" ht="39.75" thickBot="1" x14ac:dyDescent="0.3">
      <c r="A96" s="3" t="s">
        <v>142</v>
      </c>
      <c r="B96" s="55"/>
      <c r="C96" s="56"/>
      <c r="D96" s="57"/>
      <c r="E96" s="49">
        <f t="shared" si="12"/>
        <v>0</v>
      </c>
      <c r="F96" s="58"/>
      <c r="G96" s="59"/>
    </row>
    <row r="97" spans="1:8" ht="39.75" thickBot="1" x14ac:dyDescent="0.3">
      <c r="A97" s="3" t="s">
        <v>142</v>
      </c>
      <c r="B97" s="55"/>
      <c r="C97" s="56"/>
      <c r="D97" s="57"/>
      <c r="E97" s="49">
        <f t="shared" si="12"/>
        <v>0</v>
      </c>
      <c r="F97" s="58"/>
      <c r="G97" s="59"/>
    </row>
    <row r="98" spans="1:8" ht="39.75" thickBot="1" x14ac:dyDescent="0.3">
      <c r="A98" s="3" t="s">
        <v>142</v>
      </c>
      <c r="B98" s="55"/>
      <c r="C98" s="56"/>
      <c r="D98" s="57"/>
      <c r="E98" s="49">
        <f t="shared" si="12"/>
        <v>0</v>
      </c>
      <c r="F98" s="58"/>
      <c r="G98" s="59"/>
    </row>
    <row r="99" spans="1:8" ht="39.75" thickBot="1" x14ac:dyDescent="0.3">
      <c r="A99" s="3" t="s">
        <v>143</v>
      </c>
      <c r="B99" s="55"/>
      <c r="C99" s="55"/>
      <c r="D99" s="57"/>
      <c r="E99" s="49">
        <f t="shared" si="12"/>
        <v>0</v>
      </c>
      <c r="F99" s="58"/>
      <c r="G99" s="18"/>
    </row>
    <row r="100" spans="1:8" ht="39.75" thickBot="1" x14ac:dyDescent="0.3">
      <c r="A100" s="3" t="s">
        <v>143</v>
      </c>
      <c r="B100" s="55"/>
      <c r="C100" s="56"/>
      <c r="D100" s="57"/>
      <c r="E100" s="49">
        <f t="shared" si="12"/>
        <v>0</v>
      </c>
      <c r="F100" s="54"/>
      <c r="G100" s="54"/>
    </row>
    <row r="101" spans="1:8" ht="39.75" thickBot="1" x14ac:dyDescent="0.3">
      <c r="A101" s="3" t="s">
        <v>143</v>
      </c>
      <c r="B101" s="55"/>
      <c r="C101" s="56"/>
      <c r="D101" s="57"/>
      <c r="E101" s="49">
        <f t="shared" si="12"/>
        <v>0</v>
      </c>
      <c r="F101" s="54"/>
      <c r="G101" s="54"/>
    </row>
    <row r="109" spans="1:8" x14ac:dyDescent="0.25">
      <c r="A109" t="s">
        <v>167</v>
      </c>
      <c r="D109">
        <f>97*60+21</f>
        <v>5841</v>
      </c>
      <c r="E109" s="16">
        <f>G20-F20</f>
        <v>6.7604166666666687E-2</v>
      </c>
      <c r="F109" s="88">
        <v>0.38863425925925926</v>
      </c>
      <c r="G109" s="88">
        <v>0.45718750000000002</v>
      </c>
    </row>
    <row r="110" spans="1:8" x14ac:dyDescent="0.25">
      <c r="A110" t="s">
        <v>167</v>
      </c>
      <c r="D110">
        <f>97*60+44</f>
        <v>5864</v>
      </c>
      <c r="E110" s="16">
        <f t="shared" ref="E110:E114" si="13">G110-F110</f>
        <v>6.787037037037047E-2</v>
      </c>
      <c r="F110" s="18">
        <v>0.7882986111111111</v>
      </c>
      <c r="G110" s="18">
        <v>0.85616898148148157</v>
      </c>
    </row>
    <row r="111" spans="1:8" x14ac:dyDescent="0.25">
      <c r="A111" t="s">
        <v>167</v>
      </c>
      <c r="D111">
        <f>97*60+44</f>
        <v>5864</v>
      </c>
      <c r="E111" s="16">
        <f t="shared" si="13"/>
        <v>6.7870370370370386E-2</v>
      </c>
      <c r="F111" s="16">
        <v>0.14451388888888889</v>
      </c>
      <c r="G111" s="16">
        <v>0.21238425925925927</v>
      </c>
      <c r="H111">
        <v>5</v>
      </c>
    </row>
    <row r="112" spans="1:8" x14ac:dyDescent="0.25">
      <c r="A112" t="s">
        <v>166</v>
      </c>
      <c r="D112">
        <f>98*60+2</f>
        <v>5882</v>
      </c>
      <c r="E112" s="16">
        <f>G112-F112</f>
        <v>6.8078703703703614E-2</v>
      </c>
      <c r="F112" s="18">
        <v>0.85626157407407411</v>
      </c>
      <c r="G112" s="18">
        <v>0.92434027777777772</v>
      </c>
    </row>
    <row r="113" spans="1:9" x14ac:dyDescent="0.25">
      <c r="A113" t="s">
        <v>166</v>
      </c>
      <c r="D113">
        <f>96*60+11</f>
        <v>5771</v>
      </c>
      <c r="E113" s="16">
        <f t="shared" si="13"/>
        <v>6.6793981481481496E-2</v>
      </c>
      <c r="F113" s="16">
        <v>0.21354166666666666</v>
      </c>
      <c r="G113" s="16">
        <v>0.28033564814814815</v>
      </c>
      <c r="H113">
        <v>5</v>
      </c>
    </row>
    <row r="114" spans="1:9" x14ac:dyDescent="0.25">
      <c r="A114" t="s">
        <v>166</v>
      </c>
      <c r="E114" s="16">
        <f t="shared" si="13"/>
        <v>0</v>
      </c>
      <c r="F114" s="16"/>
      <c r="G114" s="51"/>
    </row>
    <row r="127" spans="1:9" x14ac:dyDescent="0.25">
      <c r="A127" t="s">
        <v>168</v>
      </c>
      <c r="C127" s="48">
        <v>5803</v>
      </c>
      <c r="D127">
        <v>38</v>
      </c>
      <c r="E127">
        <v>43.000257894894517</v>
      </c>
      <c r="F127" s="2">
        <v>0.19946258784621745</v>
      </c>
      <c r="G127">
        <v>19.946258784621744</v>
      </c>
      <c r="H127" s="50">
        <v>7.8544853245142623E-3</v>
      </c>
      <c r="I127">
        <v>0.78544853245142621</v>
      </c>
    </row>
    <row r="128" spans="1:9" x14ac:dyDescent="0.25">
      <c r="A128" t="s">
        <v>167</v>
      </c>
      <c r="C128">
        <f>AVERAGE(D109:D111)</f>
        <v>5856.333333333333</v>
      </c>
      <c r="D128">
        <f>_xlfn.STDEV.P(D109:D111)</f>
        <v>10.842303978193728</v>
      </c>
      <c r="E128">
        <f t="shared" ref="E128:E129" si="14">CONFIDENCE(0.05,D128,3)</f>
        <v>12.268996506241345</v>
      </c>
      <c r="F128" s="2">
        <f>(C128-C131)/C131</f>
        <v>0.21048642689816721</v>
      </c>
      <c r="G128">
        <f>F128*100</f>
        <v>21.04864268981672</v>
      </c>
      <c r="H128" s="50">
        <f>(D128)/C131</f>
        <v>2.2410715126485589E-3</v>
      </c>
      <c r="I128">
        <f>H128*100</f>
        <v>0.22410715126485589</v>
      </c>
    </row>
    <row r="129" spans="1:21" x14ac:dyDescent="0.25">
      <c r="A129" t="s">
        <v>166</v>
      </c>
      <c r="C129">
        <f>AVERAGE(D112:D114)</f>
        <v>5826.5</v>
      </c>
      <c r="D129">
        <f>_xlfn.STDEV.P(D112:D114)</f>
        <v>55.5</v>
      </c>
      <c r="E129">
        <f t="shared" si="14"/>
        <v>62.803008241227523</v>
      </c>
      <c r="F129" s="2">
        <f>(C129-C131)/C131</f>
        <v>0.20431996692848284</v>
      </c>
      <c r="G129">
        <f>F129*100</f>
        <v>20.431996692848283</v>
      </c>
      <c r="H129" s="50">
        <f>(D129)/C131</f>
        <v>1.1471682513435303E-2</v>
      </c>
      <c r="I129">
        <f>H129*100</f>
        <v>1.1471682513435304</v>
      </c>
    </row>
    <row r="131" spans="1:21" x14ac:dyDescent="0.25">
      <c r="A131" t="s">
        <v>122</v>
      </c>
      <c r="C131" s="26">
        <f>80*60+38</f>
        <v>4838</v>
      </c>
    </row>
    <row r="136" spans="1:21" x14ac:dyDescent="0.25">
      <c r="A136" t="s">
        <v>191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5">F144-E144</f>
        <v>0</v>
      </c>
      <c r="G144">
        <f>23*60+20</f>
        <v>1400</v>
      </c>
      <c r="H144" s="81">
        <f t="shared" ref="H144:H169" si="16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5"/>
        <v>0</v>
      </c>
      <c r="G145">
        <f>22*60+5</f>
        <v>1325</v>
      </c>
      <c r="H145" s="81">
        <f t="shared" si="16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5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6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5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5"/>
        <v>0</v>
      </c>
      <c r="G148">
        <f>21*60+47</f>
        <v>1307</v>
      </c>
      <c r="H148" s="81">
        <f t="shared" si="16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5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6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5"/>
        <v>0</v>
      </c>
      <c r="G150">
        <f>19*60+28</f>
        <v>1168</v>
      </c>
      <c r="H150" s="81">
        <f t="shared" si="16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5"/>
        <v>0</v>
      </c>
      <c r="G151">
        <f>19*60+32</f>
        <v>1172</v>
      </c>
      <c r="H151" s="81">
        <f t="shared" si="16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5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6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5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5"/>
        <v>0</v>
      </c>
      <c r="H154" s="81">
        <f t="shared" si="16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5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6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5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5"/>
        <v>0</v>
      </c>
      <c r="H157" s="81">
        <f t="shared" si="16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5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6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5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5"/>
        <v>0</v>
      </c>
      <c r="H160" s="81">
        <f t="shared" si="16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5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6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5"/>
        <v>0</v>
      </c>
      <c r="G162">
        <f>24*60+24</f>
        <v>1464</v>
      </c>
      <c r="H162" s="81">
        <f t="shared" si="16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5"/>
        <v>0</v>
      </c>
      <c r="G163">
        <f>19*60+40</f>
        <v>1180</v>
      </c>
      <c r="H163" s="81">
        <f t="shared" si="16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5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6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6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6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6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6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6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17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17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17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17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17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17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17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17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17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17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17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17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17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17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17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17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17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17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17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17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17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17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17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17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G16" zoomScaleNormal="100" workbookViewId="0">
      <selection activeCell="O30" sqref="O30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si="9"/>
        <v>23.252641334108645</v>
      </c>
      <c r="F68" s="2">
        <f>(C68-C77)/C77</f>
        <v>-0.22103174603174602</v>
      </c>
      <c r="G68">
        <f t="shared" si="10"/>
        <v>-22.103174603174601</v>
      </c>
      <c r="H68" s="50">
        <f>(D68)/C77</f>
        <v>1.6308509990503588E-2</v>
      </c>
      <c r="I68">
        <f t="shared" si="11"/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2">CONFIDENCE(0.05,D73,3)</f>
        <v>17.627573165877632</v>
      </c>
      <c r="F73" s="2">
        <f>(C73-C77)/C77</f>
        <v>-0.22142857142857142</v>
      </c>
      <c r="G73">
        <f t="shared" ref="G73:G75" si="13">F73*100</f>
        <v>-22.142857142857142</v>
      </c>
      <c r="H73" s="50">
        <f>(D73)/C77</f>
        <v>1.2363303116981928E-2</v>
      </c>
      <c r="I73">
        <f t="shared" ref="I73:I75" si="14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2"/>
        <v>9.068388722004471</v>
      </c>
      <c r="F74" s="2">
        <f>(C74-C77)/C77</f>
        <v>-0.21931216931216935</v>
      </c>
      <c r="G74">
        <f t="shared" si="13"/>
        <v>-21.931216931216934</v>
      </c>
      <c r="H74" s="50">
        <f>(D74)/C77</f>
        <v>6.3602197249583636E-3</v>
      </c>
      <c r="I74">
        <f t="shared" si="14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2"/>
        <v>5.2750781049012678E-5</v>
      </c>
      <c r="F75" s="2">
        <f>(C75-C77)/C77</f>
        <v>-0.22751322751322747</v>
      </c>
      <c r="G75">
        <f t="shared" si="13"/>
        <v>-22.751322751322746</v>
      </c>
      <c r="H75" s="50">
        <f>(D75)/C77</f>
        <v>3.6997372788043663E-8</v>
      </c>
      <c r="I75">
        <f t="shared" si="14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101" si="15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5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5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5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5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5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5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5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5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si="15"/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5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5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5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5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5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5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5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5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16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16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16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16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16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16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:E129" si="17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si="17"/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8">F144-E144</f>
        <v>0</v>
      </c>
      <c r="G144">
        <f>23*60+20</f>
        <v>1400</v>
      </c>
      <c r="H144" s="81">
        <f t="shared" ref="H144:H169" si="19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8"/>
        <v>0</v>
      </c>
      <c r="G145">
        <f>22*60+5</f>
        <v>1325</v>
      </c>
      <c r="H145" s="81">
        <f t="shared" si="19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8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9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8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8"/>
        <v>0</v>
      </c>
      <c r="G148">
        <f>21*60+47</f>
        <v>1307</v>
      </c>
      <c r="H148" s="81">
        <f t="shared" si="19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8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9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8"/>
        <v>0</v>
      </c>
      <c r="G150">
        <f>19*60+28</f>
        <v>1168</v>
      </c>
      <c r="H150" s="81">
        <f t="shared" si="19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8"/>
        <v>0</v>
      </c>
      <c r="G151">
        <f>19*60+32</f>
        <v>1172</v>
      </c>
      <c r="H151" s="81">
        <f t="shared" si="19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8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9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8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8"/>
        <v>0</v>
      </c>
      <c r="H154" s="81">
        <f t="shared" si="19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8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9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8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8"/>
        <v>0</v>
      </c>
      <c r="H157" s="81">
        <f t="shared" si="19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8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9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8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8"/>
        <v>0</v>
      </c>
      <c r="H160" s="81">
        <f t="shared" si="19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8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9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8"/>
        <v>0</v>
      </c>
      <c r="G162">
        <f>24*60+24</f>
        <v>1464</v>
      </c>
      <c r="H162" s="81">
        <f t="shared" si="19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8"/>
        <v>0</v>
      </c>
      <c r="G163">
        <f>19*60+40</f>
        <v>1180</v>
      </c>
      <c r="H163" s="81">
        <f t="shared" si="19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8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9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9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9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9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9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9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20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20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20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20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0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20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20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0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20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20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0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0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0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0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0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0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0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0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0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0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0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0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0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0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H34" zoomScaleNormal="100" workbookViewId="0">
      <selection sqref="A1:AN334"/>
    </sheetView>
  </sheetViews>
  <sheetFormatPr defaultRowHeight="15" x14ac:dyDescent="0.25"/>
  <cols>
    <col min="6" max="6" width="11.5703125" style="24" bestFit="1" customWidth="1"/>
    <col min="10" max="10" width="15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s="24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86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9" si="0">G3-F3</f>
        <v>4.5300925925925939E-2</v>
      </c>
      <c r="F3" s="24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24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86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24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24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86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24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24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86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24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24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86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24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24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87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87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87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87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87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24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87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87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86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24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24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87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87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24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87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24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86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24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24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86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si="0"/>
        <v>2.2071759259259138E-2</v>
      </c>
      <c r="F41" s="24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0"/>
        <v>2.1516203703703662E-2</v>
      </c>
      <c r="F42" s="24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0"/>
        <v>2.3067129629629618E-2</v>
      </c>
      <c r="F43" s="86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0"/>
        <v>2.2662037037037064E-2</v>
      </c>
      <c r="F44" s="24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0"/>
        <v>2.2199074074074066E-2</v>
      </c>
      <c r="F45" s="87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0"/>
        <v>2.2002314814814808E-2</v>
      </c>
      <c r="F46" s="86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0"/>
        <v>2.1435185185185168E-2</v>
      </c>
      <c r="F47" s="24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0"/>
        <v>2.1759259259259256E-2</v>
      </c>
      <c r="F48" s="87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0"/>
        <v>2.2118055555555571E-2</v>
      </c>
      <c r="F49" s="86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 s="24">
        <f>AVERAGE(B50:B53)</f>
        <v>1339</v>
      </c>
    </row>
    <row r="52" spans="1:9" x14ac:dyDescent="0.25">
      <c r="B52">
        <v>1400</v>
      </c>
      <c r="E52" t="s">
        <v>108</v>
      </c>
      <c r="F52" s="24">
        <f>_xlfn.STDEV.P(B50:B53)</f>
        <v>43.688289811649376</v>
      </c>
    </row>
    <row r="53" spans="1:9" x14ac:dyDescent="0.25">
      <c r="B53">
        <v>1300</v>
      </c>
      <c r="E53" t="s">
        <v>107</v>
      </c>
      <c r="F53" s="24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s="2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6">CONFIDENCE(0.05,D55,3)</f>
        <v>32.670421594195773</v>
      </c>
      <c r="F55" s="24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6"/>
        <v>107.28403555196506</v>
      </c>
      <c r="F56" s="24">
        <f>(C56-C72)/C72</f>
        <v>-0.13219616204690832</v>
      </c>
      <c r="G56">
        <f t="shared" ref="G56:G66" si="7">F56*100</f>
        <v>-13.219616204690832</v>
      </c>
      <c r="H56" s="50">
        <f>(D56)/C72</f>
        <v>3.3691748072975418E-2</v>
      </c>
      <c r="I56">
        <f t="shared" ref="I56:I66" si="8">H56*100</f>
        <v>3.3691748072975418</v>
      </c>
    </row>
    <row r="57" spans="1:9" x14ac:dyDescent="0.25">
      <c r="A57" t="s">
        <v>158</v>
      </c>
      <c r="C57" s="48" t="b">
        <f>F34=AVERAGE(D8:D10)</f>
        <v>0</v>
      </c>
      <c r="D57">
        <f>_xlfn.STDEV.P(D8:D10)</f>
        <v>16.391054470858997</v>
      </c>
      <c r="E57">
        <f t="shared" si="6"/>
        <v>18.54788340568949</v>
      </c>
      <c r="F57" s="24">
        <f>(C57-C72)/C72</f>
        <v>-1</v>
      </c>
      <c r="G57">
        <f t="shared" si="7"/>
        <v>-100</v>
      </c>
      <c r="H57" s="50">
        <f>(D57)/C72</f>
        <v>5.8248239057778952E-3</v>
      </c>
      <c r="I57">
        <f t="shared" si="8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6"/>
        <v>22.180876482999594</v>
      </c>
      <c r="F58" s="24">
        <f>(C58-C72)/C72</f>
        <v>-0.33108268182895051</v>
      </c>
      <c r="G58">
        <f t="shared" si="7"/>
        <v>-33.108268182895053</v>
      </c>
      <c r="H58" s="50">
        <f>(D58)/C72</f>
        <v>6.965738179573161E-3</v>
      </c>
      <c r="I58">
        <f t="shared" si="8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si="6"/>
        <v>62.089591244793048</v>
      </c>
      <c r="F59" s="24">
        <f>(C59-C72)/C72</f>
        <v>-0.31663113006396587</v>
      </c>
      <c r="G59">
        <f t="shared" si="7"/>
        <v>-31.663113006396586</v>
      </c>
      <c r="H59" s="50">
        <f>(D59)/C72</f>
        <v>1.949877123293272E-2</v>
      </c>
      <c r="I59">
        <f t="shared" si="8"/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6"/>
        <v>51.743159178496107</v>
      </c>
      <c r="F60" s="24">
        <f>(C60-C72)/C72</f>
        <v>0.31248519308220807</v>
      </c>
      <c r="G60">
        <f t="shared" si="7"/>
        <v>31.248519308220807</v>
      </c>
      <c r="H60" s="50">
        <f>(D60)/C72</f>
        <v>1.6249551711702229E-2</v>
      </c>
      <c r="I60">
        <f t="shared" si="8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6"/>
        <v>210.69249874385855</v>
      </c>
      <c r="F61" s="24">
        <f>(C61-C72)/C72</f>
        <v>-0.15612414119876811</v>
      </c>
      <c r="G61">
        <f t="shared" si="7"/>
        <v>-15.61241411987681</v>
      </c>
      <c r="H61" s="50">
        <f>(D61)/C72</f>
        <v>6.6166401664723276E-2</v>
      </c>
      <c r="I61">
        <f t="shared" si="8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6"/>
        <v>104.55318761840451</v>
      </c>
      <c r="F62" s="24">
        <f>(C62-C72)/C72</f>
        <v>-0.34660033167495852</v>
      </c>
      <c r="G62">
        <f t="shared" si="7"/>
        <v>-34.660033167495854</v>
      </c>
      <c r="H62" s="50">
        <f>(D62)/C72</f>
        <v>3.2834145726738526E-2</v>
      </c>
      <c r="I62">
        <f t="shared" si="8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si="6"/>
        <v>29.896143880911566</v>
      </c>
      <c r="F63" s="24">
        <f>(C63-C72)/C72</f>
        <v>-0.33724235963041932</v>
      </c>
      <c r="G63">
        <f t="shared" si="7"/>
        <v>-33.724235963041934</v>
      </c>
      <c r="H63" s="50">
        <f>(D63)/C72</f>
        <v>9.3886601376140053E-3</v>
      </c>
      <c r="I63">
        <f t="shared" si="8"/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si="6"/>
        <v>23.489301983110757</v>
      </c>
      <c r="F64" s="24">
        <f>(C64-C72)/C72</f>
        <v>-0.31651267472162997</v>
      </c>
      <c r="G64">
        <f t="shared" si="7"/>
        <v>-31.651267472162996</v>
      </c>
      <c r="H64" s="50">
        <f>(D64)/C72</f>
        <v>7.3766394110117341E-3</v>
      </c>
      <c r="I64">
        <f t="shared" si="8"/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4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6"/>
        <v>32.815986288208975</v>
      </c>
      <c r="F66" s="24">
        <f>(C66-C72)/C72</f>
        <v>0.60518834399431409</v>
      </c>
      <c r="G66">
        <f t="shared" si="7"/>
        <v>60.518834399431412</v>
      </c>
      <c r="H66" s="50">
        <f>(D66)/C72</f>
        <v>1.0305614783226724E-2</v>
      </c>
      <c r="I66">
        <f t="shared" si="8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6"/>
        <v>38.47391495858983</v>
      </c>
      <c r="F67" s="24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6"/>
        <v>218.96183954373919</v>
      </c>
      <c r="F68" s="24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4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:E71" si="9">CONFIDENCE(0.05,D70,3)</f>
        <v>3.7340424149430178</v>
      </c>
      <c r="F70" s="24">
        <f>(C70-C72)/C72</f>
        <v>-0.33570244018005213</v>
      </c>
      <c r="G70">
        <f t="shared" ref="G70:G71" si="10">F70*100</f>
        <v>-33.570244018005212</v>
      </c>
      <c r="H70" s="50">
        <f>(D70)/C72</f>
        <v>1.172648061669233E-3</v>
      </c>
      <c r="I70">
        <f t="shared" ref="I70:I71" si="1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si="9"/>
        <v>27.267850963785914</v>
      </c>
      <c r="F71" s="24">
        <f>(C71-C72)/C72</f>
        <v>-0.33155650319829422</v>
      </c>
      <c r="G71">
        <f t="shared" si="10"/>
        <v>-33.155650319829419</v>
      </c>
      <c r="H71" s="50">
        <f>(D71)/C72</f>
        <v>8.5632644264050303E-3</v>
      </c>
      <c r="I71">
        <f t="shared" si="11"/>
        <v>0.85632644264050306</v>
      </c>
    </row>
    <row r="72" spans="1:9" x14ac:dyDescent="0.25">
      <c r="A72" t="s">
        <v>122</v>
      </c>
      <c r="C72" s="26">
        <v>2814</v>
      </c>
    </row>
    <row r="80" spans="1:9" x14ac:dyDescent="0.25">
      <c r="A80" t="s">
        <v>167</v>
      </c>
      <c r="D80">
        <f>81*60+8</f>
        <v>4868</v>
      </c>
      <c r="E80" s="16">
        <f t="shared" ref="E80:E85" si="12">G80-F80</f>
        <v>5.6342592592592666E-2</v>
      </c>
      <c r="F80" s="87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12"/>
        <v>5.7800925925925895E-2</v>
      </c>
      <c r="F81" s="87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12"/>
        <v>5.78819444444445E-2</v>
      </c>
      <c r="F82" s="87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12"/>
        <v>5.6134259259259189E-2</v>
      </c>
      <c r="F83" s="87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12"/>
        <v>5.6087962962962923E-2</v>
      </c>
      <c r="F84" s="24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12"/>
        <v>5.8749999999999969E-2</v>
      </c>
      <c r="F85" s="24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4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13">CONFIDENCE(0.05,D96,3)</f>
        <v>69.155433304343973</v>
      </c>
      <c r="F96" s="24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13"/>
        <v>121.63713274441463</v>
      </c>
      <c r="F97" s="24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H100" s="50"/>
    </row>
    <row r="101" spans="1:9" x14ac:dyDescent="0.25">
      <c r="H101" s="50"/>
    </row>
    <row r="102" spans="1:9" x14ac:dyDescent="0.25">
      <c r="H102" s="50"/>
    </row>
    <row r="103" spans="1:9" x14ac:dyDescent="0.25">
      <c r="H103" s="50"/>
    </row>
    <row r="104" spans="1:9" x14ac:dyDescent="0.25">
      <c r="H104" s="50"/>
    </row>
    <row r="105" spans="1:9" x14ac:dyDescent="0.25">
      <c r="H105" s="50"/>
    </row>
    <row r="107" spans="1:9" x14ac:dyDescent="0.25">
      <c r="H107" s="50"/>
    </row>
    <row r="108" spans="1:9" x14ac:dyDescent="0.25">
      <c r="H108" s="50"/>
    </row>
    <row r="110" spans="1:9" x14ac:dyDescent="0.25">
      <c r="H110" s="50"/>
    </row>
    <row r="111" spans="1:9" x14ac:dyDescent="0.25"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87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((L122-O122)/O122)*100</f>
        <v>82.302771855010661</v>
      </c>
      <c r="O122">
        <v>2814</v>
      </c>
      <c r="Q122" t="s">
        <v>178</v>
      </c>
      <c r="R122" t="str">
        <f>A122</f>
        <v>strategy2(10)</v>
      </c>
      <c r="T122">
        <f>M122</f>
        <v>82.302771855010661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14">F123-E123</f>
        <v>0</v>
      </c>
      <c r="E123" s="16"/>
      <c r="G123">
        <f>92*60+46</f>
        <v>5566</v>
      </c>
      <c r="H123" s="1">
        <f t="shared" ref="H123:H146" si="15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81.971096896470044</v>
      </c>
      <c r="U123">
        <f>M127</f>
        <v>20.774198546012805</v>
      </c>
    </row>
    <row r="124" spans="1:21" x14ac:dyDescent="0.25">
      <c r="A124" t="s">
        <v>111</v>
      </c>
      <c r="D124" s="1">
        <f t="shared" si="14"/>
        <v>0</v>
      </c>
      <c r="E124" s="16"/>
      <c r="G124">
        <f>82*60+9</f>
        <v>4929</v>
      </c>
      <c r="H124" s="1">
        <f t="shared" si="15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-17.614309405354174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14"/>
        <v>5.207175925925922E-2</v>
      </c>
      <c r="E125" s="16">
        <v>0.99326388888888895</v>
      </c>
      <c r="F125" s="24">
        <v>1.0453356481481482</v>
      </c>
      <c r="G125">
        <f>96*60+10</f>
        <v>5770</v>
      </c>
      <c r="H125" s="1">
        <f t="shared" si="15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((L125-O125)/O125)*100</f>
        <v>81.971096896470044</v>
      </c>
      <c r="O125">
        <v>2814</v>
      </c>
      <c r="R125" t="str">
        <f>A131</f>
        <v>strategy2(10000)</v>
      </c>
      <c r="T125">
        <f>M131</f>
        <v>-19.059464581852648</v>
      </c>
      <c r="U125">
        <f>M133</f>
        <v>8.8175230512057681</v>
      </c>
    </row>
    <row r="126" spans="1:21" x14ac:dyDescent="0.25">
      <c r="A126" t="s">
        <v>112</v>
      </c>
      <c r="D126" s="1">
        <f t="shared" si="14"/>
        <v>0</v>
      </c>
      <c r="E126" s="16"/>
      <c r="G126">
        <f>84*60+46</f>
        <v>5086</v>
      </c>
      <c r="H126" s="1">
        <f t="shared" si="15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26.012793176972281</v>
      </c>
      <c r="U126">
        <f>M136</f>
        <v>14.782096905729441</v>
      </c>
    </row>
    <row r="127" spans="1:21" x14ac:dyDescent="0.25">
      <c r="A127" t="s">
        <v>112</v>
      </c>
      <c r="D127" s="1">
        <f t="shared" si="14"/>
        <v>0</v>
      </c>
      <c r="E127" s="18"/>
      <c r="F127" s="87"/>
      <c r="G127">
        <f>75*60+6</f>
        <v>4506</v>
      </c>
      <c r="H127" s="1">
        <f t="shared" si="15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14"/>
        <v>3.3749999999999988E-2</v>
      </c>
      <c r="E128" s="16">
        <v>4.5659722222222227E-2</v>
      </c>
      <c r="F128" s="24">
        <v>7.9409722222222215E-2</v>
      </c>
      <c r="G128">
        <f>32*60+52</f>
        <v>1972</v>
      </c>
      <c r="H128" s="1">
        <f t="shared" si="15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((L128-O128)/O128)*100</f>
        <v>-17.614309405354174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14"/>
        <v>0</v>
      </c>
      <c r="E129" s="18"/>
      <c r="F129" s="87"/>
      <c r="G129">
        <f>49*60+16</f>
        <v>2956</v>
      </c>
      <c r="H129" s="1">
        <f t="shared" si="15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14"/>
        <v>0</v>
      </c>
      <c r="E130" s="16"/>
      <c r="G130">
        <f>33*60+47</f>
        <v>2027</v>
      </c>
      <c r="H130" s="1">
        <f t="shared" si="15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14"/>
        <v>3.4282407407407414E-2</v>
      </c>
      <c r="E131" s="18">
        <v>7.9490740740740737E-2</v>
      </c>
      <c r="F131" s="87">
        <v>0.11377314814814815</v>
      </c>
      <c r="G131">
        <f>42*60+49</f>
        <v>2569</v>
      </c>
      <c r="H131" s="1">
        <f t="shared" si="15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((L131-O131)/O131)*100</f>
        <v>-19.059464581852648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14"/>
        <v>0</v>
      </c>
      <c r="E132" s="16"/>
      <c r="G132">
        <f>37*60+4</f>
        <v>2224</v>
      </c>
      <c r="H132" s="1">
        <f t="shared" si="15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14"/>
        <v>0</v>
      </c>
      <c r="E133" s="16"/>
      <c r="G133">
        <f>34*60</f>
        <v>2040</v>
      </c>
      <c r="H133" s="1">
        <f t="shared" si="15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14"/>
        <v>4.4652777777777777E-2</v>
      </c>
      <c r="E134" s="16">
        <v>0.11385416666666666</v>
      </c>
      <c r="F134" s="24">
        <v>0.15850694444444444</v>
      </c>
      <c r="G134">
        <f>65*60+14</f>
        <v>3914</v>
      </c>
      <c r="H134" s="1">
        <f t="shared" si="15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((L134-O134)/O134)*100</f>
        <v>26.012793176972281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14"/>
        <v>0</v>
      </c>
      <c r="G135">
        <f>50*60+44</f>
        <v>3044</v>
      </c>
      <c r="H135" s="1">
        <f t="shared" si="15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14"/>
        <v>0</v>
      </c>
      <c r="G136">
        <f>61*60+20</f>
        <v>3680</v>
      </c>
      <c r="H136" s="1">
        <f t="shared" si="15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14"/>
        <v>4.8749999999999988E-2</v>
      </c>
      <c r="E137" s="16">
        <v>0.15858796296296296</v>
      </c>
      <c r="F137" s="24">
        <v>0.20733796296296295</v>
      </c>
      <c r="G137">
        <f>30*60+48</f>
        <v>1848</v>
      </c>
      <c r="H137" s="1">
        <f t="shared" si="15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((L137-O137)/O137)*100</f>
        <v>-26.308931532812135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14"/>
        <v>0</v>
      </c>
      <c r="G138">
        <f>40*60+24</f>
        <v>2424</v>
      </c>
      <c r="H138" s="1">
        <f t="shared" si="15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14"/>
        <v>0</v>
      </c>
      <c r="G139">
        <f>32*60+29</f>
        <v>1949</v>
      </c>
      <c r="H139" s="1">
        <f t="shared" si="15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14"/>
        <v>3.2442129629629612E-2</v>
      </c>
      <c r="E140" s="18">
        <v>0.20745370370370372</v>
      </c>
      <c r="F140" s="87">
        <v>0.23989583333333334</v>
      </c>
      <c r="G140">
        <f>41*60+19</f>
        <v>2479</v>
      </c>
      <c r="H140" s="1">
        <f t="shared" si="15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((L140-O140)/O140)*100</f>
        <v>-1.4333096422648715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14"/>
        <v>0</v>
      </c>
      <c r="G141">
        <f>30*60+4</f>
        <v>1804</v>
      </c>
      <c r="H141" s="1">
        <f t="shared" si="15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14"/>
        <v>0</v>
      </c>
      <c r="G142">
        <f>67*60+18</f>
        <v>4038</v>
      </c>
      <c r="H142" s="1">
        <f t="shared" si="15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14"/>
        <v>4.4467592592592614E-2</v>
      </c>
      <c r="E143" s="16">
        <v>0.23998842592592592</v>
      </c>
      <c r="F143" s="24">
        <v>0.28445601851851854</v>
      </c>
      <c r="G143">
        <f>31*60+11</f>
        <v>1871</v>
      </c>
      <c r="H143" s="1">
        <f t="shared" si="15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((L143-O143)/O143)*100</f>
        <v>11.490168206586123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14"/>
        <v>0</v>
      </c>
      <c r="G144">
        <f>31*60+6</f>
        <v>1866</v>
      </c>
      <c r="H144" s="1">
        <f t="shared" si="15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14"/>
        <v>#VALUE!</v>
      </c>
      <c r="F145" s="24" t="s">
        <v>175</v>
      </c>
      <c r="G145">
        <f>94*60+35</f>
        <v>5675</v>
      </c>
      <c r="H145" s="1">
        <f t="shared" si="15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14"/>
        <v>2.2604166666666703E-2</v>
      </c>
      <c r="E146" s="16">
        <v>0.28456018518518517</v>
      </c>
      <c r="F146" s="24">
        <v>0.30716435185185187</v>
      </c>
      <c r="G146">
        <f>30*60+12</f>
        <v>1812</v>
      </c>
      <c r="H146" s="1">
        <f t="shared" si="15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((L146-O146)/O146)*100</f>
        <v>-11.217720919213452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14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14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87">
        <f>(G154-O154)/O154*100</f>
        <v>62.579957356076754</v>
      </c>
      <c r="G154">
        <f>76*60+15</f>
        <v>4575</v>
      </c>
      <c r="H154" s="1">
        <f>J154-I154</f>
        <v>5.295138888888884E-2</v>
      </c>
      <c r="I154" s="16">
        <v>0.9073148148148148</v>
      </c>
      <c r="J154" s="16">
        <v>0.96026620370370364</v>
      </c>
      <c r="K154" t="s">
        <v>184</v>
      </c>
      <c r="L154">
        <f>AVERAGE(G154:G156)</f>
        <v>4597.5</v>
      </c>
      <c r="M154">
        <f>((L154-O154)/O154)*100</f>
        <v>63.379530916844352</v>
      </c>
      <c r="O154">
        <v>2814</v>
      </c>
      <c r="Q154" t="s">
        <v>178</v>
      </c>
      <c r="R154" t="str">
        <f>A154</f>
        <v>strategy4(10)</v>
      </c>
      <c r="T154">
        <f>M154</f>
        <v>63.379530916844352</v>
      </c>
      <c r="U154">
        <f>M156</f>
        <v>0.90478603470909236</v>
      </c>
    </row>
    <row r="155" spans="1:21" x14ac:dyDescent="0.25">
      <c r="A155" t="s">
        <v>119</v>
      </c>
      <c r="D155" s="1"/>
      <c r="E155" s="16"/>
      <c r="G155">
        <f>77*60</f>
        <v>4620</v>
      </c>
      <c r="H155" s="1">
        <f t="shared" ref="H155:H178" si="16">J155-I155</f>
        <v>5.3472222222222213E-2</v>
      </c>
      <c r="I155" s="16">
        <v>8.6527777777777773E-2</v>
      </c>
      <c r="J155" s="16">
        <v>0.13999999999999999</v>
      </c>
      <c r="L155" s="48">
        <f>_xlfn.STDEV.P(G154:G156)</f>
        <v>22.5</v>
      </c>
      <c r="O155">
        <v>2814</v>
      </c>
      <c r="R155" t="str">
        <f>A157</f>
        <v>strategy4(100)</v>
      </c>
      <c r="T155">
        <f>M157</f>
        <v>48.507462686567166</v>
      </c>
      <c r="U155">
        <f>M159</f>
        <v>16.205723199456187</v>
      </c>
    </row>
    <row r="156" spans="1:21" x14ac:dyDescent="0.25">
      <c r="A156" t="s">
        <v>119</v>
      </c>
      <c r="D156" s="1"/>
      <c r="E156" s="16"/>
      <c r="H156" s="1">
        <f t="shared" si="16"/>
        <v>0</v>
      </c>
      <c r="I156" s="16"/>
      <c r="J156" s="85"/>
      <c r="L156" s="48">
        <f>CONFIDENCE(0.05,L155,3)</f>
        <v>25.460679016713858</v>
      </c>
      <c r="M156">
        <f>L156/O156*100</f>
        <v>0.90478603470909236</v>
      </c>
      <c r="O156">
        <v>2814</v>
      </c>
      <c r="R156" t="str">
        <f>A160</f>
        <v>strategy4(1000)</v>
      </c>
      <c r="T156">
        <f>M160</f>
        <v>34.772565742714995</v>
      </c>
      <c r="U156">
        <f>M162</f>
        <v>8.0224361744206192</v>
      </c>
    </row>
    <row r="157" spans="1:21" x14ac:dyDescent="0.25">
      <c r="A157" t="s">
        <v>115</v>
      </c>
      <c r="D157" s="1"/>
      <c r="E157" s="16"/>
      <c r="G157">
        <f>76*60+22</f>
        <v>4582</v>
      </c>
      <c r="H157" s="1">
        <f>J157-I157</f>
        <v>5.3032407407407445E-2</v>
      </c>
      <c r="I157" s="16">
        <v>0.96034722222222213</v>
      </c>
      <c r="J157" s="16">
        <v>1.0133796296296296</v>
      </c>
      <c r="K157">
        <v>6</v>
      </c>
      <c r="L157" s="48">
        <f>AVERAGE(G157:G159)</f>
        <v>4179</v>
      </c>
      <c r="M157">
        <f>((L157-O157)/O157)*100</f>
        <v>48.507462686567166</v>
      </c>
      <c r="O157">
        <v>2814</v>
      </c>
      <c r="R157" t="str">
        <f>A163</f>
        <v>strategy4(10000)</v>
      </c>
      <c r="T157">
        <f>M163</f>
        <v>-2.1855010660980811</v>
      </c>
      <c r="U157">
        <f>M165</f>
        <v>1.9503165637062658</v>
      </c>
    </row>
    <row r="158" spans="1:21" x14ac:dyDescent="0.25">
      <c r="A158" t="s">
        <v>115</v>
      </c>
      <c r="D158" s="1"/>
      <c r="E158" s="16"/>
      <c r="G158">
        <f>62*60+56</f>
        <v>3776</v>
      </c>
      <c r="H158" s="1">
        <f>J158-I158</f>
        <v>4.3703703703703717E-2</v>
      </c>
      <c r="I158" s="16">
        <v>0.14046296296296296</v>
      </c>
      <c r="J158" s="16">
        <v>0.18416666666666667</v>
      </c>
      <c r="L158" s="48">
        <f>_xlfn.STDEV.P(G157:G159)</f>
        <v>403</v>
      </c>
      <c r="O158">
        <v>2814</v>
      </c>
      <c r="R158" t="str">
        <f>A166</f>
        <v>strategy4(100000)</v>
      </c>
      <c r="T158" t="e">
        <f>M166</f>
        <v>#DIV/0!</v>
      </c>
      <c r="U158" t="e">
        <f>M168</f>
        <v>#DIV/0!</v>
      </c>
    </row>
    <row r="159" spans="1:21" x14ac:dyDescent="0.25">
      <c r="A159" t="s">
        <v>115</v>
      </c>
      <c r="D159" s="1"/>
      <c r="E159" s="18"/>
      <c r="F159" s="87"/>
      <c r="H159" s="1">
        <f t="shared" si="16"/>
        <v>0</v>
      </c>
      <c r="I159" s="16"/>
      <c r="J159" s="16"/>
      <c r="L159" s="48">
        <f>CONFIDENCE(0.05,L158,3)</f>
        <v>456.02905083269712</v>
      </c>
      <c r="M159">
        <f>L159/O159*100</f>
        <v>16.205723199456187</v>
      </c>
      <c r="O159">
        <v>2814</v>
      </c>
      <c r="Q159" s="18"/>
    </row>
    <row r="160" spans="1:21" x14ac:dyDescent="0.25">
      <c r="A160" t="s">
        <v>120</v>
      </c>
      <c r="D160" s="1"/>
      <c r="E160" s="16"/>
      <c r="G160">
        <f>59*60+53</f>
        <v>3593</v>
      </c>
      <c r="H160" s="1">
        <f t="shared" si="16"/>
        <v>4.1585648148148149E-2</v>
      </c>
      <c r="I160" s="16">
        <v>1.3460648148148147E-2</v>
      </c>
      <c r="J160" s="16">
        <v>5.5046296296296295E-2</v>
      </c>
      <c r="K160">
        <v>5</v>
      </c>
      <c r="L160" s="48">
        <f>AVERAGE(G160:G162)</f>
        <v>3792.5</v>
      </c>
      <c r="M160">
        <f>((L160-O160)/O160)*100</f>
        <v>34.772565742714995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87"/>
      <c r="G161">
        <f>66*60+32</f>
        <v>3992</v>
      </c>
      <c r="H161" s="1">
        <f t="shared" si="16"/>
        <v>4.6203703703703691E-2</v>
      </c>
      <c r="I161" s="16">
        <v>0.18427083333333336</v>
      </c>
      <c r="J161" s="16">
        <v>0.23047453703703705</v>
      </c>
      <c r="L161" s="48">
        <f>_xlfn.STDEV.P(G160:G162)</f>
        <v>199.5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H162" s="1">
        <f t="shared" si="16"/>
        <v>0</v>
      </c>
      <c r="I162" s="16"/>
      <c r="J162" s="16"/>
      <c r="L162" s="48">
        <f>CONFIDENCE(0.05,L161,3)</f>
        <v>225.75135394819623</v>
      </c>
      <c r="M162">
        <f>L162/O162*100</f>
        <v>8.0224361744206192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87"/>
      <c r="G163">
        <f>45*60+4</f>
        <v>2704</v>
      </c>
      <c r="H163" s="1">
        <f t="shared" si="16"/>
        <v>3.1296296296296301E-2</v>
      </c>
      <c r="I163" s="16">
        <v>5.5150462962962964E-2</v>
      </c>
      <c r="J163" s="16">
        <v>8.6446759259259265E-2</v>
      </c>
      <c r="K163">
        <v>4</v>
      </c>
      <c r="L163" s="48">
        <f>AVERAGE(G163:G165)</f>
        <v>2752.5</v>
      </c>
      <c r="M163">
        <f>((L163-O163)/O163)*100</f>
        <v>-2.1855010660980811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G164">
        <f>46*60+41</f>
        <v>2801</v>
      </c>
      <c r="H164" s="1">
        <f t="shared" si="16"/>
        <v>3.2418981481481451E-2</v>
      </c>
      <c r="I164" s="16">
        <v>0.23089120370370372</v>
      </c>
      <c r="J164" s="16">
        <v>0.26331018518518517</v>
      </c>
      <c r="L164" s="48">
        <f>_xlfn.STDEV.P(G163:G165)</f>
        <v>48.5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H165" s="1">
        <f t="shared" si="16"/>
        <v>0</v>
      </c>
      <c r="L165" s="48">
        <f>CONFIDENCE(0.05,L164,3)</f>
        <v>54.881908102694318</v>
      </c>
      <c r="M165">
        <f>L165/O165*100</f>
        <v>1.9503165637062658</v>
      </c>
      <c r="O165">
        <v>2814</v>
      </c>
      <c r="Q165" s="18"/>
    </row>
    <row r="166" spans="1:19" x14ac:dyDescent="0.25">
      <c r="A166" t="s">
        <v>132</v>
      </c>
      <c r="D166" s="1"/>
      <c r="E166" s="16"/>
      <c r="H166" s="1">
        <f t="shared" si="16"/>
        <v>0</v>
      </c>
      <c r="I166" s="16"/>
      <c r="J166" s="16"/>
      <c r="L166" s="48" t="e">
        <f>AVERAGE(G166:G168)</f>
        <v>#DIV/0!</v>
      </c>
      <c r="M166" t="e">
        <f>((L166-O166)/L166)*100</f>
        <v>#DIV/0!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16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16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19" x14ac:dyDescent="0.25">
      <c r="A169" t="s">
        <v>187</v>
      </c>
      <c r="D169" s="1"/>
      <c r="E169" s="16"/>
      <c r="H169" s="1">
        <f t="shared" si="16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16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16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87"/>
      <c r="H172" s="1">
        <f t="shared" si="16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16"/>
        <v>0</v>
      </c>
      <c r="L173" s="48" t="e">
        <f>_xlfn.STDEV.P(G172:G174)</f>
        <v>#DIV/0!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16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19" x14ac:dyDescent="0.25">
      <c r="A175" t="s">
        <v>189</v>
      </c>
      <c r="D175" s="1"/>
      <c r="E175" s="16"/>
      <c r="H175" s="1">
        <f t="shared" si="16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16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16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190</v>
      </c>
      <c r="D178" s="1"/>
      <c r="E178" s="16"/>
      <c r="H178" s="1">
        <f t="shared" si="16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34" zoomScaleNormal="100" workbookViewId="0">
      <selection activeCell="D41" sqref="D41:D43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ref="E68" si="12">CONFIDENCE(0.05,D68,3)</f>
        <v>23.252641334108645</v>
      </c>
      <c r="F68" s="2">
        <f>(C68-C77)/C77</f>
        <v>-0.22103174603174602</v>
      </c>
      <c r="G68">
        <f t="shared" ref="G68" si="13">F68*100</f>
        <v>-22.103174603174601</v>
      </c>
      <c r="H68" s="50">
        <f>(D68)/C77</f>
        <v>1.6308509990503588E-2</v>
      </c>
      <c r="I68">
        <f t="shared" ref="I68" si="14">H68*100</f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5">CONFIDENCE(0.05,D73,3)</f>
        <v>17.627573165877632</v>
      </c>
      <c r="F73" s="2">
        <f>(C73-C77)/C77</f>
        <v>-0.22142857142857142</v>
      </c>
      <c r="G73">
        <f t="shared" ref="G73:G75" si="16">F73*100</f>
        <v>-22.142857142857142</v>
      </c>
      <c r="H73" s="50">
        <f>(D73)/C77</f>
        <v>1.2363303116981928E-2</v>
      </c>
      <c r="I73">
        <f t="shared" ref="I73:I75" si="17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5"/>
        <v>9.068388722004471</v>
      </c>
      <c r="F74" s="2">
        <f>(C74-C77)/C77</f>
        <v>-0.21931216931216935</v>
      </c>
      <c r="G74">
        <f t="shared" si="16"/>
        <v>-21.931216931216934</v>
      </c>
      <c r="H74" s="50">
        <f>(D74)/C77</f>
        <v>6.3602197249583636E-3</v>
      </c>
      <c r="I74">
        <f t="shared" si="17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5"/>
        <v>5.2750781049012678E-5</v>
      </c>
      <c r="F75" s="2">
        <f>(C75-C77)/C77</f>
        <v>-0.22751322751322747</v>
      </c>
      <c r="G75">
        <f t="shared" si="16"/>
        <v>-22.751322751322746</v>
      </c>
      <c r="H75" s="50">
        <f>(D75)/C77</f>
        <v>3.6997372788043663E-8</v>
      </c>
      <c r="I75">
        <f t="shared" si="17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92" si="18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8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8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8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8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8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8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8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8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ref="E93:E101" si="19">G93-F93</f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9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9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9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9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9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9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9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9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20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20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20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20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20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20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" si="21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ref="E129" si="22">CONFIDENCE(0.05,D129,3)</f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 s="79">
        <f>((L143-O143)/L143)*100</f>
        <v>7.6472025409235229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7.6472025409235229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23">F144-E144</f>
        <v>0</v>
      </c>
      <c r="G144">
        <f>23*60+20</f>
        <v>1400</v>
      </c>
      <c r="H144" s="81">
        <f t="shared" ref="H144:H169" si="24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-1.3133208255159412</v>
      </c>
      <c r="U144" s="79">
        <f>M148</f>
        <v>7.6036592952083355</v>
      </c>
    </row>
    <row r="145" spans="1:21" x14ac:dyDescent="0.25">
      <c r="A145" t="s">
        <v>111</v>
      </c>
      <c r="D145" s="1">
        <f t="shared" si="23"/>
        <v>0</v>
      </c>
      <c r="G145">
        <f>22*60+5</f>
        <v>1325</v>
      </c>
      <c r="H145" s="81">
        <f t="shared" si="24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-8.1854607899255782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23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24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 s="79">
        <f>((L146-O146)/L146)*100</f>
        <v>-1.3133208255159412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-20.921305182341651</v>
      </c>
      <c r="U146" s="79" t="e">
        <f>M154</f>
        <v>#NUM!</v>
      </c>
    </row>
    <row r="147" spans="1:21" x14ac:dyDescent="0.25">
      <c r="A147" t="s">
        <v>112</v>
      </c>
      <c r="D147" s="1">
        <f t="shared" si="23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4.4730856709628508</v>
      </c>
      <c r="U147" s="79" t="e">
        <f>M157</f>
        <v>#NUM!</v>
      </c>
    </row>
    <row r="148" spans="1:21" x14ac:dyDescent="0.25">
      <c r="A148" t="s">
        <v>112</v>
      </c>
      <c r="D148" s="1">
        <f t="shared" si="23"/>
        <v>0</v>
      </c>
      <c r="G148">
        <f>21*60+47</f>
        <v>1307</v>
      </c>
      <c r="H148" s="81">
        <f t="shared" si="24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23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24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 s="79">
        <f>((L149-O149)/L149)*100</f>
        <v>-8.1854607899255782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23"/>
        <v>0</v>
      </c>
      <c r="G150">
        <f>19*60+28</f>
        <v>1168</v>
      </c>
      <c r="H150" s="81">
        <f t="shared" si="24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23"/>
        <v>0</v>
      </c>
      <c r="G151">
        <f>19*60+32</f>
        <v>1172</v>
      </c>
      <c r="H151" s="81">
        <f t="shared" si="24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23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24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 s="79">
        <f>((L152-O152)/L152)*100</f>
        <v>-20.921305182341651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23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23"/>
        <v>0</v>
      </c>
      <c r="H154" s="81">
        <f t="shared" si="24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23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24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 s="79">
        <f>((L155-O155)/L155)*100</f>
        <v>4.4730856709628508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23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23"/>
        <v>0</v>
      </c>
      <c r="H157" s="81">
        <f t="shared" si="24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23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24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 s="79">
        <f>((L158-O158)/L158)*100</f>
        <v>4.9056603773584913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23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23"/>
        <v>0</v>
      </c>
      <c r="H160" s="81">
        <f t="shared" si="24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23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24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23"/>
        <v>0</v>
      </c>
      <c r="G162">
        <f>24*60+24</f>
        <v>1464</v>
      </c>
      <c r="H162" s="81">
        <f t="shared" si="24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23"/>
        <v>0</v>
      </c>
      <c r="G163">
        <f>19*60+40</f>
        <v>1180</v>
      </c>
      <c r="H163" s="81">
        <f t="shared" si="24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23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24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 s="79">
        <f>((L164-O164)/L164)*100</f>
        <v>-8.6206896551724146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24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24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24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 s="79">
        <f>((L167-O167)/L167)*100</f>
        <v>-7.6923076923076925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24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24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6">
        <v>0.68162037037037038</v>
      </c>
      <c r="J176" s="16">
        <v>0.69809027777777777</v>
      </c>
      <c r="L176">
        <f>AVERAGE(G176:G178)</f>
        <v>1423</v>
      </c>
      <c r="M176">
        <f>((L176-O176)/L176)*100</f>
        <v>11.454673225579763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11.454673225579763</v>
      </c>
      <c r="U176" s="32" t="e">
        <f>M178</f>
        <v>#NUM!</v>
      </c>
    </row>
    <row r="177" spans="1:21" x14ac:dyDescent="0.25">
      <c r="A177" t="s">
        <v>119</v>
      </c>
      <c r="D177" s="1"/>
      <c r="E177" s="16"/>
      <c r="F177" s="51"/>
      <c r="H177" s="1">
        <f t="shared" ref="H177:H200" si="25">J177-I177</f>
        <v>-0.76253472222222218</v>
      </c>
      <c r="I177" s="16">
        <v>0.76253472222222218</v>
      </c>
      <c r="J177" s="16"/>
      <c r="L177" s="48">
        <f>_xlfn.STDEV.P(G176:G178)</f>
        <v>0</v>
      </c>
      <c r="O177" s="79">
        <v>1260</v>
      </c>
      <c r="Q177" s="32"/>
      <c r="R177" s="32" t="str">
        <f>A179</f>
        <v>strategy4(100)</v>
      </c>
      <c r="S177" s="32"/>
      <c r="T177" s="32">
        <f>M179</f>
        <v>4.5454545454545459</v>
      </c>
      <c r="U177" s="32" t="e">
        <f>M181</f>
        <v>#NUM!</v>
      </c>
    </row>
    <row r="178" spans="1:21" x14ac:dyDescent="0.25">
      <c r="A178" t="s">
        <v>119</v>
      </c>
      <c r="D178" s="1"/>
      <c r="E178" s="16"/>
      <c r="F178" s="16"/>
      <c r="H178" s="1">
        <f t="shared" si="25"/>
        <v>0</v>
      </c>
      <c r="I178" s="16"/>
      <c r="J178" s="16"/>
      <c r="L178" s="48" t="e">
        <f>CONFIDENCE(0.05,L177,3)</f>
        <v>#NUM!</v>
      </c>
      <c r="M178" t="e">
        <f>L178/O178*100</f>
        <v>#NUM!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6.25</v>
      </c>
      <c r="U178" s="32" t="e">
        <f>M184</f>
        <v>#NUM!</v>
      </c>
    </row>
    <row r="179" spans="1:21" x14ac:dyDescent="0.25">
      <c r="A179" t="s">
        <v>115</v>
      </c>
      <c r="D179" s="1"/>
      <c r="E179" s="16"/>
      <c r="F179" s="51"/>
      <c r="G179">
        <f>22*60</f>
        <v>1320</v>
      </c>
      <c r="H179" s="1">
        <f t="shared" si="25"/>
        <v>1.5277777777777835E-2</v>
      </c>
      <c r="I179" s="16">
        <v>0.69817129629629626</v>
      </c>
      <c r="J179" s="16">
        <v>0.7134490740740741</v>
      </c>
      <c r="L179" s="48">
        <f>AVERAGE(G179:G181)</f>
        <v>1320</v>
      </c>
      <c r="M179">
        <f>((L179-O179)/L179)*100</f>
        <v>4.5454545454545459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-2.4390243902439024</v>
      </c>
      <c r="U179" s="32" t="e">
        <f>M187</f>
        <v>#NUM!</v>
      </c>
    </row>
    <row r="180" spans="1:21" x14ac:dyDescent="0.25">
      <c r="A180" t="s">
        <v>115</v>
      </c>
      <c r="D180" s="1"/>
      <c r="E180" s="16"/>
      <c r="F180" s="16"/>
      <c r="H180" s="1">
        <f t="shared" si="25"/>
        <v>0</v>
      </c>
      <c r="I180" s="16"/>
      <c r="J180" s="16"/>
      <c r="L180" s="48">
        <f>_xlfn.STDEV.P(G179:G181)</f>
        <v>0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5"/>
        <v>0</v>
      </c>
      <c r="I181" s="16"/>
      <c r="J181" s="16"/>
      <c r="L181" s="48" t="e">
        <f>CONFIDENCE(0.05,L180,3)</f>
        <v>#NUM!</v>
      </c>
      <c r="M181" t="e">
        <f>L181/O181*100</f>
        <v>#NUM!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22*60+24</f>
        <v>1344</v>
      </c>
      <c r="H182" s="1">
        <f t="shared" si="25"/>
        <v>1.4166666666666661E-2</v>
      </c>
      <c r="I182" s="16">
        <v>0.71353009259259259</v>
      </c>
      <c r="J182" s="16">
        <v>0.72769675925925925</v>
      </c>
      <c r="L182" s="48">
        <f>AVERAGE(G182:G184)</f>
        <v>1344</v>
      </c>
      <c r="M182">
        <f>((L182-O182)/L182)*100</f>
        <v>6.25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H183" s="1">
        <f t="shared" si="25"/>
        <v>0</v>
      </c>
      <c r="I183" s="16"/>
      <c r="J183" s="16"/>
      <c r="L183" s="48">
        <f>_xlfn.STDEV.P(G182:G184)</f>
        <v>0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5"/>
        <v>0</v>
      </c>
      <c r="I184" s="16"/>
      <c r="J184" s="16"/>
      <c r="L184" s="48" t="e">
        <f>CONFIDENCE(0.05,L183,3)</f>
        <v>#NUM!</v>
      </c>
      <c r="M184" t="e">
        <f>L184/O184*100</f>
        <v>#NUM!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20*60+30</f>
        <v>1230</v>
      </c>
      <c r="H185" s="1">
        <f t="shared" si="25"/>
        <v>1.4236111111111227E-2</v>
      </c>
      <c r="I185" s="16">
        <v>0.72778935185185178</v>
      </c>
      <c r="J185" s="16">
        <v>0.74202546296296301</v>
      </c>
      <c r="L185" s="48">
        <f>AVERAGE(G185:G187)</f>
        <v>1230</v>
      </c>
      <c r="M185">
        <f>((L185-O185)/L185)*100</f>
        <v>-2.4390243902439024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H186" s="1">
        <f t="shared" si="25"/>
        <v>0</v>
      </c>
      <c r="I186" s="16"/>
      <c r="J186" s="16"/>
      <c r="L186" s="48">
        <f>_xlfn.STDEV.P(G185:G187)</f>
        <v>0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5"/>
        <v>0</v>
      </c>
      <c r="L187" s="48" t="e">
        <f>CONFIDENCE(0.05,L186,3)</f>
        <v>#NUM!</v>
      </c>
      <c r="M187" t="e">
        <f>L187/O187*100</f>
        <v>#NUM!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5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5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5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5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5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5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5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5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5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5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5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5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5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E1" zoomScaleNormal="100" workbookViewId="0">
      <selection activeCell="J1" sqref="J1:O9"/>
    </sheetView>
  </sheetViews>
  <sheetFormatPr defaultRowHeight="15" x14ac:dyDescent="0.25"/>
  <cols>
    <col min="10" max="10" width="13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52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0" si="0">G3-F3</f>
        <v>4.5300925925925939E-2</v>
      </c>
      <c r="F3" s="16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16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52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16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16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52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16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16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52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16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16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52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16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16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F17" s="16"/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18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18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F20" s="16"/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18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18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F23" s="16"/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18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16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18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18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52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16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16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18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18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16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18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16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52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16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16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52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ref="E41:E49" si="6">G41-F41</f>
        <v>2.2071759259259138E-2</v>
      </c>
      <c r="F41" s="16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6"/>
        <v>2.1516203703703662E-2</v>
      </c>
      <c r="F42" s="16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6"/>
        <v>2.3067129629629618E-2</v>
      </c>
      <c r="F43" s="52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6"/>
        <v>2.2662037037037064E-2</v>
      </c>
      <c r="F44" s="16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6"/>
        <v>2.2199074074074066E-2</v>
      </c>
      <c r="F45" s="18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6"/>
        <v>2.2002314814814808E-2</v>
      </c>
      <c r="F46" s="52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6"/>
        <v>2.1435185185185168E-2</v>
      </c>
      <c r="F47" s="16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6"/>
        <v>2.1759259259259256E-2</v>
      </c>
      <c r="F48" s="18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6"/>
        <v>2.2118055555555571E-2</v>
      </c>
      <c r="F49" s="52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>
        <f>AVERAGE(B50:B53)</f>
        <v>1339</v>
      </c>
    </row>
    <row r="52" spans="1:9" x14ac:dyDescent="0.25">
      <c r="B52">
        <v>1400</v>
      </c>
      <c r="E52" t="s">
        <v>108</v>
      </c>
      <c r="F52">
        <f>_xlfn.STDEV.P(B50:B53)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7">CONFIDENCE(0.05,D55,3)</f>
        <v>32.670421594195773</v>
      </c>
      <c r="F55" s="2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7"/>
        <v>107.28403555196506</v>
      </c>
      <c r="F56" s="2">
        <f>(C56-C72)/C72</f>
        <v>-0.13219616204690832</v>
      </c>
      <c r="G56">
        <f t="shared" ref="G56:G66" si="8">F56*100</f>
        <v>-13.219616204690832</v>
      </c>
      <c r="H56" s="50">
        <f>(D56)/C72</f>
        <v>3.3691748072975418E-2</v>
      </c>
      <c r="I56">
        <f t="shared" ref="I56:I66" si="9">H56*100</f>
        <v>3.3691748072975418</v>
      </c>
    </row>
    <row r="57" spans="1:9" x14ac:dyDescent="0.25">
      <c r="A57" t="s">
        <v>158</v>
      </c>
      <c r="C57" s="48">
        <f>AVERAGE(D8:D10)</f>
        <v>1840</v>
      </c>
      <c r="D57">
        <f>_xlfn.STDEV.P(D8:D10)</f>
        <v>16.391054470858997</v>
      </c>
      <c r="E57">
        <f t="shared" si="7"/>
        <v>18.54788340568949</v>
      </c>
      <c r="F57" s="2">
        <f>(C57-C72)/C72</f>
        <v>-0.34612651030561481</v>
      </c>
      <c r="G57">
        <f t="shared" si="8"/>
        <v>-34.61265103056148</v>
      </c>
      <c r="H57" s="50">
        <f>(D57)/C72</f>
        <v>5.8248239057778952E-3</v>
      </c>
      <c r="I57">
        <f t="shared" si="9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7"/>
        <v>22.180876482999594</v>
      </c>
      <c r="F58" s="2">
        <f>(C58-C72)/C72</f>
        <v>-0.33108268182895051</v>
      </c>
      <c r="G58">
        <f t="shared" si="8"/>
        <v>-33.108268182895053</v>
      </c>
      <c r="H58" s="50">
        <f>(D58)/C72</f>
        <v>6.965738179573161E-3</v>
      </c>
      <c r="I58">
        <f t="shared" si="9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ref="E59" si="10">CONFIDENCE(0.05,D59,3)</f>
        <v>62.089591244793048</v>
      </c>
      <c r="F59" s="2">
        <f>(C59-C72)/C72</f>
        <v>-0.31663113006396587</v>
      </c>
      <c r="G59">
        <f t="shared" ref="G59" si="11">F59*100</f>
        <v>-31.663113006396586</v>
      </c>
      <c r="H59" s="50">
        <f>(D59)/C72</f>
        <v>1.949877123293272E-2</v>
      </c>
      <c r="I59">
        <f t="shared" ref="I59" si="12">H59*100</f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7"/>
        <v>51.743159178496107</v>
      </c>
      <c r="F60" s="2">
        <f>(C60-C72)/C72</f>
        <v>0.31248519308220807</v>
      </c>
      <c r="G60">
        <f t="shared" si="8"/>
        <v>31.248519308220807</v>
      </c>
      <c r="H60" s="50">
        <f>(D60)/C72</f>
        <v>1.6249551711702229E-2</v>
      </c>
      <c r="I60">
        <f t="shared" si="9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7"/>
        <v>210.69249874385855</v>
      </c>
      <c r="F61" s="2">
        <f>(C61-C72)/C72</f>
        <v>-0.15612414119876811</v>
      </c>
      <c r="G61">
        <f t="shared" si="8"/>
        <v>-15.61241411987681</v>
      </c>
      <c r="H61" s="50">
        <f>(D61)/C72</f>
        <v>6.6166401664723276E-2</v>
      </c>
      <c r="I61">
        <f t="shared" si="9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7"/>
        <v>104.55318761840451</v>
      </c>
      <c r="F62" s="2">
        <f>(C62-C72)/C72</f>
        <v>-0.34660033167495852</v>
      </c>
      <c r="G62">
        <f t="shared" si="8"/>
        <v>-34.660033167495854</v>
      </c>
      <c r="H62" s="50">
        <f>(D62)/C72</f>
        <v>3.2834145726738526E-2</v>
      </c>
      <c r="I62">
        <f t="shared" si="9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ref="E63" si="13">CONFIDENCE(0.05,D63,3)</f>
        <v>29.896143880911566</v>
      </c>
      <c r="F63" s="2">
        <f>(C63-C72)/C72</f>
        <v>-0.33724235963041932</v>
      </c>
      <c r="G63">
        <f t="shared" ref="G63" si="14">F63*100</f>
        <v>-33.724235963041934</v>
      </c>
      <c r="H63" s="50">
        <f>(D63)/C72</f>
        <v>9.3886601376140053E-3</v>
      </c>
      <c r="I63">
        <f t="shared" ref="I63" si="15">H63*100</f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ref="E64" si="16">CONFIDENCE(0.05,D64,3)</f>
        <v>23.489301983110757</v>
      </c>
      <c r="F64" s="2">
        <f>(C64-C72)/C72</f>
        <v>-0.31651267472162997</v>
      </c>
      <c r="G64">
        <f t="shared" ref="G64" si="17">F64*100</f>
        <v>-31.651267472162996</v>
      </c>
      <c r="H64" s="50">
        <f>(D64)/C72</f>
        <v>7.3766394110117341E-3</v>
      </c>
      <c r="I64">
        <f t="shared" ref="I64" si="18">H64*100</f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7"/>
        <v>32.815986288208975</v>
      </c>
      <c r="F66" s="2">
        <f>(C66-C72)/C72</f>
        <v>0.60518834399431409</v>
      </c>
      <c r="G66">
        <f t="shared" si="8"/>
        <v>60.518834399431412</v>
      </c>
      <c r="H66" s="50">
        <f>(D66)/C72</f>
        <v>1.0305614783226724E-2</v>
      </c>
      <c r="I66">
        <f t="shared" si="9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7"/>
        <v>38.47391495858983</v>
      </c>
      <c r="F67" s="2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7"/>
        <v>218.96183954373919</v>
      </c>
      <c r="F68" s="2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" si="19">CONFIDENCE(0.05,D70,3)</f>
        <v>3.7340424149430178</v>
      </c>
      <c r="F70" s="2">
        <f>(C70-C72)/C72</f>
        <v>-0.33570244018005213</v>
      </c>
      <c r="G70">
        <f t="shared" ref="G70" si="20">F70*100</f>
        <v>-33.570244018005212</v>
      </c>
      <c r="H70" s="50">
        <f>(D70)/C72</f>
        <v>1.172648061669233E-3</v>
      </c>
      <c r="I70">
        <f t="shared" ref="I70" si="2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ref="E71" si="22">CONFIDENCE(0.05,D71,3)</f>
        <v>27.267850963785914</v>
      </c>
      <c r="F71" s="2">
        <f>(C71-C72)/C72</f>
        <v>-0.33155650319829422</v>
      </c>
      <c r="G71">
        <f t="shared" ref="G71" si="23">F71*100</f>
        <v>-33.155650319829419</v>
      </c>
      <c r="H71" s="50">
        <f>(D71)/C72</f>
        <v>8.5632644264050303E-3</v>
      </c>
      <c r="I71">
        <f t="shared" ref="I71" si="24">H71*100</f>
        <v>0.85632644264050306</v>
      </c>
    </row>
    <row r="72" spans="1:9" x14ac:dyDescent="0.25">
      <c r="A72" t="s">
        <v>122</v>
      </c>
      <c r="C72" s="26">
        <v>2814</v>
      </c>
      <c r="F72" s="2"/>
    </row>
    <row r="80" spans="1:9" x14ac:dyDescent="0.25">
      <c r="A80" t="s">
        <v>167</v>
      </c>
      <c r="D80">
        <f>81*60+8</f>
        <v>4868</v>
      </c>
      <c r="E80" s="16">
        <f t="shared" ref="E80:E85" si="25">G80-F80</f>
        <v>5.6342592592592666E-2</v>
      </c>
      <c r="F80" s="18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25"/>
        <v>5.7800925925925895E-2</v>
      </c>
      <c r="F81" s="18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25"/>
        <v>5.78819444444445E-2</v>
      </c>
      <c r="F82" s="18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25"/>
        <v>5.6134259259259189E-2</v>
      </c>
      <c r="F83" s="18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25"/>
        <v>5.6087962962962923E-2</v>
      </c>
      <c r="F84" s="16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25"/>
        <v>5.8749999999999969E-2</v>
      </c>
      <c r="F85" s="16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26">CONFIDENCE(0.05,D96,3)</f>
        <v>69.155433304343973</v>
      </c>
      <c r="F96" s="2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26"/>
        <v>121.63713274441463</v>
      </c>
      <c r="F97" s="2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F100" s="2"/>
      <c r="H100" s="50"/>
    </row>
    <row r="101" spans="1:9" x14ac:dyDescent="0.25">
      <c r="F101" s="2"/>
      <c r="H101" s="50"/>
    </row>
    <row r="102" spans="1:9" x14ac:dyDescent="0.25">
      <c r="F102" s="2"/>
      <c r="H102" s="50"/>
    </row>
    <row r="103" spans="1:9" x14ac:dyDescent="0.25">
      <c r="F103" s="2"/>
      <c r="H103" s="50"/>
    </row>
    <row r="104" spans="1:9" x14ac:dyDescent="0.25">
      <c r="F104" s="2"/>
      <c r="H104" s="50"/>
    </row>
    <row r="105" spans="1:9" x14ac:dyDescent="0.25">
      <c r="F105" s="2"/>
      <c r="H105" s="50"/>
    </row>
    <row r="107" spans="1:9" x14ac:dyDescent="0.25">
      <c r="F107" s="2"/>
      <c r="H107" s="50"/>
    </row>
    <row r="108" spans="1:9" x14ac:dyDescent="0.25">
      <c r="F108" s="2"/>
      <c r="H108" s="50"/>
    </row>
    <row r="110" spans="1:9" x14ac:dyDescent="0.25">
      <c r="F110" s="2"/>
      <c r="H110" s="50"/>
    </row>
    <row r="111" spans="1:9" x14ac:dyDescent="0.25">
      <c r="F111" s="2"/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18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((L122-O122)/L122)*100</f>
        <v>45.146198830409354</v>
      </c>
      <c r="O122">
        <v>2814</v>
      </c>
      <c r="Q122" t="s">
        <v>178</v>
      </c>
      <c r="R122" t="str">
        <f>A122</f>
        <v>strategy2(10)</v>
      </c>
      <c r="T122">
        <f>M122</f>
        <v>45.146198830409354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27">F123-E123</f>
        <v>0</v>
      </c>
      <c r="E123" s="16"/>
      <c r="F123" s="51"/>
      <c r="G123">
        <f>92*60+46</f>
        <v>5566</v>
      </c>
      <c r="H123" s="1">
        <f t="shared" ref="H123:H146" si="28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45.046217940372351</v>
      </c>
      <c r="U123">
        <f>M127</f>
        <v>20.774198546012805</v>
      </c>
    </row>
    <row r="124" spans="1:21" x14ac:dyDescent="0.25">
      <c r="A124" t="s">
        <v>111</v>
      </c>
      <c r="D124" s="1">
        <f t="shared" si="27"/>
        <v>0</v>
      </c>
      <c r="E124" s="16"/>
      <c r="F124" s="16"/>
      <c r="G124">
        <f>82*60+9</f>
        <v>4929</v>
      </c>
      <c r="H124" s="1">
        <f t="shared" si="28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-21.380301941049595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27"/>
        <v>5.207175925925922E-2</v>
      </c>
      <c r="E125" s="16">
        <v>0.99326388888888895</v>
      </c>
      <c r="F125" s="51">
        <v>1.0453356481481482</v>
      </c>
      <c r="G125">
        <f>96*60+10</f>
        <v>5770</v>
      </c>
      <c r="H125" s="1">
        <f t="shared" si="28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((L125-O125)/L125)*100</f>
        <v>45.046217940372351</v>
      </c>
      <c r="O125">
        <v>2814</v>
      </c>
      <c r="R125" t="str">
        <f>A131</f>
        <v>strategy2(10000)</v>
      </c>
      <c r="T125">
        <f>M131</f>
        <v>-23.547490121469348</v>
      </c>
      <c r="U125">
        <f>M133</f>
        <v>8.8175230512057681</v>
      </c>
    </row>
    <row r="126" spans="1:21" x14ac:dyDescent="0.25">
      <c r="A126" t="s">
        <v>112</v>
      </c>
      <c r="D126" s="1">
        <f t="shared" si="27"/>
        <v>0</v>
      </c>
      <c r="E126" s="16"/>
      <c r="F126" s="16"/>
      <c r="G126">
        <f>84*60+46</f>
        <v>5086</v>
      </c>
      <c r="H126" s="1">
        <f t="shared" si="28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20.642978003384094</v>
      </c>
      <c r="U126">
        <f>M136</f>
        <v>14.782096905729441</v>
      </c>
    </row>
    <row r="127" spans="1:21" x14ac:dyDescent="0.25">
      <c r="A127" t="s">
        <v>112</v>
      </c>
      <c r="D127" s="1">
        <f t="shared" si="27"/>
        <v>0</v>
      </c>
      <c r="E127" s="18"/>
      <c r="F127" s="18"/>
      <c r="G127">
        <f>75*60+6</f>
        <v>4506</v>
      </c>
      <c r="H127" s="1">
        <f t="shared" si="28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27"/>
        <v>3.3749999999999988E-2</v>
      </c>
      <c r="E128" s="16">
        <v>4.5659722222222227E-2</v>
      </c>
      <c r="F128" s="16">
        <v>7.9409722222222215E-2</v>
      </c>
      <c r="G128">
        <f>32*60+52</f>
        <v>1972</v>
      </c>
      <c r="H128" s="1">
        <f t="shared" si="28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((L128-O128)/L128)*100</f>
        <v>-21.380301941049595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27"/>
        <v>0</v>
      </c>
      <c r="E129" s="18"/>
      <c r="F129" s="18"/>
      <c r="G129">
        <f>49*60+16</f>
        <v>2956</v>
      </c>
      <c r="H129" s="1">
        <f t="shared" si="28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27"/>
        <v>0</v>
      </c>
      <c r="E130" s="16"/>
      <c r="F130" s="16"/>
      <c r="G130">
        <f>33*60+47</f>
        <v>2027</v>
      </c>
      <c r="H130" s="1">
        <f t="shared" si="28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27"/>
        <v>3.4282407407407414E-2</v>
      </c>
      <c r="E131" s="18">
        <v>7.9490740740740737E-2</v>
      </c>
      <c r="F131" s="18">
        <v>0.11377314814814815</v>
      </c>
      <c r="G131">
        <f>42*60+49</f>
        <v>2569</v>
      </c>
      <c r="H131" s="1">
        <f t="shared" si="28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((L131-O131)/L131)*100</f>
        <v>-23.547490121469348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27"/>
        <v>0</v>
      </c>
      <c r="E132" s="16"/>
      <c r="F132" s="16"/>
      <c r="G132">
        <f>37*60+4</f>
        <v>2224</v>
      </c>
      <c r="H132" s="1">
        <f t="shared" si="28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27"/>
        <v>0</v>
      </c>
      <c r="E133" s="16"/>
      <c r="F133" s="16"/>
      <c r="G133">
        <f>34*60</f>
        <v>2040</v>
      </c>
      <c r="H133" s="1">
        <f t="shared" si="28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27"/>
        <v>4.4652777777777777E-2</v>
      </c>
      <c r="E134" s="16">
        <v>0.11385416666666666</v>
      </c>
      <c r="F134" s="16">
        <v>0.15850694444444444</v>
      </c>
      <c r="G134">
        <f>65*60+14</f>
        <v>3914</v>
      </c>
      <c r="H134" s="1">
        <f t="shared" si="28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((L134-O134)/L134)*100</f>
        <v>20.642978003384094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27"/>
        <v>0</v>
      </c>
      <c r="G135">
        <f>50*60+44</f>
        <v>3044</v>
      </c>
      <c r="H135" s="1">
        <f t="shared" si="28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27"/>
        <v>0</v>
      </c>
      <c r="G136">
        <f>61*60+20</f>
        <v>3680</v>
      </c>
      <c r="H136" s="1">
        <f t="shared" si="28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27"/>
        <v>4.8749999999999988E-2</v>
      </c>
      <c r="E137" s="16">
        <v>0.15858796296296296</v>
      </c>
      <c r="F137" s="16">
        <v>0.20733796296296295</v>
      </c>
      <c r="G137">
        <f>30*60+48</f>
        <v>1848</v>
      </c>
      <c r="H137" s="1">
        <f t="shared" si="28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((L137-O137)/L137)*100</f>
        <v>-35.701655682366187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27"/>
        <v>0</v>
      </c>
      <c r="G138">
        <f>40*60+24</f>
        <v>2424</v>
      </c>
      <c r="H138" s="1">
        <f t="shared" si="28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27"/>
        <v>0</v>
      </c>
      <c r="G139">
        <f>32*60+29</f>
        <v>1949</v>
      </c>
      <c r="H139" s="1">
        <f t="shared" si="28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27"/>
        <v>3.2442129629629612E-2</v>
      </c>
      <c r="E140" s="18">
        <v>0.20745370370370372</v>
      </c>
      <c r="F140" s="18">
        <v>0.23989583333333334</v>
      </c>
      <c r="G140">
        <f>41*60+19</f>
        <v>2479</v>
      </c>
      <c r="H140" s="1">
        <f t="shared" si="28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((L140-O140)/L140)*100</f>
        <v>-1.4541521451748645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27"/>
        <v>0</v>
      </c>
      <c r="G141">
        <f>30*60+4</f>
        <v>1804</v>
      </c>
      <c r="H141" s="1">
        <f t="shared" si="28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27"/>
        <v>0</v>
      </c>
      <c r="G142">
        <f>67*60+18</f>
        <v>4038</v>
      </c>
      <c r="H142" s="1">
        <f t="shared" si="28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27"/>
        <v>4.4467592592592614E-2</v>
      </c>
      <c r="E143" s="16">
        <v>0.23998842592592592</v>
      </c>
      <c r="F143" s="16">
        <v>0.28445601851851854</v>
      </c>
      <c r="G143">
        <f>31*60+11</f>
        <v>1871</v>
      </c>
      <c r="H143" s="1">
        <f t="shared" si="28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((L143-O143)/L143)*100</f>
        <v>10.30599235019125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27"/>
        <v>0</v>
      </c>
      <c r="G144">
        <f>31*60+6</f>
        <v>1866</v>
      </c>
      <c r="H144" s="1">
        <f t="shared" si="28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27"/>
        <v>#VALUE!</v>
      </c>
      <c r="F145" t="s">
        <v>175</v>
      </c>
      <c r="G145">
        <f>94*60+35</f>
        <v>5675</v>
      </c>
      <c r="H145" s="1">
        <f t="shared" si="28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27"/>
        <v>2.2604166666666703E-2</v>
      </c>
      <c r="E146" s="16">
        <v>0.28456018518518517</v>
      </c>
      <c r="F146" s="16">
        <v>0.30716435185185187</v>
      </c>
      <c r="G146">
        <f>30*60+12</f>
        <v>1812</v>
      </c>
      <c r="H146" s="1">
        <f t="shared" si="28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((L146-O146)/L146)*100</f>
        <v>-12.635090060040019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27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27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18"/>
      <c r="G154">
        <f>62*60+16</f>
        <v>3736</v>
      </c>
      <c r="H154" s="1">
        <f>J154-I154</f>
        <v>5.018518518518518E-2</v>
      </c>
      <c r="I154" s="16">
        <v>2.0196759259259258E-2</v>
      </c>
      <c r="J154" s="16">
        <v>7.0381944444444441E-2</v>
      </c>
      <c r="K154" t="s">
        <v>184</v>
      </c>
      <c r="L154">
        <f>AVERAGE(G154:G156)</f>
        <v>3781.5</v>
      </c>
      <c r="M154">
        <f>((L154-O154)/L154)*100</f>
        <v>25.585085283617616</v>
      </c>
      <c r="O154">
        <v>2814</v>
      </c>
      <c r="Q154" t="s">
        <v>178</v>
      </c>
      <c r="R154" t="str">
        <f>A154</f>
        <v>strategy4(10)</v>
      </c>
      <c r="T154">
        <f>M154</f>
        <v>25.585085283617616</v>
      </c>
      <c r="U154">
        <f>M156</f>
        <v>1.8296784257450536</v>
      </c>
    </row>
    <row r="155" spans="1:21" x14ac:dyDescent="0.25">
      <c r="A155" t="s">
        <v>119</v>
      </c>
      <c r="D155" s="1"/>
      <c r="E155" s="16"/>
      <c r="F155" s="51"/>
      <c r="G155">
        <f>63*60+47</f>
        <v>3827</v>
      </c>
      <c r="H155" s="1">
        <f t="shared" ref="H155:H178" si="29">J155-I155</f>
        <v>5.1238425925925923E-2</v>
      </c>
      <c r="I155" s="16">
        <v>0.42697916666666669</v>
      </c>
      <c r="J155" s="16">
        <v>0.47821759259259261</v>
      </c>
      <c r="L155" s="48">
        <f>_xlfn.STDEV.P(G154:G156)</f>
        <v>45.5</v>
      </c>
      <c r="O155">
        <v>2814</v>
      </c>
      <c r="R155" t="str">
        <f>A157</f>
        <v>strategy4(100)</v>
      </c>
      <c r="T155">
        <f>M157</f>
        <v>43.781839976026369</v>
      </c>
      <c r="U155">
        <f>M159</f>
        <v>1.1058495979777796</v>
      </c>
    </row>
    <row r="156" spans="1:21" x14ac:dyDescent="0.25">
      <c r="A156" t="s">
        <v>119</v>
      </c>
      <c r="D156" s="1"/>
      <c r="E156" s="16"/>
      <c r="F156" s="16"/>
      <c r="H156" s="1">
        <f t="shared" si="29"/>
        <v>0</v>
      </c>
      <c r="I156" s="16"/>
      <c r="J156" s="16"/>
      <c r="L156" s="48">
        <f>CONFIDENCE(0.05,L155,3)</f>
        <v>51.487150900465807</v>
      </c>
      <c r="M156">
        <f>L156/O156*100</f>
        <v>1.8296784257450536</v>
      </c>
      <c r="O156">
        <v>2814</v>
      </c>
      <c r="R156" t="str">
        <f>A160</f>
        <v>strategy4(1000)</v>
      </c>
      <c r="T156">
        <f>M160</f>
        <v>5.2046488125315813</v>
      </c>
      <c r="U156">
        <f>M162</f>
        <v>1.1862750232852544</v>
      </c>
    </row>
    <row r="157" spans="1:21" x14ac:dyDescent="0.25">
      <c r="A157" t="s">
        <v>115</v>
      </c>
      <c r="D157" s="1"/>
      <c r="E157" s="16"/>
      <c r="F157" s="51"/>
      <c r="G157">
        <f>82*60+58</f>
        <v>4978</v>
      </c>
      <c r="H157" s="1">
        <f t="shared" si="29"/>
        <v>5.7615740740740731E-2</v>
      </c>
      <c r="I157" s="16">
        <v>7.0462962962962963E-2</v>
      </c>
      <c r="J157" s="16">
        <v>0.12807870370370369</v>
      </c>
      <c r="K157" t="s">
        <v>186</v>
      </c>
      <c r="L157" s="48">
        <f>AVERAGE(G157:G159)</f>
        <v>5005.5</v>
      </c>
      <c r="M157">
        <f>((L157-O157)/L157)*100</f>
        <v>43.781839976026369</v>
      </c>
      <c r="O157">
        <v>2814</v>
      </c>
      <c r="R157" t="str">
        <f>A163</f>
        <v>strategy4(10000)</v>
      </c>
      <c r="T157">
        <f>M163</f>
        <v>12.10370138997345</v>
      </c>
      <c r="U157">
        <f>M165</f>
        <v>4.0815903343543498</v>
      </c>
    </row>
    <row r="158" spans="1:21" x14ac:dyDescent="0.25">
      <c r="A158" t="s">
        <v>115</v>
      </c>
      <c r="D158" s="1"/>
      <c r="E158" s="16"/>
      <c r="F158" s="16"/>
      <c r="G158">
        <f>83*60+53</f>
        <v>5033</v>
      </c>
      <c r="H158" s="1">
        <f t="shared" si="29"/>
        <v>5.8252314814814798E-2</v>
      </c>
      <c r="I158" s="16">
        <v>0.4782986111111111</v>
      </c>
      <c r="J158" s="16">
        <v>0.5365509259259259</v>
      </c>
      <c r="L158" s="48">
        <f>_xlfn.STDEV.P(G157:G159)</f>
        <v>27.5</v>
      </c>
      <c r="O158">
        <v>2814</v>
      </c>
      <c r="R158" t="str">
        <f>A166</f>
        <v>strategy4(100000)</v>
      </c>
      <c r="T158">
        <f>M166</f>
        <v>-21.136461472234181</v>
      </c>
      <c r="U158" t="e">
        <f>M168</f>
        <v>#NUM!</v>
      </c>
    </row>
    <row r="159" spans="1:21" x14ac:dyDescent="0.25">
      <c r="A159" t="s">
        <v>115</v>
      </c>
      <c r="D159" s="1"/>
      <c r="E159" s="18"/>
      <c r="F159" s="18"/>
      <c r="H159" s="1">
        <f t="shared" si="29"/>
        <v>0</v>
      </c>
      <c r="I159" s="16"/>
      <c r="J159" s="16"/>
      <c r="L159" s="48">
        <f>CONFIDENCE(0.05,L158,3)</f>
        <v>31.118607687094716</v>
      </c>
      <c r="M159">
        <f>L159/O159*100</f>
        <v>1.1058495979777796</v>
      </c>
      <c r="O159">
        <v>2814</v>
      </c>
      <c r="Q159" s="18"/>
    </row>
    <row r="160" spans="1:21" x14ac:dyDescent="0.25">
      <c r="A160" t="s">
        <v>120</v>
      </c>
      <c r="D160" s="1"/>
      <c r="E160" s="16"/>
      <c r="F160" s="16"/>
      <c r="G160">
        <f>49*60+58</f>
        <v>2998</v>
      </c>
      <c r="H160" s="1">
        <f t="shared" si="29"/>
        <v>3.4699074074074077E-2</v>
      </c>
      <c r="I160" s="16">
        <v>0.12815972222222222</v>
      </c>
      <c r="J160" s="16">
        <v>0.16285879629629629</v>
      </c>
      <c r="K160" t="s">
        <v>183</v>
      </c>
      <c r="L160" s="48">
        <f>AVERAGE(G160:G162)</f>
        <v>2968.5</v>
      </c>
      <c r="M160">
        <f>((L160-O160)/L160)*100</f>
        <v>5.2046488125315813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18"/>
      <c r="G161">
        <f>48*60+59</f>
        <v>2939</v>
      </c>
      <c r="H161" s="1">
        <f t="shared" si="29"/>
        <v>3.4016203703703729E-2</v>
      </c>
      <c r="I161" s="16">
        <v>0.5366319444444444</v>
      </c>
      <c r="J161" s="16">
        <v>0.57064814814814813</v>
      </c>
      <c r="L161" s="48">
        <f>_xlfn.STDEV.P(G160:G162)</f>
        <v>29.5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F162" s="16"/>
      <c r="H162" s="1">
        <f t="shared" si="29"/>
        <v>0</v>
      </c>
      <c r="I162" s="16"/>
      <c r="J162" s="16"/>
      <c r="L162" s="48">
        <f>CONFIDENCE(0.05,L161,3)</f>
        <v>33.38177915524706</v>
      </c>
      <c r="M162">
        <f>L162/O162*100</f>
        <v>1.1862750232852544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18"/>
      <c r="G163">
        <f>51*60+40</f>
        <v>3100</v>
      </c>
      <c r="H163" s="1">
        <f t="shared" si="29"/>
        <v>3.5879629629629622E-2</v>
      </c>
      <c r="I163" s="16">
        <v>0.16295138888888888</v>
      </c>
      <c r="J163" s="16">
        <v>0.1988310185185185</v>
      </c>
      <c r="K163" t="s">
        <v>183</v>
      </c>
      <c r="L163" s="48">
        <f>AVERAGE(G163:G165)</f>
        <v>3201.5</v>
      </c>
      <c r="M163">
        <f>((L163-O163)/L163)*100</f>
        <v>12.10370138997345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F164" s="16"/>
      <c r="G164">
        <f>55*60+3</f>
        <v>3303</v>
      </c>
      <c r="H164" s="1">
        <f t="shared" si="29"/>
        <v>3.8229166666666758E-2</v>
      </c>
      <c r="I164" s="16">
        <v>0.57072916666666662</v>
      </c>
      <c r="J164" s="16">
        <v>0.60895833333333338</v>
      </c>
      <c r="L164" s="48">
        <f>_xlfn.STDEV.P(G163:G165)</f>
        <v>101.5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F165" s="16"/>
      <c r="H165" s="1">
        <f t="shared" si="29"/>
        <v>0</v>
      </c>
      <c r="L165" s="48">
        <f>CONFIDENCE(0.05,L164,3)</f>
        <v>114.85595200873141</v>
      </c>
      <c r="M165">
        <f>L165/O165*100</f>
        <v>4.0815903343543498</v>
      </c>
      <c r="O165">
        <v>2814</v>
      </c>
      <c r="Q165" s="18"/>
    </row>
    <row r="166" spans="1:19" x14ac:dyDescent="0.25">
      <c r="A166" t="s">
        <v>132</v>
      </c>
      <c r="D166" s="1"/>
      <c r="E166" s="16"/>
      <c r="F166" s="16"/>
      <c r="G166">
        <f>38*60+43</f>
        <v>2323</v>
      </c>
      <c r="H166" s="1">
        <f t="shared" si="29"/>
        <v>2.6886574074074077E-2</v>
      </c>
      <c r="I166" s="16">
        <v>0.19890046296296296</v>
      </c>
      <c r="J166" s="16">
        <v>0.22578703703703704</v>
      </c>
      <c r="K166" t="s">
        <v>182</v>
      </c>
      <c r="L166" s="48">
        <f>AVERAGE(G166:G168)</f>
        <v>2323</v>
      </c>
      <c r="M166">
        <f>((L166-O166)/L166)*100</f>
        <v>-21.136461472234181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29"/>
        <v>2.6145833333333313E-2</v>
      </c>
      <c r="I167" s="16">
        <v>0.60905092592592591</v>
      </c>
      <c r="J167" s="16">
        <v>0.63519675925925922</v>
      </c>
      <c r="L167" s="48">
        <f>_xlfn.STDEV.P(G166:G168)</f>
        <v>0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29"/>
        <v>0</v>
      </c>
      <c r="L168" s="48" t="e">
        <f>CONFIDENCE(0.05,L167,3)</f>
        <v>#NUM!</v>
      </c>
      <c r="M168" t="e">
        <f>L168/O168*100</f>
        <v>#NUM!</v>
      </c>
      <c r="O168">
        <v>2814</v>
      </c>
      <c r="Q168" s="18"/>
    </row>
    <row r="169" spans="1:19" x14ac:dyDescent="0.25">
      <c r="A169" t="s">
        <v>187</v>
      </c>
      <c r="D169" s="1"/>
      <c r="E169" s="16"/>
      <c r="F169" s="16"/>
      <c r="G169">
        <f>32*60+25</f>
        <v>1945</v>
      </c>
      <c r="H169" s="1">
        <f t="shared" si="29"/>
        <v>2.2511574074074087E-2</v>
      </c>
      <c r="I169" s="16">
        <v>0.22586805555555556</v>
      </c>
      <c r="J169" s="16">
        <v>0.24837962962962964</v>
      </c>
      <c r="K169" t="s">
        <v>182</v>
      </c>
      <c r="L169" s="48">
        <f>AVERAGE(G169:G171)</f>
        <v>1945</v>
      </c>
      <c r="M169">
        <f>((L169-O169)/L169)*100</f>
        <v>-44.678663239074552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29"/>
        <v>3.90856481481483E-2</v>
      </c>
      <c r="I170" s="16">
        <v>0.63527777777777772</v>
      </c>
      <c r="J170" s="16">
        <v>0.67436342592592602</v>
      </c>
      <c r="L170" s="48">
        <f>_xlfn.STDEV.P(G169:G171)</f>
        <v>0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29"/>
        <v>0</v>
      </c>
      <c r="L171" s="48" t="e">
        <f>CONFIDENCE(0.05,L170,3)</f>
        <v>#NUM!</v>
      </c>
      <c r="M171" t="e">
        <f>L171/O171*100</f>
        <v>#NUM!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18"/>
      <c r="G172">
        <f>47*60+45</f>
        <v>2865</v>
      </c>
      <c r="H172" s="1">
        <f t="shared" si="29"/>
        <v>3.3159722222222188E-2</v>
      </c>
      <c r="I172" s="16">
        <v>0.24846064814814817</v>
      </c>
      <c r="J172" s="16">
        <v>0.28162037037037035</v>
      </c>
      <c r="K172" t="s">
        <v>182</v>
      </c>
      <c r="L172" s="48">
        <f>AVERAGE(G172:G174)</f>
        <v>2865</v>
      </c>
      <c r="M172">
        <f>((L172-O172)/L172)*100</f>
        <v>1.7801047120418849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29"/>
        <v>0</v>
      </c>
      <c r="L173" s="48">
        <f>_xlfn.STDEV.P(G172:G174)</f>
        <v>0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29"/>
        <v>0</v>
      </c>
      <c r="L174" s="48" t="e">
        <f>CONFIDENCE(0.05,L173,3)</f>
        <v>#NUM!</v>
      </c>
      <c r="M174" t="e">
        <f>L174/O174*100</f>
        <v>#NUM!</v>
      </c>
      <c r="O174">
        <v>2814</v>
      </c>
      <c r="Q174" s="18"/>
    </row>
    <row r="175" spans="1:19" x14ac:dyDescent="0.25">
      <c r="A175" t="s">
        <v>189</v>
      </c>
      <c r="D175" s="1"/>
      <c r="E175" s="16"/>
      <c r="F175" s="16"/>
      <c r="G175">
        <f>33*60+40</f>
        <v>2020</v>
      </c>
      <c r="H175" s="1">
        <f t="shared" si="29"/>
        <v>2.3379629629629639E-2</v>
      </c>
      <c r="I175" s="16">
        <v>0.28172453703703704</v>
      </c>
      <c r="J175" s="16">
        <v>0.30510416666666668</v>
      </c>
      <c r="K175" t="s">
        <v>182</v>
      </c>
      <c r="L175" s="48">
        <f>AVERAGE(G175:G177)</f>
        <v>2020</v>
      </c>
      <c r="M175">
        <f>((L175-O175)/L175)*100</f>
        <v>-39.306930693069312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29"/>
        <v>0</v>
      </c>
      <c r="L176" s="48">
        <f>_xlfn.STDEV.P(G175:G177)</f>
        <v>0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29"/>
        <v>0</v>
      </c>
      <c r="L177" s="48" t="e">
        <f>CONFIDENCE(0.05,L176,3)</f>
        <v>#NUM!</v>
      </c>
      <c r="M177" t="e">
        <f>L177/O177*100</f>
        <v>#NUM!</v>
      </c>
      <c r="O177">
        <v>2814</v>
      </c>
      <c r="Q177" s="18"/>
    </row>
    <row r="178" spans="1:19" x14ac:dyDescent="0.25">
      <c r="A178" t="s">
        <v>190</v>
      </c>
      <c r="D178" s="1"/>
      <c r="E178" s="16"/>
      <c r="F178" s="16"/>
      <c r="H178" s="1">
        <f t="shared" si="29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86" sqref="E86"/>
    </sheetView>
  </sheetViews>
  <sheetFormatPr defaultRowHeight="15" x14ac:dyDescent="0.25"/>
  <cols>
    <col min="6" max="6" width="12" customWidth="1"/>
    <col min="10" max="10" width="13.8554687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16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16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16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16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16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16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16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16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16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16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16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16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16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16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16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x14ac:dyDescent="0.25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</row>
    <row r="23" spans="1:15" x14ac:dyDescent="0.25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AVERAGE(K2,K12)</f>
        <v>1713</v>
      </c>
    </row>
    <row r="24" spans="1:15" x14ac:dyDescent="0.25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</row>
    <row r="25" spans="1:15" x14ac:dyDescent="0.25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</row>
    <row r="26" spans="1:15" x14ac:dyDescent="0.25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</row>
    <row r="27" spans="1:15" x14ac:dyDescent="0.25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</row>
    <row r="28" spans="1:15" x14ac:dyDescent="0.25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</row>
    <row r="29" spans="1:15" x14ac:dyDescent="0.25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J29" s="28">
        <v>10000000</v>
      </c>
    </row>
    <row r="30" spans="1:15" x14ac:dyDescent="0.25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9" x14ac:dyDescent="0.25">
      <c r="A33" s="32" t="s">
        <v>127</v>
      </c>
      <c r="E33" s="16">
        <f t="shared" si="1"/>
        <v>0</v>
      </c>
    </row>
    <row r="34" spans="1:9" x14ac:dyDescent="0.25">
      <c r="A34" s="32" t="s">
        <v>127</v>
      </c>
      <c r="E34" s="16">
        <f t="shared" si="1"/>
        <v>0</v>
      </c>
    </row>
    <row r="35" spans="1:9" x14ac:dyDescent="0.25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I35" t="s">
        <v>133</v>
      </c>
    </row>
    <row r="36" spans="1:9" x14ac:dyDescent="0.25">
      <c r="A36" s="32" t="s">
        <v>128</v>
      </c>
      <c r="E36" s="16">
        <f t="shared" si="1"/>
        <v>0</v>
      </c>
    </row>
    <row r="37" spans="1:9" x14ac:dyDescent="0.25">
      <c r="A37" s="32" t="s">
        <v>128</v>
      </c>
      <c r="E37" s="16">
        <f t="shared" si="1"/>
        <v>0</v>
      </c>
    </row>
    <row r="38" spans="1:9" x14ac:dyDescent="0.25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</row>
    <row r="39" spans="1:9" x14ac:dyDescent="0.25">
      <c r="A39" s="32" t="s">
        <v>129</v>
      </c>
      <c r="E39" s="16">
        <f t="shared" si="1"/>
        <v>0</v>
      </c>
    </row>
    <row r="40" spans="1:9" x14ac:dyDescent="0.25">
      <c r="A40" s="32" t="s">
        <v>129</v>
      </c>
      <c r="E40" s="16">
        <f t="shared" si="1"/>
        <v>0</v>
      </c>
    </row>
    <row r="41" spans="1:9" x14ac:dyDescent="0.25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</row>
    <row r="42" spans="1:9" x14ac:dyDescent="0.25">
      <c r="A42" s="32" t="s">
        <v>130</v>
      </c>
      <c r="E42" s="16">
        <f t="shared" si="1"/>
        <v>0</v>
      </c>
    </row>
    <row r="43" spans="1:9" ht="15.75" customHeight="1" x14ac:dyDescent="0.25">
      <c r="A43" s="32" t="s">
        <v>130</v>
      </c>
      <c r="E43" s="16">
        <f t="shared" si="1"/>
        <v>0</v>
      </c>
    </row>
    <row r="44" spans="1:9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9" ht="15.75" customHeight="1" x14ac:dyDescent="0.25">
      <c r="A45" s="32" t="s">
        <v>131</v>
      </c>
      <c r="E45" s="16">
        <f t="shared" si="1"/>
        <v>0</v>
      </c>
    </row>
    <row r="46" spans="1:9" ht="15.75" customHeight="1" x14ac:dyDescent="0.25">
      <c r="A46" s="32" t="s">
        <v>131</v>
      </c>
      <c r="E46" s="16">
        <f t="shared" si="1"/>
        <v>0</v>
      </c>
    </row>
    <row r="47" spans="1:9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9" ht="15.75" customHeight="1" x14ac:dyDescent="0.25">
      <c r="A48" s="32" t="s">
        <v>132</v>
      </c>
      <c r="E48" s="16">
        <f t="shared" si="1"/>
        <v>0</v>
      </c>
    </row>
    <row r="49" spans="1:9" ht="15.75" customHeight="1" x14ac:dyDescent="0.25">
      <c r="A49" s="32" t="s">
        <v>132</v>
      </c>
      <c r="E49" s="16">
        <f t="shared" si="1"/>
        <v>0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5" spans="1:9" x14ac:dyDescent="0.25">
      <c r="C55" t="s">
        <v>109</v>
      </c>
      <c r="D55" t="s">
        <v>108</v>
      </c>
      <c r="E55" t="s">
        <v>121</v>
      </c>
      <c r="F55" t="s">
        <v>123</v>
      </c>
      <c r="G55" t="s">
        <v>126</v>
      </c>
      <c r="H55" t="s">
        <v>124</v>
      </c>
      <c r="I55" t="s">
        <v>125</v>
      </c>
    </row>
    <row r="56" spans="1:9" x14ac:dyDescent="0.25">
      <c r="A56" t="s">
        <v>101</v>
      </c>
      <c r="C56" s="48">
        <f>AVERAGE(D2:D4)</f>
        <v>1306.3333333333333</v>
      </c>
      <c r="D56">
        <f>_xlfn.STDEV.P(D2:D4)</f>
        <v>6.7986926847903799</v>
      </c>
      <c r="E56">
        <f t="shared" ref="E56:E65" si="4">CONFIDENCE(0.05,D56,3)</f>
        <v>7.6933036524768195</v>
      </c>
      <c r="F56" s="2">
        <f>(C56-C66)/C66</f>
        <v>6.37893593919652E-2</v>
      </c>
      <c r="G56">
        <f>F56*100</f>
        <v>6.3789359391965199</v>
      </c>
      <c r="H56" s="50">
        <f>(D56)/C66</f>
        <v>5.5363946944547065E-3</v>
      </c>
      <c r="I56">
        <f>H56*100</f>
        <v>0.5536394694454706</v>
      </c>
    </row>
    <row r="57" spans="1:9" x14ac:dyDescent="0.25">
      <c r="A57" t="s">
        <v>105</v>
      </c>
      <c r="C57" s="48">
        <f>AVERAGE(D5:D7)</f>
        <v>1167</v>
      </c>
      <c r="D57">
        <f>_xlfn.STDEV.P(D5:D7)</f>
        <v>2.1602468994692869</v>
      </c>
      <c r="E57">
        <f t="shared" si="4"/>
        <v>2.4445045735217263</v>
      </c>
      <c r="F57" s="2">
        <f>(C57-C66)/C66</f>
        <v>-4.96742671009772E-2</v>
      </c>
      <c r="G57">
        <f t="shared" ref="G57:G65" si="5">F57*100</f>
        <v>-4.9674267100977199</v>
      </c>
      <c r="H57" s="50">
        <f>(D57)/C66</f>
        <v>1.759158712922872E-3</v>
      </c>
      <c r="I57">
        <f t="shared" ref="I57:I65" si="6">H57*100</f>
        <v>0.1759158712922872</v>
      </c>
    </row>
    <row r="58" spans="1:9" x14ac:dyDescent="0.25">
      <c r="A58" t="s">
        <v>110</v>
      </c>
      <c r="C58" s="48">
        <f>AVERAGE(D8:D10)</f>
        <v>968.66666666666663</v>
      </c>
      <c r="D58">
        <f>_xlfn.STDEV.P(D8:D10)</f>
        <v>4.9216076867444665</v>
      </c>
      <c r="E58">
        <f t="shared" si="4"/>
        <v>5.5692210470396653</v>
      </c>
      <c r="F58" s="2">
        <f>(C58-C66)/C66</f>
        <v>-0.21118349619978288</v>
      </c>
      <c r="G58">
        <f t="shared" si="5"/>
        <v>-21.118349619978289</v>
      </c>
      <c r="H58" s="50">
        <f>(D58)/C66</f>
        <v>4.0078238491404452E-3</v>
      </c>
      <c r="I58">
        <f t="shared" si="6"/>
        <v>0.4007823849140445</v>
      </c>
    </row>
    <row r="59" spans="1:9" x14ac:dyDescent="0.25">
      <c r="A59" t="s">
        <v>111</v>
      </c>
      <c r="C59" s="48">
        <f>AVERAGE(D11:D13)</f>
        <v>1310</v>
      </c>
      <c r="D59">
        <f>_xlfn.STDEV.P(D11:D13)</f>
        <v>10.614455552060438</v>
      </c>
      <c r="E59">
        <f t="shared" si="4"/>
        <v>12.011166477697206</v>
      </c>
      <c r="F59" s="2">
        <f>(C59-C66)/C66</f>
        <v>6.6775244299674269E-2</v>
      </c>
      <c r="G59">
        <f t="shared" si="5"/>
        <v>6.677524429967427</v>
      </c>
      <c r="H59" s="50">
        <f>(D59)/C66</f>
        <v>8.6436934463032886E-3</v>
      </c>
      <c r="I59">
        <f t="shared" si="6"/>
        <v>0.86436934463032888</v>
      </c>
    </row>
    <row r="60" spans="1:9" x14ac:dyDescent="0.25">
      <c r="A60" t="s">
        <v>112</v>
      </c>
      <c r="C60" s="48">
        <f>AVERAGE(D14:D16)</f>
        <v>1163.3333333333333</v>
      </c>
      <c r="D60">
        <f>_xlfn.STDEV.P(D14:D16)</f>
        <v>3.7712361663282534</v>
      </c>
      <c r="E60">
        <f t="shared" si="4"/>
        <v>4.2674770456491631</v>
      </c>
      <c r="F60" s="2">
        <f>(C60-C66)/C66</f>
        <v>-5.2660152008686276E-2</v>
      </c>
      <c r="G60">
        <f t="shared" si="5"/>
        <v>-5.2660152008686278</v>
      </c>
      <c r="H60" s="50">
        <f>(D60)/C66</f>
        <v>3.0710392233943432E-3</v>
      </c>
      <c r="I60">
        <f t="shared" si="6"/>
        <v>0.30710392233943434</v>
      </c>
    </row>
    <row r="61" spans="1:9" x14ac:dyDescent="0.25">
      <c r="A61" t="s">
        <v>113</v>
      </c>
      <c r="C61" s="48">
        <f>AVERAGE(D17:D19)</f>
        <v>987.33333333333337</v>
      </c>
      <c r="D61">
        <f>_xlfn.STDEV.P(D17:D19)</f>
        <v>5.2493385826745405</v>
      </c>
      <c r="E61">
        <f t="shared" si="4"/>
        <v>5.9400766534901397</v>
      </c>
      <c r="F61" s="2">
        <f>(C61-C66)/C66</f>
        <v>-0.19598262757871876</v>
      </c>
      <c r="G61">
        <f t="shared" si="5"/>
        <v>-19.598262757871876</v>
      </c>
      <c r="H61" s="50">
        <f>(D61)/C66</f>
        <v>4.2747056862170521E-3</v>
      </c>
      <c r="I61">
        <f t="shared" si="6"/>
        <v>0.42747056862170518</v>
      </c>
    </row>
    <row r="62" spans="1:9" x14ac:dyDescent="0.25">
      <c r="A62" t="s">
        <v>114</v>
      </c>
      <c r="C62" s="48">
        <f>AVERAGE(D20:D22)</f>
        <v>1167</v>
      </c>
      <c r="D62">
        <f>_xlfn.STDEV.P(D20:D22)</f>
        <v>10.230672835481871</v>
      </c>
      <c r="E62">
        <f t="shared" si="4"/>
        <v>11.5768834306319</v>
      </c>
      <c r="F62" s="2">
        <f>(C62-C66)/C66</f>
        <v>-4.96742671009772E-2</v>
      </c>
      <c r="G62">
        <f t="shared" si="5"/>
        <v>-4.9674267100977199</v>
      </c>
      <c r="H62" s="50">
        <f>(D62)/C66</f>
        <v>8.3311668041383315E-3</v>
      </c>
      <c r="I62">
        <f t="shared" si="6"/>
        <v>0.83311668041383313</v>
      </c>
    </row>
    <row r="63" spans="1:9" x14ac:dyDescent="0.25">
      <c r="A63" t="s">
        <v>119</v>
      </c>
      <c r="C63" s="48">
        <f>AVERAGE(D23:D25)</f>
        <v>1299</v>
      </c>
      <c r="D63">
        <f>_xlfn.STDEV.P(D23:D25)</f>
        <v>25.573423705088842</v>
      </c>
      <c r="E63">
        <f t="shared" si="4"/>
        <v>28.938521436163924</v>
      </c>
      <c r="F63" s="2">
        <f>(C63-C66)/C66</f>
        <v>5.7817589576547229E-2</v>
      </c>
      <c r="G63">
        <f>F63*100</f>
        <v>5.7817589576547226</v>
      </c>
      <c r="H63" s="50">
        <f>(D63)/C66</f>
        <v>2.0825263603492544E-2</v>
      </c>
      <c r="I63">
        <f>H63*100</f>
        <v>2.0825263603492545</v>
      </c>
    </row>
    <row r="64" spans="1:9" x14ac:dyDescent="0.25">
      <c r="A64" t="s">
        <v>115</v>
      </c>
      <c r="C64" s="48">
        <f>AVERAGE(D26:D28)</f>
        <v>1163.3333333333333</v>
      </c>
      <c r="D64">
        <f>_xlfn.STDEV.P(D24:D26)</f>
        <v>56.192130726246326</v>
      </c>
      <c r="E64">
        <f t="shared" si="4"/>
        <v>63.586213497163648</v>
      </c>
      <c r="F64" s="2">
        <f>(C64-C66)/C66</f>
        <v>-5.2660152008686276E-2</v>
      </c>
      <c r="G64">
        <f>F64*100</f>
        <v>-5.2660152008686278</v>
      </c>
      <c r="H64" s="50" t="e">
        <f>(D64)/C67</f>
        <v>#DIV/0!</v>
      </c>
      <c r="I64" t="e">
        <f>H64*100</f>
        <v>#DIV/0!</v>
      </c>
    </row>
    <row r="65" spans="1:9" x14ac:dyDescent="0.25">
      <c r="A65" t="s">
        <v>120</v>
      </c>
      <c r="C65" s="48">
        <f>AVERAGE(D29:D31)</f>
        <v>970.66666666666663</v>
      </c>
      <c r="D65">
        <f>_xlfn.STDEV.P(D14:D16)</f>
        <v>3.7712361663282534</v>
      </c>
      <c r="E65">
        <f t="shared" si="4"/>
        <v>4.2674770456491631</v>
      </c>
      <c r="F65" s="2">
        <f>(C65-C66)/C66</f>
        <v>-0.20955483170466888</v>
      </c>
      <c r="G65">
        <f t="shared" si="5"/>
        <v>-20.955483170466888</v>
      </c>
      <c r="H65" s="50">
        <f>(D65)/C66</f>
        <v>3.0710392233943432E-3</v>
      </c>
      <c r="I65">
        <f t="shared" si="6"/>
        <v>0.30710392233943434</v>
      </c>
    </row>
    <row r="66" spans="1:9" x14ac:dyDescent="0.25">
      <c r="A66" t="s">
        <v>122</v>
      </c>
      <c r="C66" s="48">
        <f>20*60+28</f>
        <v>1228</v>
      </c>
      <c r="F6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31" workbookViewId="0">
      <selection activeCell="B6" sqref="B6"/>
    </sheetView>
  </sheetViews>
  <sheetFormatPr defaultRowHeight="15" x14ac:dyDescent="0.25"/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 s="7">
        <v>9</v>
      </c>
      <c r="U13" s="1">
        <f>W13-V13</f>
        <v>0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ht="15.75" thickBot="1" x14ac:dyDescent="0.3">
      <c r="A14">
        <v>50</v>
      </c>
      <c r="D14">
        <v>224</v>
      </c>
      <c r="S14" s="7">
        <v>8</v>
      </c>
      <c r="U14" s="1">
        <f>W14-V14</f>
        <v>0</v>
      </c>
      <c r="V14" s="18"/>
      <c r="W14" s="18"/>
      <c r="Y14" s="1">
        <f t="shared" ref="Y14:Y17" si="0">AA14-Z14</f>
        <v>0</v>
      </c>
      <c r="Z14" s="16"/>
      <c r="AA14" s="16"/>
      <c r="AB14" s="24"/>
      <c r="AC14" s="1">
        <f t="shared" ref="AC14:AC17" si="1">AE14-AD14</f>
        <v>0</v>
      </c>
      <c r="AD14" s="16"/>
      <c r="AE14" s="16"/>
    </row>
    <row r="15" spans="1:31" ht="15.75" thickBot="1" x14ac:dyDescent="0.3">
      <c r="A15">
        <v>45</v>
      </c>
      <c r="S15" s="7">
        <v>7</v>
      </c>
      <c r="U15" s="1">
        <f>W15-V15</f>
        <v>0</v>
      </c>
      <c r="V15" s="16"/>
      <c r="W15" s="16"/>
      <c r="X15" s="24"/>
      <c r="Y15" s="1">
        <f t="shared" si="0"/>
        <v>0</v>
      </c>
      <c r="Z15" s="16"/>
      <c r="AA15" s="16"/>
      <c r="AB15" s="24"/>
      <c r="AC15" s="1">
        <f t="shared" si="1"/>
        <v>0</v>
      </c>
      <c r="AD15" s="16"/>
      <c r="AE15" s="16"/>
    </row>
    <row r="16" spans="1:31" ht="15.75" thickBot="1" x14ac:dyDescent="0.3">
      <c r="A16">
        <v>40</v>
      </c>
      <c r="D16">
        <f>32*60+23</f>
        <v>1943</v>
      </c>
      <c r="F16" t="s">
        <v>149</v>
      </c>
      <c r="S16" s="7">
        <v>6</v>
      </c>
      <c r="U16" s="1">
        <f>W16-V16</f>
        <v>0</v>
      </c>
      <c r="V16" s="16"/>
      <c r="W16" s="16"/>
      <c r="Y16" s="1">
        <f t="shared" si="0"/>
        <v>0</v>
      </c>
      <c r="AB16" s="24"/>
      <c r="AC16" s="1">
        <f t="shared" si="1"/>
        <v>0</v>
      </c>
    </row>
    <row r="17" spans="1:31" ht="15.75" thickBot="1" x14ac:dyDescent="0.3">
      <c r="A17">
        <v>35</v>
      </c>
      <c r="S17" s="7">
        <v>5</v>
      </c>
      <c r="U17" s="1">
        <f t="shared" ref="U17" si="2">W17-V17</f>
        <v>0</v>
      </c>
      <c r="Y17" s="1">
        <f t="shared" si="0"/>
        <v>0</v>
      </c>
      <c r="AB17" s="24"/>
      <c r="AC17" s="1">
        <f t="shared" si="1"/>
        <v>0</v>
      </c>
    </row>
    <row r="18" spans="1:31" ht="15.75" thickBot="1" x14ac:dyDescent="0.3">
      <c r="A18">
        <v>30</v>
      </c>
      <c r="D18" t="s">
        <v>100</v>
      </c>
      <c r="E18" t="s">
        <v>148</v>
      </c>
      <c r="S18" s="10">
        <v>4</v>
      </c>
      <c r="U18" s="1"/>
      <c r="AB18" s="24"/>
    </row>
    <row r="19" spans="1:31" x14ac:dyDescent="0.25">
      <c r="S19" s="21">
        <v>3</v>
      </c>
      <c r="U19" s="1"/>
      <c r="AB19" s="24"/>
    </row>
    <row r="20" spans="1:31" ht="15.75" thickBot="1" x14ac:dyDescent="0.3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ht="15.75" thickBot="1" x14ac:dyDescent="0.3">
      <c r="S21" s="7">
        <v>9</v>
      </c>
      <c r="T21">
        <v>195</v>
      </c>
      <c r="U21" s="1">
        <f>W21-V21</f>
        <v>2.2569444444444642E-3</v>
      </c>
      <c r="V21" s="16">
        <v>0.57785879629629633</v>
      </c>
      <c r="W21" s="16">
        <v>0.58011574074074079</v>
      </c>
      <c r="X21">
        <v>193</v>
      </c>
      <c r="Y21" s="1">
        <f>AA21-Z21</f>
        <v>2.2337962962963864E-3</v>
      </c>
      <c r="Z21" s="16">
        <v>0.91082175925925923</v>
      </c>
      <c r="AA21" s="16">
        <v>0.91305555555555562</v>
      </c>
      <c r="AB21" s="16">
        <v>200</v>
      </c>
      <c r="AC21" s="1">
        <f>AE21-AD21</f>
        <v>2.3148148148148806E-3</v>
      </c>
      <c r="AD21" s="16">
        <v>0.77483796296296292</v>
      </c>
      <c r="AE21" s="16">
        <v>0.7771527777777778</v>
      </c>
    </row>
    <row r="22" spans="1:31" ht="15.75" thickBot="1" x14ac:dyDescent="0.3">
      <c r="S22" s="7">
        <v>8</v>
      </c>
      <c r="T22">
        <f>60*4+2</f>
        <v>242</v>
      </c>
      <c r="U22" s="1">
        <f>W22-V22</f>
        <v>2.8009259259258457E-3</v>
      </c>
      <c r="V22" s="18">
        <v>0.58048611111111115</v>
      </c>
      <c r="W22" s="18">
        <v>0.58328703703703699</v>
      </c>
      <c r="X22" s="60">
        <v>250</v>
      </c>
      <c r="Y22" s="1">
        <f t="shared" ref="Y22:Y27" si="3">AA22-Z22</f>
        <v>2.8935185185183787E-3</v>
      </c>
      <c r="Z22" s="16">
        <v>0.91319444444444453</v>
      </c>
      <c r="AA22" s="16">
        <v>0.91608796296296291</v>
      </c>
      <c r="AB22" s="24">
        <v>265</v>
      </c>
      <c r="AC22" s="1">
        <f t="shared" ref="AC22:AC27" si="4">AE22-AD22</f>
        <v>3.067129629629628E-3</v>
      </c>
      <c r="AD22" s="16">
        <v>0.77728009259259256</v>
      </c>
      <c r="AE22" s="16">
        <v>0.78034722222222219</v>
      </c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 s="7">
        <v>7</v>
      </c>
      <c r="T23">
        <f>14*60+56</f>
        <v>896</v>
      </c>
      <c r="U23" s="1">
        <f>W23-V23</f>
        <v>1.0370370370370363E-2</v>
      </c>
      <c r="V23" s="16">
        <v>0.58339120370370368</v>
      </c>
      <c r="W23" s="16">
        <v>0.59376157407407404</v>
      </c>
      <c r="X23">
        <f>14*60+38</f>
        <v>878</v>
      </c>
      <c r="Y23" s="1">
        <f t="shared" si="3"/>
        <v>1.0162037037037108E-2</v>
      </c>
      <c r="Z23" s="16">
        <v>0.91622685185185182</v>
      </c>
      <c r="AA23" s="16">
        <v>0.92638888888888893</v>
      </c>
      <c r="AB23" s="24"/>
      <c r="AC23" s="1">
        <f t="shared" si="4"/>
        <v>1.0648148148148184E-2</v>
      </c>
      <c r="AD23" s="16">
        <v>0.78050925925925929</v>
      </c>
      <c r="AE23" s="16">
        <v>0.79115740740740748</v>
      </c>
    </row>
    <row r="24" spans="1:31" ht="15.75" thickBot="1" x14ac:dyDescent="0.3">
      <c r="A24" s="7">
        <v>9</v>
      </c>
      <c r="B24" s="64" t="e">
        <f>AVERAGE(T13,X13,AB13)</f>
        <v>#DIV/0!</v>
      </c>
      <c r="C24" s="47" t="e">
        <f>_xlfn.STDEV.P(T13,X13,AB13)</f>
        <v>#DIV/0!</v>
      </c>
      <c r="D24" s="65" t="e">
        <f>_xlfn.CONFIDENCE.NORM(0.05,C24,3)</f>
        <v>#DIV/0!</v>
      </c>
      <c r="E24" s="69">
        <f>AVERAGE(T21,X21,AB21)</f>
        <v>196</v>
      </c>
      <c r="F24" s="47">
        <f>_xlfn.STDEV.P(T21,X21,AB21)</f>
        <v>2.9439202887759488</v>
      </c>
      <c r="G24" s="65">
        <f>_xlfn.CONFIDENCE.NORM(0.05,F24,3)</f>
        <v>3.3312982010362671</v>
      </c>
      <c r="H24" s="69" t="e">
        <f>AVERAGE(T37,X37,AB37)</f>
        <v>#DIV/0!</v>
      </c>
      <c r="I24" s="47" t="e">
        <f>_xlfn.STDEV.P(T37,X37,AB37)</f>
        <v>#DIV/0!</v>
      </c>
      <c r="J24" s="65" t="e">
        <f>_xlfn.CONFIDENCE.NORM(0.05,I24,3)</f>
        <v>#DIV/0!</v>
      </c>
      <c r="K24" s="64"/>
      <c r="L24" s="47"/>
      <c r="M24" s="65"/>
      <c r="N24" s="69">
        <f>AVERAGE(T30,X30,AB30)</f>
        <v>202.66666666666666</v>
      </c>
      <c r="O24" s="47">
        <f>_xlfn.STDEV.P(T30,X30,AB30)</f>
        <v>4.6427960923947058</v>
      </c>
      <c r="P24" s="65">
        <f>_xlfn.CONFIDENCE.NORM(0.05,O24,3)</f>
        <v>5.2537218243784434</v>
      </c>
      <c r="S24" s="7">
        <v>6</v>
      </c>
      <c r="T24">
        <f>2*60*60+15*60+11</f>
        <v>8111</v>
      </c>
      <c r="U24" s="1">
        <f>W24-V24</f>
        <v>9.8576388888888977E-2</v>
      </c>
      <c r="V24" s="16">
        <v>0.59387731481481476</v>
      </c>
      <c r="W24" s="16">
        <v>0.69245370370370374</v>
      </c>
      <c r="X24" s="24">
        <f>60*60*2+22*60+8</f>
        <v>8528</v>
      </c>
      <c r="Y24" s="1">
        <f t="shared" si="3"/>
        <v>9.8703703703703738E-2</v>
      </c>
      <c r="Z24" s="16">
        <v>0.9264930555555555</v>
      </c>
      <c r="AA24" s="16">
        <v>1.0251967592592592</v>
      </c>
      <c r="AB24" s="24">
        <f>60*60*2+15*60+23</f>
        <v>8123</v>
      </c>
      <c r="AC24" s="1">
        <f>AE24-AD24</f>
        <v>9.4016203703703782E-2</v>
      </c>
      <c r="AD24" s="16">
        <v>0.79128472222222224</v>
      </c>
      <c r="AE24" s="16">
        <v>0.88530092592592602</v>
      </c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>
        <f t="shared" ref="E25:E27" si="8">AVERAGE(T22,X22,AB22)</f>
        <v>252.33333333333334</v>
      </c>
      <c r="F25" s="47">
        <f t="shared" ref="F25:F27" si="9">_xlfn.STDEV.P(T22,X22,AB22)</f>
        <v>9.5335664307167267</v>
      </c>
      <c r="G25" s="65">
        <f t="shared" ref="G25:G27" si="10">_xlfn.CONFIDENCE.NORM(0.05,F25,3)</f>
        <v>10.788047767866534</v>
      </c>
      <c r="H25" s="69" t="e">
        <f>AVERAGE(T38,X38,AB38)</f>
        <v>#DIV/0!</v>
      </c>
      <c r="I25" s="47" t="e">
        <f>_xlfn.STDEV.P(T38,X38,AB38)</f>
        <v>#DIV/0!</v>
      </c>
      <c r="J25" s="65" t="e">
        <f>_xlfn.CONFIDENCE.NORM(0.05,I25,3)</f>
        <v>#DIV/0!</v>
      </c>
      <c r="K25" s="64"/>
      <c r="L25" s="47"/>
      <c r="M25" s="65"/>
      <c r="N25" s="69">
        <f t="shared" ref="N25:N28" si="11">AVERAGE(T31,X31,AB31)</f>
        <v>236.66666666666666</v>
      </c>
      <c r="O25" s="47">
        <f t="shared" ref="O25:O28" si="12">_xlfn.STDEV.P(T31,X31,AB31)</f>
        <v>10.208928554075703</v>
      </c>
      <c r="P25" s="65">
        <f t="shared" ref="P25:P30" si="13">_xlfn.CONFIDENCE.NORM(0.05,O25,3)</f>
        <v>11.552277911994944</v>
      </c>
      <c r="S25" s="7">
        <v>5</v>
      </c>
      <c r="U25" s="1">
        <f t="shared" ref="U25:U27" si="14">W25-V25</f>
        <v>0</v>
      </c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887</v>
      </c>
      <c r="F26" s="47">
        <f t="shared" si="9"/>
        <v>9</v>
      </c>
      <c r="G26" s="65">
        <f t="shared" si="10"/>
        <v>10.184271606685543</v>
      </c>
      <c r="H26" s="74"/>
      <c r="I26" s="75"/>
      <c r="J26" s="76"/>
      <c r="K26" s="64"/>
      <c r="L26" s="47"/>
      <c r="M26" s="65"/>
      <c r="N26" s="69">
        <f t="shared" si="11"/>
        <v>589</v>
      </c>
      <c r="O26" s="47">
        <f t="shared" si="12"/>
        <v>50.285849566917598</v>
      </c>
      <c r="P26" s="65">
        <f t="shared" si="13"/>
        <v>56.902749995824379</v>
      </c>
      <c r="S26" s="10">
        <v>4</v>
      </c>
      <c r="U26" s="1">
        <f>W26-V26</f>
        <v>0</v>
      </c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>
        <f t="shared" si="8"/>
        <v>8254</v>
      </c>
      <c r="F27" s="47">
        <f t="shared" si="9"/>
        <v>193.80918450888751</v>
      </c>
      <c r="G27" s="65">
        <f t="shared" si="10"/>
        <v>219.31170832319367</v>
      </c>
      <c r="H27" s="74"/>
      <c r="I27" s="75"/>
      <c r="J27" s="76"/>
      <c r="K27" s="64"/>
      <c r="L27" s="47"/>
      <c r="M27" s="65"/>
      <c r="N27" s="69">
        <f t="shared" si="11"/>
        <v>978.33333333333337</v>
      </c>
      <c r="O27" s="47">
        <f t="shared" si="12"/>
        <v>7.5865377844940287</v>
      </c>
      <c r="P27" s="65">
        <f t="shared" si="13"/>
        <v>8.5848179279632877</v>
      </c>
      <c r="S27" s="21">
        <v>3</v>
      </c>
      <c r="U27" s="1">
        <f t="shared" si="14"/>
        <v>0</v>
      </c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9">
        <f t="shared" si="11"/>
        <v>4516.666666666667</v>
      </c>
      <c r="O28" s="47">
        <f t="shared" si="12"/>
        <v>25.746628689770024</v>
      </c>
      <c r="P28" s="65">
        <f t="shared" si="13"/>
        <v>29.134517725900032</v>
      </c>
      <c r="U28" s="1"/>
      <c r="AB28" s="24"/>
    </row>
    <row r="29" spans="1:31" ht="15.75" thickBot="1" x14ac:dyDescent="0.3">
      <c r="A29" s="23">
        <v>4</v>
      </c>
      <c r="N29" s="69">
        <f t="shared" ref="N29" si="15">AVERAGE(T35,X35,AB35)</f>
        <v>8279.3333333333339</v>
      </c>
      <c r="O29" s="47">
        <f t="shared" ref="O29" si="16">_xlfn.STDEV.P(T35,X35,AB35)</f>
        <v>235.22235343511798</v>
      </c>
      <c r="P29" s="65">
        <f t="shared" si="13"/>
        <v>266.17425948300263</v>
      </c>
      <c r="T29" t="s">
        <v>192</v>
      </c>
      <c r="U29" s="1"/>
      <c r="V29" t="s">
        <v>31</v>
      </c>
      <c r="W29" t="s">
        <v>32</v>
      </c>
      <c r="Z29" t="s">
        <v>31</v>
      </c>
      <c r="AA29" t="s">
        <v>32</v>
      </c>
      <c r="AB29" s="24"/>
      <c r="AD29" t="s">
        <v>31</v>
      </c>
      <c r="AE29" t="s">
        <v>32</v>
      </c>
    </row>
    <row r="30" spans="1:31" ht="15.75" thickBot="1" x14ac:dyDescent="0.3">
      <c r="A30" s="21">
        <v>3</v>
      </c>
      <c r="N30" s="69">
        <f t="shared" ref="N30" si="17">AVERAGE(T36,X36,AB36)</f>
        <v>8451</v>
      </c>
      <c r="O30" s="47">
        <f t="shared" ref="O30" si="18">_xlfn.STDEV.P(T36,X36,AB36)</f>
        <v>0</v>
      </c>
      <c r="P30" s="65" t="e">
        <f t="shared" si="13"/>
        <v>#NUM!</v>
      </c>
      <c r="S30" s="7">
        <v>9</v>
      </c>
      <c r="T30">
        <v>201</v>
      </c>
      <c r="U30" s="1">
        <f>W30-V30</f>
        <v>2.3263888888890305E-3</v>
      </c>
      <c r="V30" s="16">
        <v>0.74526620370370367</v>
      </c>
      <c r="W30" s="16">
        <v>0.7475925925925927</v>
      </c>
      <c r="X30">
        <v>209</v>
      </c>
      <c r="Y30" s="1">
        <f>AA30-Z30</f>
        <v>2.4189814814815636E-3</v>
      </c>
      <c r="Z30" s="16">
        <v>0.74768518518518512</v>
      </c>
      <c r="AA30" s="16">
        <v>0.75010416666666668</v>
      </c>
      <c r="AB30" s="24">
        <v>198</v>
      </c>
      <c r="AC30" s="1">
        <f>AE30-AD30</f>
        <v>2.2916666666666918E-3</v>
      </c>
      <c r="AD30" s="16">
        <v>0.75018518518518518</v>
      </c>
      <c r="AE30" s="16">
        <v>0.75247685185185187</v>
      </c>
    </row>
    <row r="31" spans="1:31" ht="15.75" thickBot="1" x14ac:dyDescent="0.3">
      <c r="S31" s="7">
        <v>8</v>
      </c>
      <c r="T31">
        <v>231</v>
      </c>
      <c r="U31" s="1">
        <f>W31-V31</f>
        <v>2.6736111111109739E-3</v>
      </c>
      <c r="V31" s="16">
        <v>0.75256944444444451</v>
      </c>
      <c r="W31" s="16">
        <v>0.75524305555555549</v>
      </c>
      <c r="X31" s="60">
        <v>251</v>
      </c>
      <c r="Y31" s="1">
        <f t="shared" ref="Y31:Y34" si="19">AA31-Z31</f>
        <v>2.9050925925927507E-3</v>
      </c>
      <c r="Z31" s="16">
        <v>0.75532407407407398</v>
      </c>
      <c r="AA31" s="16">
        <v>0.75822916666666673</v>
      </c>
      <c r="AB31" s="24">
        <v>228</v>
      </c>
      <c r="AC31" s="1">
        <f t="shared" ref="AC31:AC32" si="20">AE31-AD31</f>
        <v>2.6388888888890794E-3</v>
      </c>
      <c r="AD31" s="16">
        <v>0.75832175925925915</v>
      </c>
      <c r="AE31" s="16">
        <v>0.76096064814814823</v>
      </c>
    </row>
    <row r="32" spans="1:31" ht="15.75" thickBot="1" x14ac:dyDescent="0.3">
      <c r="S32" s="7">
        <v>7</v>
      </c>
      <c r="T32">
        <v>628</v>
      </c>
      <c r="U32" s="1">
        <f>W32-V32</f>
        <v>3.7962962962962976E-3</v>
      </c>
      <c r="V32" s="16">
        <v>0.76104166666666673</v>
      </c>
      <c r="W32" s="16">
        <v>0.76483796296296302</v>
      </c>
      <c r="X32">
        <v>518</v>
      </c>
      <c r="Y32" s="1">
        <f t="shared" si="19"/>
        <v>3.6805555555555758E-3</v>
      </c>
      <c r="Z32" s="16">
        <v>0.76491898148148152</v>
      </c>
      <c r="AA32" s="16">
        <v>0.76859953703703709</v>
      </c>
      <c r="AB32" s="24">
        <v>621</v>
      </c>
      <c r="AC32" s="1">
        <f t="shared" si="20"/>
        <v>3.7152777777778034E-3</v>
      </c>
      <c r="AD32" s="16">
        <v>0.76866898148148144</v>
      </c>
      <c r="AE32" s="16">
        <v>0.77238425925925924</v>
      </c>
    </row>
    <row r="33" spans="16:31" ht="15.75" thickBot="1" x14ac:dyDescent="0.3">
      <c r="P33">
        <f>16*60+29</f>
        <v>989</v>
      </c>
      <c r="S33" s="7">
        <v>6</v>
      </c>
      <c r="T33">
        <f>16*60+29</f>
        <v>989</v>
      </c>
      <c r="U33" s="1">
        <f>W33-V33</f>
        <v>0</v>
      </c>
      <c r="V33" s="16"/>
      <c r="W33" s="16"/>
      <c r="X33">
        <f>16*60+12</f>
        <v>972</v>
      </c>
      <c r="Y33" s="1">
        <f t="shared" si="19"/>
        <v>0</v>
      </c>
      <c r="Z33" s="16"/>
      <c r="AA33" s="16"/>
      <c r="AB33">
        <f>16*60+14</f>
        <v>974</v>
      </c>
      <c r="AC33" s="1">
        <f>AE33-AD33</f>
        <v>0</v>
      </c>
      <c r="AD33" s="16"/>
      <c r="AE33" s="16"/>
    </row>
    <row r="34" spans="16:31" ht="15.75" thickBot="1" x14ac:dyDescent="0.3">
      <c r="P34">
        <f>16*60+12</f>
        <v>972</v>
      </c>
      <c r="S34" s="7">
        <v>5</v>
      </c>
      <c r="T34">
        <f>74*60+46</f>
        <v>4486</v>
      </c>
      <c r="U34" s="1">
        <f t="shared" ref="U34" si="21">W34-V34</f>
        <v>0</v>
      </c>
      <c r="V34" s="16"/>
      <c r="W34" s="18"/>
      <c r="X34">
        <f>75*60+15</f>
        <v>4515</v>
      </c>
      <c r="Y34" s="1">
        <f t="shared" si="19"/>
        <v>0</v>
      </c>
      <c r="AB34">
        <f>75*60+49</f>
        <v>4549</v>
      </c>
      <c r="AC34" s="1">
        <f t="shared" ref="AC34" si="22">AE34-AD34</f>
        <v>0</v>
      </c>
    </row>
    <row r="35" spans="16:31" ht="15.75" thickBot="1" x14ac:dyDescent="0.3">
      <c r="P35">
        <f>16*60+14</f>
        <v>974</v>
      </c>
      <c r="S35" s="10">
        <v>4</v>
      </c>
      <c r="T35">
        <f>133*60+55</f>
        <v>8035</v>
      </c>
      <c r="U35" s="1">
        <f>W35-V35</f>
        <v>9.2997685185185253E-2</v>
      </c>
      <c r="V35" s="16">
        <v>0.77246527777777774</v>
      </c>
      <c r="W35" s="16">
        <v>0.86546296296296299</v>
      </c>
      <c r="X35" s="60">
        <f>136*60+46</f>
        <v>8206</v>
      </c>
      <c r="Y35" s="1">
        <f>AA35-Z35</f>
        <v>9.4976851851852007E-2</v>
      </c>
      <c r="Z35" s="16">
        <v>0.86553240740740733</v>
      </c>
      <c r="AA35" s="16">
        <v>0.96050925925925934</v>
      </c>
      <c r="AB35" s="24">
        <f>143*60+17</f>
        <v>8597</v>
      </c>
      <c r="AC35" s="1">
        <f>AE35-AD35</f>
        <v>9.1863425925926001E-2</v>
      </c>
      <c r="AD35" s="16">
        <v>0.96059027777777783</v>
      </c>
      <c r="AE35" s="16">
        <v>1.0524537037037038</v>
      </c>
    </row>
    <row r="36" spans="16:31" ht="15.75" thickBot="1" x14ac:dyDescent="0.3">
      <c r="S36" s="21">
        <v>3</v>
      </c>
      <c r="T36">
        <f>140*60+51</f>
        <v>8451</v>
      </c>
      <c r="U36" s="1">
        <f t="shared" ref="U36" si="23">W36-V36</f>
        <v>9.7812500000000024E-2</v>
      </c>
      <c r="V36" s="16">
        <v>0.39189814814814811</v>
      </c>
      <c r="W36" s="16">
        <v>0.48971064814814813</v>
      </c>
      <c r="X36" s="60"/>
      <c r="Y36" s="1">
        <f t="shared" ref="Y36" si="24">AA36-Z36</f>
        <v>0</v>
      </c>
      <c r="AB36" s="24"/>
      <c r="AC36" s="1">
        <f t="shared" ref="AC36" si="25">AE36-AD36</f>
        <v>0</v>
      </c>
    </row>
    <row r="37" spans="16:31" ht="15.75" thickBot="1" x14ac:dyDescent="0.3">
      <c r="S37" s="7"/>
      <c r="U37" s="1">
        <f>W37-V37</f>
        <v>0</v>
      </c>
      <c r="V37" s="18"/>
      <c r="W37" s="18"/>
      <c r="X37" s="60"/>
      <c r="Y37" s="1">
        <f>AA37-Z37</f>
        <v>0</v>
      </c>
      <c r="Z37" s="16"/>
      <c r="AA37" s="16"/>
      <c r="AB37" s="60"/>
      <c r="AC37" s="1">
        <f>AE37-AD37</f>
        <v>0</v>
      </c>
      <c r="AD37" s="16"/>
      <c r="AE37" s="16"/>
    </row>
    <row r="38" spans="16:31" ht="15.75" thickBot="1" x14ac:dyDescent="0.3">
      <c r="S38" s="7"/>
      <c r="U38" s="1">
        <f t="shared" ref="U38" si="26">W38-V38</f>
        <v>0</v>
      </c>
      <c r="V38" s="18"/>
      <c r="W38" s="18"/>
      <c r="Y38" s="1">
        <f t="shared" ref="Y38" si="27">AA38-Z38</f>
        <v>0</v>
      </c>
      <c r="Z38" s="16"/>
      <c r="AA38" s="16"/>
      <c r="AB38" s="24"/>
      <c r="AC38" s="1">
        <f t="shared" ref="AC38" si="28">AE38-AD38</f>
        <v>0</v>
      </c>
      <c r="AD38" s="16"/>
      <c r="AE38" s="16"/>
    </row>
    <row r="39" spans="16:31" ht="15.75" thickBot="1" x14ac:dyDescent="0.3">
      <c r="S39" s="7"/>
      <c r="U39" s="1"/>
      <c r="V39" t="s">
        <v>146</v>
      </c>
      <c r="AB39" s="24"/>
    </row>
    <row r="40" spans="16:31" ht="15.75" thickBot="1" x14ac:dyDescent="0.3">
      <c r="S40" s="7"/>
      <c r="U40" s="1"/>
      <c r="AB40" s="24"/>
    </row>
    <row r="41" spans="16:31" ht="15.75" thickBot="1" x14ac:dyDescent="0.3">
      <c r="S41" s="7"/>
      <c r="U41" s="1"/>
      <c r="AB41" s="24"/>
    </row>
    <row r="42" spans="16:31" ht="15.75" thickBot="1" x14ac:dyDescent="0.3">
      <c r="S42" s="10"/>
      <c r="U42" s="1"/>
      <c r="AB42" s="24"/>
    </row>
    <row r="43" spans="16:31" x14ac:dyDescent="0.25">
      <c r="S43" s="21"/>
      <c r="U43" s="1"/>
      <c r="AB43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28" workbookViewId="0">
      <selection activeCell="S37" sqref="S37:AE39"/>
    </sheetView>
  </sheetViews>
  <sheetFormatPr defaultRowHeight="15" x14ac:dyDescent="0.25"/>
  <cols>
    <col min="4" max="4" width="11.28515625" customWidth="1"/>
    <col min="20" max="20" width="14" customWidth="1"/>
    <col min="21" max="21" width="9.7109375" style="1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T13">
        <v>224</v>
      </c>
      <c r="U13" s="1">
        <f>W13-V13</f>
        <v>0</v>
      </c>
      <c r="X13">
        <f>3*60+36</f>
        <v>216</v>
      </c>
      <c r="Y13" s="1">
        <f>AA13-Z13</f>
        <v>2.4999999999999467E-3</v>
      </c>
      <c r="Z13" s="16">
        <v>0.4147569444444445</v>
      </c>
      <c r="AA13" s="16">
        <v>0.41725694444444444</v>
      </c>
      <c r="AB13" s="24">
        <f>3*60+1</f>
        <v>181</v>
      </c>
      <c r="AC13" s="1">
        <f>AE13-AD13</f>
        <v>2.0949074074073648E-3</v>
      </c>
      <c r="AD13" s="16">
        <v>0.41739583333333335</v>
      </c>
      <c r="AE13" s="16">
        <v>0.41949074074074072</v>
      </c>
    </row>
    <row r="14" spans="1:31" x14ac:dyDescent="0.25">
      <c r="A14">
        <v>50</v>
      </c>
      <c r="D14">
        <v>224</v>
      </c>
      <c r="S14">
        <v>45</v>
      </c>
      <c r="T14">
        <f>6*60+6</f>
        <v>366</v>
      </c>
      <c r="U14" s="1">
        <f t="shared" ref="U14:U17" si="0">W14-V14</f>
        <v>4.2361111111111072E-3</v>
      </c>
      <c r="V14" s="18">
        <v>0.66475694444444444</v>
      </c>
      <c r="W14" s="18">
        <v>0.66899305555555555</v>
      </c>
      <c r="X14">
        <f>5*60+54</f>
        <v>354</v>
      </c>
      <c r="Y14" s="1">
        <f t="shared" ref="Y14:Y17" si="1">AA14-Z14</f>
        <v>4.0972222222221966E-3</v>
      </c>
      <c r="Z14" s="16">
        <v>0.42002314814814817</v>
      </c>
      <c r="AA14" s="16">
        <v>0.42412037037037037</v>
      </c>
      <c r="AB14" s="24">
        <f>5*60+5</f>
        <v>305</v>
      </c>
      <c r="AC14" s="1">
        <f t="shared" ref="AC14:AC17" si="2">AE14-AD14</f>
        <v>4.0624999999999689E-3</v>
      </c>
      <c r="AD14" s="16">
        <v>0.42425925925925928</v>
      </c>
      <c r="AE14" s="16">
        <v>0.42832175925925925</v>
      </c>
    </row>
    <row r="15" spans="1:31" x14ac:dyDescent="0.25">
      <c r="A15">
        <v>45</v>
      </c>
      <c r="S15">
        <v>40</v>
      </c>
      <c r="T15">
        <f>32*60+23</f>
        <v>1943</v>
      </c>
      <c r="U15" s="1">
        <f t="shared" si="0"/>
        <v>0</v>
      </c>
      <c r="X15" s="24">
        <f>31*60+38</f>
        <v>1898</v>
      </c>
      <c r="Y15" s="1">
        <f t="shared" si="1"/>
        <v>2.1967592592592566E-2</v>
      </c>
      <c r="Z15" s="16">
        <v>0.42843750000000003</v>
      </c>
      <c r="AA15" s="16">
        <v>0.45040509259259259</v>
      </c>
      <c r="AB15" s="24">
        <f>29*60+44</f>
        <v>1784</v>
      </c>
      <c r="AC15" s="1">
        <f t="shared" si="2"/>
        <v>2.0648148148148193E-2</v>
      </c>
      <c r="AD15" s="16">
        <v>0.45053240740740735</v>
      </c>
      <c r="AE15" s="16">
        <v>0.47118055555555555</v>
      </c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U16" s="1">
        <f t="shared" si="0"/>
        <v>0</v>
      </c>
      <c r="Y16" s="1">
        <f t="shared" si="1"/>
        <v>0</v>
      </c>
      <c r="AC16" s="1">
        <f t="shared" si="2"/>
        <v>0</v>
      </c>
    </row>
    <row r="17" spans="1:34" x14ac:dyDescent="0.25">
      <c r="A17">
        <v>35</v>
      </c>
      <c r="S17">
        <v>30</v>
      </c>
      <c r="U17" s="1">
        <f t="shared" si="0"/>
        <v>0</v>
      </c>
      <c r="Y17" s="1">
        <f t="shared" si="1"/>
        <v>0</v>
      </c>
      <c r="AC17" s="1">
        <f t="shared" si="2"/>
        <v>0</v>
      </c>
    </row>
    <row r="18" spans="1:34" x14ac:dyDescent="0.25">
      <c r="A18">
        <v>30</v>
      </c>
      <c r="D18" t="s">
        <v>100</v>
      </c>
      <c r="E18" t="s">
        <v>148</v>
      </c>
    </row>
    <row r="20" spans="1:34" x14ac:dyDescent="0.25">
      <c r="T20" t="s">
        <v>38</v>
      </c>
      <c r="V20" t="s">
        <v>31</v>
      </c>
      <c r="W20" t="s">
        <v>32</v>
      </c>
      <c r="Z20" t="s">
        <v>31</v>
      </c>
      <c r="AA20" t="s">
        <v>32</v>
      </c>
      <c r="AD20" t="s">
        <v>31</v>
      </c>
      <c r="AE20" t="s">
        <v>32</v>
      </c>
      <c r="AH20" t="s">
        <v>38</v>
      </c>
    </row>
    <row r="21" spans="1:34" x14ac:dyDescent="0.25">
      <c r="S21">
        <v>50</v>
      </c>
      <c r="T21">
        <v>149</v>
      </c>
      <c r="U21" s="1">
        <f>W21-V21</f>
        <v>1.7245370370370106E-3</v>
      </c>
      <c r="V21" s="16">
        <v>0.52482638888888888</v>
      </c>
      <c r="W21" s="16">
        <v>0.52655092592592589</v>
      </c>
      <c r="X21">
        <f>2*60+18</f>
        <v>138</v>
      </c>
      <c r="Y21" s="1">
        <f>AA21-Z21</f>
        <v>1.5972222222222499E-3</v>
      </c>
      <c r="Z21" s="16">
        <v>0.47130787037037036</v>
      </c>
      <c r="AA21" s="16">
        <v>0.47290509259259261</v>
      </c>
      <c r="AB21" s="24">
        <v>144</v>
      </c>
      <c r="AC21" s="1">
        <f>AE21-AD21</f>
        <v>1.6666666666666496E-3</v>
      </c>
      <c r="AD21" s="16">
        <v>0.47305555555555556</v>
      </c>
      <c r="AE21" s="16">
        <v>0.47472222222222221</v>
      </c>
      <c r="AG21">
        <v>50</v>
      </c>
    </row>
    <row r="22" spans="1:34" ht="15.75" thickBot="1" x14ac:dyDescent="0.3">
      <c r="S22">
        <v>45</v>
      </c>
      <c r="T22">
        <v>145</v>
      </c>
      <c r="U22" s="1">
        <f t="shared" ref="U22:U27" si="3">W22-V22</f>
        <v>1.678240740740744E-3</v>
      </c>
      <c r="V22" s="18">
        <v>0.66912037037037031</v>
      </c>
      <c r="W22" s="18">
        <v>0.67079861111111105</v>
      </c>
      <c r="X22" s="60">
        <v>180</v>
      </c>
      <c r="Y22" s="1">
        <f t="shared" ref="Y22:Y27" si="4">AA22-Z22</f>
        <v>2.0833333333333814E-3</v>
      </c>
      <c r="Z22" s="16">
        <v>0.47483796296296293</v>
      </c>
      <c r="AA22" s="16">
        <v>0.47692129629629632</v>
      </c>
      <c r="AB22" s="24">
        <v>148</v>
      </c>
      <c r="AC22" s="1">
        <f t="shared" ref="AC22:AC27" si="5">AE22-AD22</f>
        <v>1.7129629629629162E-3</v>
      </c>
      <c r="AD22" s="16">
        <v>0.47682870370370373</v>
      </c>
      <c r="AE22" s="16">
        <v>0.47854166666666664</v>
      </c>
      <c r="AG22">
        <v>15</v>
      </c>
      <c r="AH22">
        <v>204</v>
      </c>
    </row>
    <row r="23" spans="1:34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>
        <v>40</v>
      </c>
      <c r="T23">
        <v>153</v>
      </c>
      <c r="U23" s="1">
        <f t="shared" si="3"/>
        <v>1.7708333333332771E-3</v>
      </c>
      <c r="V23" s="16">
        <v>0.52671296296296299</v>
      </c>
      <c r="W23" s="16">
        <v>0.52848379629629627</v>
      </c>
      <c r="X23">
        <v>160</v>
      </c>
      <c r="Y23" s="1">
        <f t="shared" si="4"/>
        <v>1.8518518518518268E-3</v>
      </c>
      <c r="Z23" s="16">
        <v>0.47868055555555555</v>
      </c>
      <c r="AA23" s="16">
        <v>0.48053240740740738</v>
      </c>
      <c r="AB23" s="24">
        <v>166</v>
      </c>
      <c r="AC23" s="1">
        <f t="shared" si="5"/>
        <v>1.9212962962962821E-3</v>
      </c>
      <c r="AD23" s="16">
        <v>0.4806597222222222</v>
      </c>
      <c r="AE23" s="16">
        <v>0.48258101851851848</v>
      </c>
      <c r="AG23">
        <v>10</v>
      </c>
    </row>
    <row r="24" spans="1:34" x14ac:dyDescent="0.25">
      <c r="A24">
        <v>50</v>
      </c>
      <c r="B24" s="64">
        <f>AVERAGE(T13,X13,AB13)</f>
        <v>207</v>
      </c>
      <c r="C24" s="47">
        <f>_xlfn.STDEV.P(T13,X13,AB13)</f>
        <v>18.672618098881223</v>
      </c>
      <c r="D24" s="65">
        <f>_xlfn.CONFIDENCE.NORM(0.05,C24,3)</f>
        <v>21.129668258546513</v>
      </c>
      <c r="E24" s="69">
        <f>AVERAGE(T21,X21,AB21)</f>
        <v>143.66666666666666</v>
      </c>
      <c r="F24" s="47">
        <f>_xlfn.STDEV.P(T21,X21,AB21)</f>
        <v>4.4969125210773466</v>
      </c>
      <c r="G24" s="65">
        <f>_xlfn.CONFIDENCE.NORM(0.05,F24,3)</f>
        <v>5.0886420562396371</v>
      </c>
      <c r="H24" s="69">
        <f>AVERAGE(T37,X37,AB37)</f>
        <v>1193.3333333333333</v>
      </c>
      <c r="I24" s="47">
        <f>_xlfn.STDEV.P(T37,X37,AB37)</f>
        <v>6.2360956446232354</v>
      </c>
      <c r="J24" s="65">
        <f>_xlfn.CONFIDENCE.NORM(0.05,I24,3)</f>
        <v>7.0566768677902001</v>
      </c>
      <c r="K24" s="64"/>
      <c r="L24" s="47"/>
      <c r="M24" s="65"/>
      <c r="N24" s="64"/>
      <c r="O24" s="47"/>
      <c r="P24" s="65"/>
      <c r="S24">
        <v>35</v>
      </c>
      <c r="T24">
        <f>6*60+12</f>
        <v>372</v>
      </c>
      <c r="U24" s="1">
        <f t="shared" si="3"/>
        <v>4.3055555555554514E-3</v>
      </c>
      <c r="V24" s="18">
        <v>0.70456018518518526</v>
      </c>
      <c r="W24" s="18">
        <v>0.70886574074074071</v>
      </c>
      <c r="X24" s="24">
        <f>6*60+27</f>
        <v>387</v>
      </c>
      <c r="Y24" s="1">
        <f t="shared" si="4"/>
        <v>4.4791666666667007E-3</v>
      </c>
      <c r="Z24" s="16">
        <v>0.48270833333333335</v>
      </c>
      <c r="AA24" s="16">
        <v>0.48718750000000005</v>
      </c>
      <c r="AB24" s="24">
        <f>6*60+18</f>
        <v>378</v>
      </c>
      <c r="AC24" s="1">
        <f t="shared" si="5"/>
        <v>4.3750000000000178E-3</v>
      </c>
      <c r="AD24" s="16">
        <v>0.48731481481481481</v>
      </c>
      <c r="AE24" s="16">
        <v>0.49168981481481483</v>
      </c>
    </row>
    <row r="25" spans="1:34" x14ac:dyDescent="0.25">
      <c r="A25">
        <v>45</v>
      </c>
      <c r="B25" s="64">
        <f t="shared" ref="B25:B26" si="6">AVERAGE(T14,X14,AB14)</f>
        <v>341.66666666666669</v>
      </c>
      <c r="C25" s="47">
        <f t="shared" ref="C25:C26" si="7">_xlfn.STDEV.P(T14,X14,AB14)</f>
        <v>26.386023236217735</v>
      </c>
      <c r="D25" s="65">
        <f t="shared" ref="D25:D26" si="8">_xlfn.CONFIDENCE.NORM(0.05,C25,3)</f>
        <v>29.858047473106364</v>
      </c>
      <c r="E25" s="69">
        <f t="shared" ref="E25:E27" si="9">AVERAGE(T22,X22,AB22)</f>
        <v>157.66666666666666</v>
      </c>
      <c r="F25" s="47">
        <f t="shared" ref="F25:F27" si="10">_xlfn.STDEV.P(T22,X22,AB22)</f>
        <v>15.839472494022296</v>
      </c>
      <c r="G25" s="65">
        <f t="shared" ref="G25:G27" si="11">_xlfn.CONFIDENCE.NORM(0.05,F25,3)</f>
        <v>17.923721109527548</v>
      </c>
      <c r="H25" s="69">
        <f>AVERAGE(T38,X38,AB38)</f>
        <v>18680</v>
      </c>
      <c r="I25" s="47">
        <f>_xlfn.STDEV.P(T38,X38,AB38)</f>
        <v>58.80476171195663</v>
      </c>
      <c r="J25" s="65">
        <f>_xlfn.CONFIDENCE.NORM(0.05,I25,3)</f>
        <v>66.542629448998795</v>
      </c>
      <c r="K25" s="64"/>
      <c r="L25" s="47"/>
      <c r="M25" s="65"/>
      <c r="N25" s="64"/>
      <c r="O25" s="47"/>
      <c r="P25" s="65"/>
      <c r="S25">
        <v>34</v>
      </c>
      <c r="T25">
        <v>608</v>
      </c>
      <c r="U25" s="1">
        <f t="shared" si="3"/>
        <v>7.0370370370369528E-3</v>
      </c>
      <c r="V25" s="16">
        <v>0.79781250000000004</v>
      </c>
      <c r="W25" s="18">
        <v>0.80484953703703699</v>
      </c>
      <c r="X25" s="60"/>
      <c r="Y25" s="1">
        <f t="shared" si="4"/>
        <v>0</v>
      </c>
      <c r="AC25" s="1">
        <f t="shared" si="5"/>
        <v>0</v>
      </c>
    </row>
    <row r="26" spans="1:34" x14ac:dyDescent="0.25">
      <c r="A26">
        <v>40</v>
      </c>
      <c r="B26" s="64">
        <f t="shared" si="6"/>
        <v>1875</v>
      </c>
      <c r="C26" s="47">
        <f t="shared" si="7"/>
        <v>66.917860097286436</v>
      </c>
      <c r="D26" s="65">
        <f t="shared" si="8"/>
        <v>75.723295840994425</v>
      </c>
      <c r="E26" s="69">
        <f t="shared" si="9"/>
        <v>159.66666666666666</v>
      </c>
      <c r="F26" s="47">
        <f t="shared" si="10"/>
        <v>5.312459150169742</v>
      </c>
      <c r="G26" s="65">
        <f t="shared" si="11"/>
        <v>6.0115029871945023</v>
      </c>
      <c r="H26" s="74"/>
      <c r="I26" s="75"/>
      <c r="J26" s="76"/>
      <c r="K26" s="64"/>
      <c r="L26" s="47"/>
      <c r="M26" s="65"/>
      <c r="N26" s="64"/>
      <c r="O26" s="47"/>
      <c r="P26" s="65"/>
      <c r="S26">
        <v>33</v>
      </c>
      <c r="T26">
        <f>16*60+15</f>
        <v>975</v>
      </c>
      <c r="U26" s="1">
        <f>W26-V26</f>
        <v>1.128472222222221E-2</v>
      </c>
      <c r="V26" s="18">
        <v>0.80501157407407409</v>
      </c>
      <c r="W26" s="18">
        <v>0.8162962962962963</v>
      </c>
      <c r="X26" s="60"/>
      <c r="Y26" s="1">
        <f>AA26-Z26</f>
        <v>0</v>
      </c>
      <c r="AC26" s="1">
        <f>AE26-AD26</f>
        <v>0</v>
      </c>
    </row>
    <row r="27" spans="1:34" x14ac:dyDescent="0.25">
      <c r="A27">
        <v>35</v>
      </c>
      <c r="B27" s="74"/>
      <c r="C27" s="75"/>
      <c r="D27" s="76"/>
      <c r="E27" s="69">
        <f t="shared" si="9"/>
        <v>379</v>
      </c>
      <c r="F27" s="47">
        <f t="shared" si="10"/>
        <v>6.164414002968976</v>
      </c>
      <c r="G27" s="65">
        <f t="shared" si="11"/>
        <v>6.9755629446990799</v>
      </c>
      <c r="H27" s="74"/>
      <c r="I27" s="75"/>
      <c r="J27" s="76"/>
      <c r="K27" s="64"/>
      <c r="L27" s="47"/>
      <c r="M27" s="65"/>
      <c r="N27" s="64"/>
      <c r="O27" s="47"/>
      <c r="P27" s="65"/>
      <c r="S27">
        <v>32</v>
      </c>
      <c r="T27">
        <f>27*60+34</f>
        <v>1654</v>
      </c>
      <c r="U27" s="1">
        <f t="shared" si="3"/>
        <v>1.9143518518518587E-2</v>
      </c>
      <c r="V27" s="18">
        <v>0.81645833333333329</v>
      </c>
      <c r="W27" s="18">
        <v>0.83560185185185187</v>
      </c>
      <c r="X27" s="60"/>
      <c r="Y27" s="1">
        <f t="shared" si="4"/>
        <v>0</v>
      </c>
      <c r="AC27" s="1">
        <f t="shared" si="5"/>
        <v>0</v>
      </c>
    </row>
    <row r="28" spans="1:34" ht="15.75" thickBot="1" x14ac:dyDescent="0.3">
      <c r="A28">
        <v>30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</row>
    <row r="29" spans="1:34" x14ac:dyDescent="0.25">
      <c r="S29">
        <v>30</v>
      </c>
      <c r="V29" s="60" t="s">
        <v>144</v>
      </c>
      <c r="Y29" t="s">
        <v>145</v>
      </c>
    </row>
    <row r="30" spans="1:34" x14ac:dyDescent="0.25">
      <c r="S30">
        <v>25</v>
      </c>
    </row>
    <row r="31" spans="1:34" x14ac:dyDescent="0.25">
      <c r="S31">
        <v>20</v>
      </c>
    </row>
    <row r="32" spans="1:34" x14ac:dyDescent="0.25">
      <c r="S32">
        <v>15</v>
      </c>
      <c r="V32" s="60"/>
      <c r="W32" s="60"/>
      <c r="X32" s="60"/>
    </row>
    <row r="33" spans="19:31" x14ac:dyDescent="0.25">
      <c r="S33">
        <v>10</v>
      </c>
    </row>
    <row r="36" spans="19:31" x14ac:dyDescent="0.25">
      <c r="S36" t="s">
        <v>95</v>
      </c>
      <c r="T36" t="s">
        <v>95</v>
      </c>
      <c r="V36" t="s">
        <v>31</v>
      </c>
      <c r="W36" t="s">
        <v>32</v>
      </c>
      <c r="Z36" t="s">
        <v>31</v>
      </c>
      <c r="AA36" t="s">
        <v>32</v>
      </c>
      <c r="AD36" t="s">
        <v>31</v>
      </c>
      <c r="AE36" t="s">
        <v>32</v>
      </c>
    </row>
    <row r="37" spans="19:31" x14ac:dyDescent="0.25">
      <c r="S37">
        <v>50</v>
      </c>
      <c r="T37">
        <f>20*60</f>
        <v>1200</v>
      </c>
      <c r="U37" s="1">
        <f>W37-V37</f>
        <v>1.3888888888888951E-2</v>
      </c>
      <c r="V37" s="18">
        <v>0.52231481481481479</v>
      </c>
      <c r="W37" s="18">
        <v>0.53620370370370374</v>
      </c>
      <c r="X37" s="60">
        <f>19*60+55</f>
        <v>1195</v>
      </c>
      <c r="Y37" s="1">
        <f>AA37-Z37</f>
        <v>1.3831018518518534E-2</v>
      </c>
      <c r="Z37" s="16">
        <v>0.95480324074074074</v>
      </c>
      <c r="AA37" s="16">
        <v>0.96863425925925928</v>
      </c>
      <c r="AB37" s="60">
        <f>19*60+45</f>
        <v>1185</v>
      </c>
      <c r="AC37" s="1">
        <f>AE37-AD37</f>
        <v>1.3715277777777923E-2</v>
      </c>
      <c r="AD37" s="16">
        <v>0.96877314814814808</v>
      </c>
      <c r="AE37" s="16">
        <v>0.982488425925926</v>
      </c>
    </row>
    <row r="38" spans="19:31" x14ac:dyDescent="0.25">
      <c r="S38">
        <v>45</v>
      </c>
      <c r="T38">
        <f>5*60*60+12*60+13</f>
        <v>18733</v>
      </c>
      <c r="U38" s="1">
        <f t="shared" ref="U38" si="12">W38-V38</f>
        <v>0.21681712962962962</v>
      </c>
      <c r="V38" s="18">
        <v>0.53635416666666669</v>
      </c>
      <c r="W38" s="18">
        <v>0.75317129629629631</v>
      </c>
      <c r="X38">
        <f>5*60*60+9*60+58</f>
        <v>18598</v>
      </c>
      <c r="Y38" s="1">
        <f t="shared" ref="Y38" si="13">AA38-Z38</f>
        <v>0.2152546296296296</v>
      </c>
      <c r="Z38" s="16">
        <v>0.98267361111111118</v>
      </c>
      <c r="AA38" s="16">
        <v>1.1979282407407408</v>
      </c>
      <c r="AB38" s="24">
        <f>5*60*60+11*60+49</f>
        <v>18709</v>
      </c>
      <c r="AC38" s="1">
        <f t="shared" ref="AC38" si="14">AE38-AD38</f>
        <v>0.21653935185185183</v>
      </c>
      <c r="AD38" s="16">
        <v>0.19804398148148147</v>
      </c>
      <c r="AE38" s="16">
        <v>0.4145833333333333</v>
      </c>
    </row>
    <row r="39" spans="19:31" x14ac:dyDescent="0.25">
      <c r="S39">
        <v>40</v>
      </c>
      <c r="V39" t="s">
        <v>146</v>
      </c>
    </row>
    <row r="40" spans="19:31" x14ac:dyDescent="0.25">
      <c r="S40">
        <v>35</v>
      </c>
    </row>
    <row r="41" spans="19:31" x14ac:dyDescent="0.25">
      <c r="S41">
        <v>30</v>
      </c>
    </row>
    <row r="42" spans="19:31" x14ac:dyDescent="0.25">
      <c r="S42">
        <v>25</v>
      </c>
    </row>
    <row r="43" spans="19:31" x14ac:dyDescent="0.25">
      <c r="S43">
        <v>20</v>
      </c>
    </row>
    <row r="47" spans="19:31" x14ac:dyDescent="0.25">
      <c r="S47" t="s">
        <v>95</v>
      </c>
      <c r="T47" t="s">
        <v>192</v>
      </c>
      <c r="V47" t="s">
        <v>31</v>
      </c>
      <c r="W47" t="s">
        <v>32</v>
      </c>
      <c r="Z47" t="s">
        <v>31</v>
      </c>
      <c r="AA47" t="s">
        <v>32</v>
      </c>
      <c r="AD47" t="s">
        <v>31</v>
      </c>
      <c r="AE47" t="s">
        <v>32</v>
      </c>
    </row>
    <row r="48" spans="19:31" x14ac:dyDescent="0.25">
      <c r="S48">
        <v>50</v>
      </c>
      <c r="U48" s="1">
        <f>W48-V48</f>
        <v>1.4398148148148104E-2</v>
      </c>
      <c r="V48" s="18">
        <v>0.48473379629629632</v>
      </c>
      <c r="W48" s="18">
        <v>0.49913194444444442</v>
      </c>
      <c r="X48" s="60">
        <f>19*60+55</f>
        <v>1195</v>
      </c>
      <c r="Y48" s="1">
        <f>AA48-Z48</f>
        <v>0</v>
      </c>
      <c r="Z48" s="16"/>
      <c r="AA48" s="16"/>
      <c r="AB48" s="60">
        <f>19*60+45</f>
        <v>1185</v>
      </c>
      <c r="AC48" s="1">
        <f>AE48-AD48</f>
        <v>0</v>
      </c>
      <c r="AD48" s="16"/>
      <c r="AE48" s="16"/>
    </row>
    <row r="49" spans="19:31" x14ac:dyDescent="0.25">
      <c r="S49">
        <v>45</v>
      </c>
      <c r="U49" s="1">
        <f t="shared" ref="U49" si="15">W49-V49</f>
        <v>0.25452546296296308</v>
      </c>
      <c r="V49" s="18">
        <v>0.89547453703703705</v>
      </c>
      <c r="W49" s="89">
        <v>1.1500000000000001</v>
      </c>
      <c r="X49">
        <f>5*60*60+9*60+58</f>
        <v>18598</v>
      </c>
      <c r="Y49" s="1" t="e">
        <f t="shared" ref="Y49" si="16">AA49-Z49</f>
        <v>#VALUE!</v>
      </c>
      <c r="Z49" s="60" t="s">
        <v>194</v>
      </c>
      <c r="AA49" s="16"/>
      <c r="AB49" s="24">
        <f>5*60*60+11*60+49</f>
        <v>18709</v>
      </c>
      <c r="AC49" s="1">
        <f t="shared" ref="AC49" si="17">AE49-AD49</f>
        <v>0</v>
      </c>
      <c r="AD49" s="16"/>
      <c r="AE49" s="16"/>
    </row>
    <row r="50" spans="19:31" x14ac:dyDescent="0.25">
      <c r="S50">
        <v>40</v>
      </c>
      <c r="V50" s="60" t="s">
        <v>193</v>
      </c>
    </row>
    <row r="51" spans="19:31" x14ac:dyDescent="0.25">
      <c r="S51">
        <v>35</v>
      </c>
    </row>
    <row r="52" spans="19:31" x14ac:dyDescent="0.25">
      <c r="S52">
        <v>30</v>
      </c>
    </row>
    <row r="53" spans="19:31" x14ac:dyDescent="0.25">
      <c r="S53">
        <v>25</v>
      </c>
    </row>
    <row r="54" spans="19:31" x14ac:dyDescent="0.25">
      <c r="S54">
        <v>20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topLeftCell="Q34" workbookViewId="0">
      <selection activeCell="AA63" sqref="AA63"/>
    </sheetView>
  </sheetViews>
  <sheetFormatPr defaultRowHeight="15" x14ac:dyDescent="0.25"/>
  <cols>
    <col min="4" max="4" width="11.28515625" customWidth="1"/>
    <col min="19" max="19" width="11.5703125" customWidth="1"/>
    <col min="20" max="20" width="14" customWidth="1"/>
    <col min="21" max="21" width="9.7109375" style="1" bestFit="1" customWidth="1"/>
    <col min="23" max="23" width="15.85546875" bestFit="1" customWidth="1"/>
    <col min="25" max="26" width="9.7109375" bestFit="1" customWidth="1"/>
    <col min="28" max="28" width="17.28515625" style="24" bestFit="1" customWidth="1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V12" t="s">
        <v>31</v>
      </c>
      <c r="W12" t="s">
        <v>32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Y13" s="1"/>
      <c r="Z13" s="16"/>
      <c r="AA13" s="16"/>
      <c r="AC13" s="1"/>
      <c r="AD13" s="16"/>
      <c r="AE13" s="16"/>
    </row>
    <row r="14" spans="1:31" x14ac:dyDescent="0.25">
      <c r="A14">
        <v>50</v>
      </c>
      <c r="D14">
        <v>224</v>
      </c>
      <c r="S14">
        <v>45</v>
      </c>
      <c r="V14" s="16" t="s">
        <v>207</v>
      </c>
      <c r="W14" s="18"/>
      <c r="Y14" s="1"/>
      <c r="Z14" s="16"/>
      <c r="AA14" s="16"/>
      <c r="AC14" s="1"/>
      <c r="AD14" s="16"/>
      <c r="AE14" s="16"/>
    </row>
    <row r="15" spans="1:31" x14ac:dyDescent="0.25">
      <c r="A15">
        <v>45</v>
      </c>
      <c r="S15">
        <v>40</v>
      </c>
      <c r="X15" s="24"/>
      <c r="Y15" s="1"/>
      <c r="Z15" s="16"/>
      <c r="AA15" s="16"/>
      <c r="AC15" s="1"/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T16">
        <v>181</v>
      </c>
      <c r="U16" s="1">
        <f>W16-V16</f>
        <v>2.0949074074074758E-3</v>
      </c>
      <c r="V16" s="16">
        <v>0.99567129629629625</v>
      </c>
      <c r="W16" s="16">
        <v>0.99776620370370372</v>
      </c>
      <c r="Y16" s="1"/>
      <c r="AC16" s="1"/>
    </row>
    <row r="17" spans="1:34" x14ac:dyDescent="0.25">
      <c r="A17">
        <v>35</v>
      </c>
      <c r="S17">
        <v>30</v>
      </c>
      <c r="T17">
        <v>188</v>
      </c>
      <c r="U17" s="1">
        <f t="shared" ref="U17:U19" si="0">W17-V17</f>
        <v>2.17592592592597E-3</v>
      </c>
      <c r="V17" s="16">
        <v>0.9997800925925926</v>
      </c>
      <c r="W17" s="16">
        <v>1.0019560185185186</v>
      </c>
      <c r="Y17" s="1"/>
      <c r="AC17" s="1"/>
    </row>
    <row r="18" spans="1:34" x14ac:dyDescent="0.25">
      <c r="A18">
        <v>30</v>
      </c>
      <c r="D18" t="s">
        <v>100</v>
      </c>
      <c r="E18" t="s">
        <v>148</v>
      </c>
      <c r="S18">
        <v>25</v>
      </c>
      <c r="T18">
        <v>224</v>
      </c>
      <c r="U18" s="1">
        <f t="shared" si="0"/>
        <v>2.5925925925925921E-3</v>
      </c>
      <c r="V18" s="16">
        <v>3.8078703703703707E-3</v>
      </c>
      <c r="W18" s="16">
        <v>6.4004629629629628E-3</v>
      </c>
    </row>
    <row r="19" spans="1:34" x14ac:dyDescent="0.25">
      <c r="S19">
        <v>20</v>
      </c>
      <c r="T19">
        <f>43*60+51</f>
        <v>2631</v>
      </c>
      <c r="U19" s="1">
        <f t="shared" si="0"/>
        <v>3.0451388888888896E-2</v>
      </c>
      <c r="V19" s="16">
        <v>8.3564814814814804E-3</v>
      </c>
      <c r="W19" s="16">
        <v>3.8807870370370375E-2</v>
      </c>
    </row>
    <row r="20" spans="1:34" x14ac:dyDescent="0.25">
      <c r="S20">
        <v>15</v>
      </c>
      <c r="T20" s="38"/>
      <c r="U20" s="112"/>
      <c r="V20" s="113"/>
      <c r="W20" s="113"/>
    </row>
    <row r="21" spans="1:34" x14ac:dyDescent="0.25">
      <c r="T21" t="s">
        <v>38</v>
      </c>
      <c r="V21" t="s">
        <v>31</v>
      </c>
      <c r="W21" t="s">
        <v>32</v>
      </c>
      <c r="Z21" t="s">
        <v>31</v>
      </c>
      <c r="AA21" t="s">
        <v>32</v>
      </c>
      <c r="AD21" t="s">
        <v>31</v>
      </c>
      <c r="AE21" t="s">
        <v>32</v>
      </c>
      <c r="AH21" t="s">
        <v>38</v>
      </c>
    </row>
    <row r="22" spans="1:34" x14ac:dyDescent="0.25">
      <c r="S22">
        <v>50</v>
      </c>
      <c r="Z22" s="16"/>
      <c r="AA22" s="16"/>
      <c r="AC22" s="1"/>
      <c r="AD22" s="16"/>
      <c r="AE22" s="16"/>
    </row>
    <row r="23" spans="1:34" ht="15.75" thickBot="1" x14ac:dyDescent="0.3">
      <c r="S23">
        <v>45</v>
      </c>
      <c r="Z23" s="16"/>
      <c r="AA23" s="16"/>
      <c r="AC23" s="1"/>
      <c r="AD23" s="16"/>
      <c r="AE23" s="16"/>
    </row>
    <row r="24" spans="1:34" x14ac:dyDescent="0.25">
      <c r="A24" t="s">
        <v>99</v>
      </c>
      <c r="B24" s="61" t="s">
        <v>41</v>
      </c>
      <c r="C24" s="62" t="s">
        <v>147</v>
      </c>
      <c r="D24" s="63" t="s">
        <v>107</v>
      </c>
      <c r="E24" s="61" t="s">
        <v>40</v>
      </c>
      <c r="F24" s="62" t="s">
        <v>147</v>
      </c>
      <c r="G24" s="63" t="s">
        <v>107</v>
      </c>
      <c r="H24" s="61" t="s">
        <v>150</v>
      </c>
      <c r="I24" s="62" t="s">
        <v>147</v>
      </c>
      <c r="J24" s="63" t="s">
        <v>107</v>
      </c>
      <c r="K24" s="61" t="s">
        <v>214</v>
      </c>
      <c r="L24" s="62" t="s">
        <v>147</v>
      </c>
      <c r="M24" s="63" t="s">
        <v>107</v>
      </c>
      <c r="N24" s="61" t="s">
        <v>151</v>
      </c>
      <c r="O24" s="62" t="s">
        <v>147</v>
      </c>
      <c r="P24" s="63" t="s">
        <v>107</v>
      </c>
      <c r="S24">
        <v>40</v>
      </c>
      <c r="T24">
        <v>154</v>
      </c>
      <c r="U24" s="1">
        <f>W24-V24</f>
        <v>1.782407407407427E-3</v>
      </c>
      <c r="V24" s="16">
        <v>0.99376157407407406</v>
      </c>
      <c r="W24" s="16">
        <v>0.99554398148148149</v>
      </c>
      <c r="Z24" s="91"/>
      <c r="AA24" s="91"/>
      <c r="AB24" s="92"/>
      <c r="AC24" s="90"/>
      <c r="AD24" s="91"/>
      <c r="AE24" s="91"/>
    </row>
    <row r="25" spans="1:34" x14ac:dyDescent="0.25">
      <c r="A25">
        <v>35</v>
      </c>
      <c r="B25" s="103">
        <f>AVERAGE(T16,X16,AB16)</f>
        <v>181</v>
      </c>
      <c r="C25" s="104">
        <f>_xlfn.STDEV.P(T16,X16,AB16)</f>
        <v>0</v>
      </c>
      <c r="D25" s="105" t="e">
        <f t="shared" ref="D25:D28" si="1">_xlfn.CONFIDENCE.NORM(0.05,C25,3)</f>
        <v>#NUM!</v>
      </c>
      <c r="E25" s="106">
        <f>AVERAGE(T25,X25,AB25)</f>
        <v>156</v>
      </c>
      <c r="F25" s="104">
        <f>_xlfn.STDEV.P(T25,X25,AB25)</f>
        <v>0</v>
      </c>
      <c r="G25" s="105" t="e">
        <f t="shared" ref="G25:G29" si="2">_xlfn.CONFIDENCE.NORM(0.05,F25,3)</f>
        <v>#NUM!</v>
      </c>
      <c r="H25">
        <v>202</v>
      </c>
      <c r="I25" s="104">
        <f>_xlfn.STDEV.P(T39,X39,AB39)</f>
        <v>0</v>
      </c>
      <c r="J25" s="105" t="e">
        <f>_xlfn.CONFIDENCE.NORM(0.05,I25,3)</f>
        <v>#NUM!</v>
      </c>
      <c r="K25" s="103"/>
      <c r="L25" s="104"/>
      <c r="M25" s="65"/>
      <c r="N25" s="106">
        <f t="shared" ref="N25:N31" si="3">AVERAGE(T39,X39,AB39)</f>
        <v>122</v>
      </c>
      <c r="O25" s="104">
        <f t="shared" ref="O25:O31" si="4">_xlfn.STDEV.P(T39,X39,AB39)</f>
        <v>0</v>
      </c>
      <c r="P25" s="105" t="e">
        <f t="shared" ref="P25:P31" si="5">_xlfn.CONFIDENCE.NORM(0.05,O25,3)</f>
        <v>#NUM!</v>
      </c>
      <c r="S25">
        <v>35</v>
      </c>
      <c r="T25">
        <v>156</v>
      </c>
      <c r="U25" s="1">
        <f t="shared" ref="U25:U29" si="6">W25-V25</f>
        <v>1.8171296296296546E-3</v>
      </c>
      <c r="V25" s="16">
        <v>0.9978703703703703</v>
      </c>
      <c r="W25" s="16">
        <v>0.99968749999999995</v>
      </c>
      <c r="Z25" s="16"/>
      <c r="AA25" s="16"/>
      <c r="AC25" s="1"/>
      <c r="AD25" s="16"/>
      <c r="AE25" s="16"/>
    </row>
    <row r="26" spans="1:34" x14ac:dyDescent="0.25">
      <c r="A26">
        <v>30</v>
      </c>
      <c r="B26" s="103">
        <f>AVERAGE(T17,X17,AB17)</f>
        <v>188</v>
      </c>
      <c r="C26" s="104">
        <f>_xlfn.STDEV.P(T17,X17,AB17)</f>
        <v>0</v>
      </c>
      <c r="D26" s="105" t="e">
        <f t="shared" si="1"/>
        <v>#NUM!</v>
      </c>
      <c r="E26" s="106">
        <f>AVERAGE(T26,X26,AB26)</f>
        <v>140</v>
      </c>
      <c r="F26" s="104">
        <f>_xlfn.STDEV.P(T26,X26,AB26)</f>
        <v>0</v>
      </c>
      <c r="G26" s="105" t="e">
        <f t="shared" si="2"/>
        <v>#NUM!</v>
      </c>
      <c r="H26">
        <v>212</v>
      </c>
      <c r="I26" s="104"/>
      <c r="J26" s="105"/>
      <c r="K26" s="103"/>
      <c r="L26" s="104"/>
      <c r="M26" s="65"/>
      <c r="N26" s="106">
        <f t="shared" si="3"/>
        <v>123</v>
      </c>
      <c r="O26" s="104">
        <f t="shared" si="4"/>
        <v>0</v>
      </c>
      <c r="P26" s="105" t="e">
        <f t="shared" si="5"/>
        <v>#NUM!</v>
      </c>
      <c r="S26">
        <v>30</v>
      </c>
      <c r="T26">
        <v>140</v>
      </c>
      <c r="U26" s="1">
        <f t="shared" si="6"/>
        <v>1.6203703703703701E-3</v>
      </c>
      <c r="V26" s="16">
        <v>2.0949074074074073E-3</v>
      </c>
      <c r="W26" s="16">
        <v>3.7152777777777774E-3</v>
      </c>
      <c r="AC26" s="1"/>
    </row>
    <row r="27" spans="1:34" x14ac:dyDescent="0.25">
      <c r="A27">
        <v>25</v>
      </c>
      <c r="B27" s="103">
        <f>AVERAGE(T18,X18,AB18)</f>
        <v>224</v>
      </c>
      <c r="C27" s="104">
        <f>_xlfn.STDEV.P(T18,X18,AB18)</f>
        <v>0</v>
      </c>
      <c r="D27" s="105" t="e">
        <f t="shared" si="1"/>
        <v>#NUM!</v>
      </c>
      <c r="E27" s="106">
        <f>AVERAGE(T27,X27,AB27)</f>
        <v>147</v>
      </c>
      <c r="F27" s="104">
        <f>_xlfn.STDEV.P(T27,X27,AB27)</f>
        <v>0</v>
      </c>
      <c r="G27" s="105" t="e">
        <f t="shared" si="2"/>
        <v>#NUM!</v>
      </c>
      <c r="H27" s="29">
        <f>14*60*60+56+23</f>
        <v>50479</v>
      </c>
      <c r="I27" s="104"/>
      <c r="J27" s="104"/>
      <c r="K27" s="104"/>
      <c r="L27" s="104"/>
      <c r="M27" s="47"/>
      <c r="N27" s="106">
        <f t="shared" si="3"/>
        <v>219</v>
      </c>
      <c r="O27" s="104">
        <f t="shared" si="4"/>
        <v>0</v>
      </c>
      <c r="P27" s="105" t="e">
        <f t="shared" si="5"/>
        <v>#NUM!</v>
      </c>
      <c r="S27">
        <v>25</v>
      </c>
      <c r="T27">
        <v>147</v>
      </c>
      <c r="U27" s="1">
        <f t="shared" si="6"/>
        <v>1.7013888888888894E-3</v>
      </c>
      <c r="V27" s="16">
        <v>6.5393518518518517E-3</v>
      </c>
      <c r="W27" s="16">
        <v>8.2407407407407412E-3</v>
      </c>
      <c r="X27" s="60"/>
      <c r="Y27" s="1"/>
      <c r="AC27" s="1"/>
    </row>
    <row r="28" spans="1:34" x14ac:dyDescent="0.25">
      <c r="A28">
        <v>20</v>
      </c>
      <c r="B28" s="103">
        <f>AVERAGE(T19,X19,AB19)</f>
        <v>2631</v>
      </c>
      <c r="C28" s="104">
        <f>_xlfn.STDEV.P(T19,X19,AB19)</f>
        <v>0</v>
      </c>
      <c r="D28" s="105" t="e">
        <f t="shared" si="1"/>
        <v>#NUM!</v>
      </c>
      <c r="E28" s="106">
        <f>AVERAGE(T28,X28,AB28)</f>
        <v>161.5</v>
      </c>
      <c r="F28" s="104">
        <f>_xlfn.STDEV.P(T28,X28,AB28)</f>
        <v>8.5</v>
      </c>
      <c r="G28" s="105">
        <f t="shared" si="2"/>
        <v>9.6184787396474576</v>
      </c>
      <c r="H28" s="29"/>
      <c r="I28" s="104"/>
      <c r="J28" s="104"/>
      <c r="K28" s="104"/>
      <c r="L28" s="104"/>
      <c r="M28" s="47"/>
      <c r="N28" s="106">
        <f t="shared" si="3"/>
        <v>402</v>
      </c>
      <c r="O28" s="104">
        <f t="shared" si="4"/>
        <v>0</v>
      </c>
      <c r="P28" s="105" t="e">
        <f t="shared" si="5"/>
        <v>#NUM!</v>
      </c>
      <c r="S28">
        <v>20</v>
      </c>
      <c r="T28">
        <v>153</v>
      </c>
      <c r="U28" s="1">
        <f>W28-V28</f>
        <v>1.7708333333333881E-3</v>
      </c>
      <c r="V28" s="18">
        <v>0.79701388888888891</v>
      </c>
      <c r="W28" s="18">
        <v>0.7987847222222223</v>
      </c>
      <c r="X28">
        <v>170</v>
      </c>
      <c r="Y28" s="1">
        <f>AA28-Z28</f>
        <v>1.9675925925925902E-3</v>
      </c>
      <c r="Z28" s="16">
        <v>3.8900462962962963E-2</v>
      </c>
      <c r="AA28" s="16">
        <v>4.0868055555555553E-2</v>
      </c>
      <c r="AC28" s="1"/>
    </row>
    <row r="29" spans="1:34" x14ac:dyDescent="0.25">
      <c r="A29">
        <v>15</v>
      </c>
      <c r="B29" s="103"/>
      <c r="C29" s="104"/>
      <c r="D29" s="105"/>
      <c r="E29" s="106">
        <f>AVERAGE(T29,X29,AB29)</f>
        <v>220</v>
      </c>
      <c r="F29" s="104">
        <f>_xlfn.STDEV.P(T29,X29,AB29)</f>
        <v>0</v>
      </c>
      <c r="G29" s="105" t="e">
        <f t="shared" si="2"/>
        <v>#NUM!</v>
      </c>
      <c r="H29" s="104"/>
      <c r="I29" s="104"/>
      <c r="J29" s="104"/>
      <c r="K29" s="104"/>
      <c r="L29" s="104"/>
      <c r="M29" s="47"/>
      <c r="N29" s="106">
        <f t="shared" si="3"/>
        <v>1087</v>
      </c>
      <c r="O29" s="104">
        <f t="shared" si="4"/>
        <v>0</v>
      </c>
      <c r="P29" s="105" t="e">
        <f t="shared" si="5"/>
        <v>#NUM!</v>
      </c>
      <c r="S29">
        <v>15</v>
      </c>
      <c r="T29">
        <v>220</v>
      </c>
      <c r="U29" s="1">
        <f t="shared" si="6"/>
        <v>2.5462962962963243E-3</v>
      </c>
      <c r="V29" s="18">
        <v>0.79998842592592589</v>
      </c>
      <c r="W29" s="18">
        <v>0.80253472222222222</v>
      </c>
      <c r="X29" s="60"/>
      <c r="Y29" s="1"/>
    </row>
    <row r="30" spans="1:34" x14ac:dyDescent="0.25">
      <c r="A30">
        <v>10</v>
      </c>
      <c r="B30" s="103"/>
      <c r="C30" s="104"/>
      <c r="D30" s="105"/>
      <c r="E30" s="75"/>
      <c r="F30" s="75"/>
      <c r="G30" s="75"/>
      <c r="H30" s="104"/>
      <c r="I30" s="104"/>
      <c r="J30" s="104"/>
      <c r="K30" s="104"/>
      <c r="L30" s="104"/>
      <c r="M30" s="47"/>
      <c r="N30" s="106">
        <f t="shared" si="3"/>
        <v>4612</v>
      </c>
      <c r="O30" s="104">
        <f t="shared" si="4"/>
        <v>0</v>
      </c>
      <c r="P30" s="105" t="e">
        <f t="shared" si="5"/>
        <v>#NUM!</v>
      </c>
      <c r="S30">
        <v>10</v>
      </c>
      <c r="T30" s="77"/>
      <c r="U30" s="90"/>
      <c r="V30" s="102" t="s">
        <v>206</v>
      </c>
      <c r="W30" s="102"/>
      <c r="X30" s="77"/>
      <c r="Y30" s="90"/>
    </row>
    <row r="31" spans="1:34" x14ac:dyDescent="0.25">
      <c r="A31">
        <v>5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47"/>
      <c r="N31" s="106">
        <f t="shared" si="3"/>
        <v>17897.5</v>
      </c>
      <c r="O31" s="104">
        <f t="shared" si="4"/>
        <v>186.5</v>
      </c>
      <c r="P31" s="105">
        <f t="shared" si="5"/>
        <v>211.04073940520601</v>
      </c>
      <c r="S31">
        <v>5</v>
      </c>
      <c r="V31" s="18"/>
      <c r="W31" s="18"/>
      <c r="X31" s="24"/>
      <c r="Y31" s="1"/>
    </row>
    <row r="32" spans="1:34" x14ac:dyDescent="0.25">
      <c r="A32">
        <v>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47"/>
      <c r="N32" s="47"/>
      <c r="O32" s="47"/>
      <c r="P32" s="47"/>
      <c r="V32" s="16"/>
      <c r="W32" s="18"/>
      <c r="X32" s="60"/>
      <c r="Y32" s="1"/>
    </row>
    <row r="33" spans="2:31" x14ac:dyDescent="0.25">
      <c r="V33" s="60"/>
      <c r="W33" s="60"/>
      <c r="X33" s="60"/>
    </row>
    <row r="34" spans="2:31" x14ac:dyDescent="0.25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2:31" x14ac:dyDescent="0.2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7" spans="2:31" x14ac:dyDescent="0.25">
      <c r="T37" t="s">
        <v>192</v>
      </c>
      <c r="V37" t="s">
        <v>31</v>
      </c>
      <c r="W37" t="s">
        <v>32</v>
      </c>
      <c r="Z37" t="s">
        <v>31</v>
      </c>
      <c r="AA37" t="s">
        <v>32</v>
      </c>
      <c r="AD37" t="s">
        <v>31</v>
      </c>
      <c r="AE37" t="s">
        <v>32</v>
      </c>
    </row>
    <row r="38" spans="2:31" x14ac:dyDescent="0.25">
      <c r="S38">
        <v>40</v>
      </c>
      <c r="V38" s="18"/>
      <c r="W38" s="18"/>
      <c r="X38" s="60"/>
      <c r="Y38" s="1"/>
      <c r="Z38" s="16"/>
      <c r="AA38" s="16"/>
      <c r="AB38" s="60"/>
      <c r="AC38" s="1"/>
      <c r="AD38" s="16"/>
      <c r="AE38" s="16"/>
    </row>
    <row r="39" spans="2:31" x14ac:dyDescent="0.25">
      <c r="S39">
        <v>35</v>
      </c>
      <c r="T39">
        <v>122</v>
      </c>
      <c r="U39" s="1">
        <f t="shared" ref="U39:U41" si="7">W39-V39</f>
        <v>1.5277777777777946E-3</v>
      </c>
      <c r="V39" s="16">
        <v>0.48090277777777773</v>
      </c>
      <c r="W39" s="16">
        <v>0.48243055555555553</v>
      </c>
      <c r="Y39" s="1"/>
      <c r="Z39" s="16"/>
      <c r="AA39" s="16"/>
      <c r="AC39" s="1"/>
      <c r="AD39" s="16"/>
      <c r="AE39" s="16"/>
    </row>
    <row r="40" spans="2:31" x14ac:dyDescent="0.25">
      <c r="S40">
        <v>30</v>
      </c>
      <c r="T40">
        <v>123</v>
      </c>
      <c r="U40" s="1">
        <f t="shared" si="7"/>
        <v>1.5393518518519445E-3</v>
      </c>
      <c r="V40" s="16">
        <v>0.48251157407407402</v>
      </c>
      <c r="W40" s="16">
        <v>0.48405092592592597</v>
      </c>
      <c r="Y40" s="1"/>
    </row>
    <row r="41" spans="2:31" x14ac:dyDescent="0.25">
      <c r="S41">
        <v>25</v>
      </c>
      <c r="T41">
        <v>219</v>
      </c>
      <c r="U41" s="1">
        <f t="shared" si="7"/>
        <v>2.5347222222222854E-3</v>
      </c>
      <c r="V41" s="16">
        <v>0.4841435185185185</v>
      </c>
      <c r="W41" s="16">
        <v>0.48667824074074079</v>
      </c>
    </row>
    <row r="42" spans="2:31" x14ac:dyDescent="0.25">
      <c r="S42">
        <v>20</v>
      </c>
      <c r="T42">
        <f>6*60+42</f>
        <v>402</v>
      </c>
      <c r="U42" s="1">
        <f t="shared" ref="U42:U44" si="8">W42-V42</f>
        <v>4.652777777777839E-3</v>
      </c>
      <c r="V42" s="18">
        <v>0.55670138888888887</v>
      </c>
      <c r="W42" s="18">
        <v>0.56135416666666671</v>
      </c>
      <c r="X42" s="60"/>
      <c r="Y42" s="1"/>
      <c r="Z42" s="16"/>
      <c r="AA42" s="16"/>
      <c r="AB42" s="60"/>
      <c r="AC42" s="1"/>
      <c r="AD42" s="16"/>
      <c r="AE42" s="16"/>
    </row>
    <row r="43" spans="2:31" x14ac:dyDescent="0.25">
      <c r="S43">
        <v>15</v>
      </c>
      <c r="T43">
        <f>18*60+7</f>
        <v>1087</v>
      </c>
      <c r="U43" s="1">
        <f t="shared" si="8"/>
        <v>1.2581018518518561E-2</v>
      </c>
      <c r="V43" s="18">
        <v>0.54021990740740744</v>
      </c>
      <c r="W43" s="18">
        <v>0.552800925925926</v>
      </c>
      <c r="Y43" s="1"/>
      <c r="Z43" s="16"/>
      <c r="AA43" s="16"/>
      <c r="AC43" s="1"/>
      <c r="AD43" s="16"/>
      <c r="AE43" s="16"/>
    </row>
    <row r="44" spans="2:31" x14ac:dyDescent="0.25">
      <c r="S44">
        <v>10</v>
      </c>
      <c r="T44">
        <f>76*60+52</f>
        <v>4612</v>
      </c>
      <c r="U44" s="1">
        <f t="shared" si="8"/>
        <v>5.3379629629629624E-2</v>
      </c>
      <c r="V44" s="18">
        <v>6.1550925925925926E-2</v>
      </c>
      <c r="W44" s="18">
        <v>0.11493055555555555</v>
      </c>
      <c r="Y44" s="1"/>
    </row>
    <row r="45" spans="2:31" x14ac:dyDescent="0.25">
      <c r="S45">
        <v>5</v>
      </c>
      <c r="T45">
        <f>301*60+24</f>
        <v>18084</v>
      </c>
      <c r="U45" s="1">
        <f>W45-V45</f>
        <v>0.20930555555555547</v>
      </c>
      <c r="V45" s="18">
        <v>0.32959490740740743</v>
      </c>
      <c r="W45" s="18">
        <v>0.5389004629629629</v>
      </c>
      <c r="X45">
        <f>295*60+11</f>
        <v>17711</v>
      </c>
      <c r="Y45" s="1">
        <f>AA45-Z45</f>
        <v>0.20498842592592592</v>
      </c>
      <c r="Z45" s="18">
        <v>0.56335648148148143</v>
      </c>
      <c r="AA45" s="18">
        <v>0.76834490740740735</v>
      </c>
    </row>
    <row r="48" spans="2:31" x14ac:dyDescent="0.25">
      <c r="T48" t="s">
        <v>215</v>
      </c>
      <c r="V48" t="s">
        <v>31</v>
      </c>
      <c r="W48" t="s">
        <v>32</v>
      </c>
      <c r="Z48" t="s">
        <v>31</v>
      </c>
      <c r="AA48" t="s">
        <v>32</v>
      </c>
      <c r="AD48" t="s">
        <v>31</v>
      </c>
      <c r="AE48" t="s">
        <v>32</v>
      </c>
    </row>
    <row r="49" spans="19:31" x14ac:dyDescent="0.25">
      <c r="S49">
        <v>20</v>
      </c>
      <c r="T49" s="24"/>
      <c r="U49" s="1">
        <f>W49-V49</f>
        <v>1.3530092592592594E-2</v>
      </c>
      <c r="V49" s="18">
        <v>6.33912037037037E-2</v>
      </c>
      <c r="W49" s="18">
        <v>7.6921296296296293E-2</v>
      </c>
      <c r="X49" s="60"/>
      <c r="Y49" s="1"/>
      <c r="Z49" s="16"/>
      <c r="AA49" s="16"/>
      <c r="AB49" s="60"/>
      <c r="AC49" s="1"/>
      <c r="AD49" s="16"/>
      <c r="AE49" s="16"/>
    </row>
    <row r="50" spans="19:31" x14ac:dyDescent="0.25">
      <c r="S50">
        <v>15</v>
      </c>
      <c r="T50" s="24"/>
      <c r="U50" s="1">
        <f t="shared" ref="U50:U52" si="9">W50-V50</f>
        <v>2.9456018518518506E-2</v>
      </c>
      <c r="V50" s="18">
        <v>7.7025462962962962E-2</v>
      </c>
      <c r="W50" s="18">
        <v>0.10648148148148147</v>
      </c>
      <c r="Y50" s="1"/>
      <c r="Z50" s="60"/>
      <c r="AA50" s="16"/>
      <c r="AC50" s="1"/>
      <c r="AD50" s="16"/>
      <c r="AE50" s="16"/>
    </row>
    <row r="51" spans="19:31" x14ac:dyDescent="0.25">
      <c r="S51">
        <v>10</v>
      </c>
      <c r="T51" s="24">
        <f>116*60+37</f>
        <v>6997</v>
      </c>
      <c r="U51" s="1">
        <f t="shared" si="9"/>
        <v>8.098379629629629E-2</v>
      </c>
      <c r="V51" s="18">
        <v>0.10659722222222223</v>
      </c>
      <c r="W51" s="18">
        <v>0.18758101851851852</v>
      </c>
    </row>
    <row r="52" spans="19:31" x14ac:dyDescent="0.25">
      <c r="S52">
        <v>5</v>
      </c>
      <c r="T52" s="24"/>
      <c r="U52" s="1">
        <f t="shared" si="9"/>
        <v>0.1784722222222222</v>
      </c>
      <c r="V52" s="18">
        <v>0.18800925925925926</v>
      </c>
      <c r="W52" s="18">
        <v>0.36648148148148146</v>
      </c>
    </row>
    <row r="55" spans="19:31" x14ac:dyDescent="0.25">
      <c r="S55" t="s">
        <v>195</v>
      </c>
    </row>
    <row r="56" spans="19:31" x14ac:dyDescent="0.25">
      <c r="S56" t="s">
        <v>103</v>
      </c>
      <c r="T56" t="s">
        <v>117</v>
      </c>
      <c r="U56" s="17" t="s">
        <v>44</v>
      </c>
      <c r="V56" t="s">
        <v>104</v>
      </c>
      <c r="W56" t="s">
        <v>32</v>
      </c>
      <c r="X56" t="s">
        <v>116</v>
      </c>
    </row>
    <row r="57" spans="19:31" x14ac:dyDescent="0.25">
      <c r="S57" s="28">
        <v>10</v>
      </c>
      <c r="T57" s="26"/>
      <c r="U57" s="25">
        <f t="shared" ref="U57:U64" si="10">W57-V57</f>
        <v>8.8865740740740828E-2</v>
      </c>
      <c r="V57" s="18">
        <v>0.74225694444444434</v>
      </c>
      <c r="W57" s="18">
        <v>0.83112268518518517</v>
      </c>
      <c r="X57">
        <v>18</v>
      </c>
      <c r="Z57" s="1">
        <f>AB57-AA57</f>
        <v>8.0543981481481342E-2</v>
      </c>
      <c r="AA57" s="18">
        <v>0.92546296296296304</v>
      </c>
      <c r="AB57" s="120">
        <v>1.0060069444444444</v>
      </c>
    </row>
    <row r="58" spans="19:31" x14ac:dyDescent="0.25">
      <c r="S58" s="28">
        <v>100</v>
      </c>
      <c r="T58" s="26"/>
      <c r="U58" s="25">
        <f t="shared" si="10"/>
        <v>8.7673611111111049E-2</v>
      </c>
      <c r="V58" s="18">
        <v>0.79186342592592596</v>
      </c>
      <c r="W58" s="18">
        <v>0.87953703703703701</v>
      </c>
      <c r="X58" s="27">
        <v>17</v>
      </c>
      <c r="Y58" s="32"/>
      <c r="Z58" s="1">
        <f t="shared" ref="Z58:Z64" si="11">AB58-AA58</f>
        <v>8.6805555555555552E-2</v>
      </c>
      <c r="AA58" s="18">
        <v>6.145833333333333E-3</v>
      </c>
      <c r="AB58" s="18">
        <v>9.2951388888888889E-2</v>
      </c>
    </row>
    <row r="59" spans="19:31" x14ac:dyDescent="0.25">
      <c r="S59" s="28">
        <v>1000</v>
      </c>
      <c r="T59" s="26"/>
      <c r="U59" s="25">
        <f t="shared" si="10"/>
        <v>8.5902777777777883E-2</v>
      </c>
      <c r="V59" s="18">
        <v>0.83122685185185186</v>
      </c>
      <c r="W59" s="18">
        <v>0.91712962962962974</v>
      </c>
      <c r="X59" s="60">
        <v>16</v>
      </c>
      <c r="Z59" s="1">
        <f t="shared" si="11"/>
        <v>8.5439814814814802E-2</v>
      </c>
      <c r="AA59" s="18">
        <v>9.3055555555555558E-2</v>
      </c>
      <c r="AB59" s="18">
        <v>0.17849537037037036</v>
      </c>
    </row>
    <row r="60" spans="19:31" x14ac:dyDescent="0.25">
      <c r="S60" s="28">
        <v>10000</v>
      </c>
      <c r="T60" s="26"/>
      <c r="U60" s="25">
        <f t="shared" si="10"/>
        <v>8.1944444444444445E-2</v>
      </c>
      <c r="V60" s="18">
        <v>0.1203125</v>
      </c>
      <c r="W60" s="18">
        <v>0.20225694444444445</v>
      </c>
      <c r="X60">
        <v>14</v>
      </c>
      <c r="Z60" s="1">
        <f t="shared" si="11"/>
        <v>8.2731481481481461E-2</v>
      </c>
      <c r="AA60" s="18">
        <v>0.17858796296296298</v>
      </c>
      <c r="AB60" s="18">
        <v>0.26131944444444444</v>
      </c>
    </row>
    <row r="61" spans="19:31" x14ac:dyDescent="0.25">
      <c r="S61" s="28">
        <v>100000</v>
      </c>
      <c r="T61" s="26"/>
      <c r="U61" s="25">
        <f t="shared" si="10"/>
        <v>8.3715277777777819E-2</v>
      </c>
      <c r="V61" s="18">
        <v>0.2023611111111111</v>
      </c>
      <c r="W61" s="18">
        <v>0.28607638888888892</v>
      </c>
      <c r="X61">
        <v>13</v>
      </c>
      <c r="Z61" s="1">
        <f t="shared" si="11"/>
        <v>8.3541666666666625E-2</v>
      </c>
      <c r="AA61" s="18">
        <v>0.26148148148148148</v>
      </c>
      <c r="AB61" s="18">
        <v>0.34502314814814811</v>
      </c>
    </row>
    <row r="62" spans="19:31" x14ac:dyDescent="0.25">
      <c r="S62" s="28">
        <v>1000000</v>
      </c>
      <c r="T62" s="26"/>
      <c r="U62" s="25">
        <f t="shared" si="10"/>
        <v>8.7025462962962985E-2</v>
      </c>
      <c r="V62" s="18">
        <v>0.28616898148148145</v>
      </c>
      <c r="W62" s="18">
        <v>0.37319444444444444</v>
      </c>
      <c r="X62">
        <v>10</v>
      </c>
      <c r="Z62" s="1">
        <f t="shared" si="11"/>
        <v>-0.34510416666666671</v>
      </c>
      <c r="AA62" s="18">
        <v>0.34510416666666671</v>
      </c>
    </row>
    <row r="63" spans="19:31" x14ac:dyDescent="0.25">
      <c r="S63" s="28">
        <v>10000000</v>
      </c>
      <c r="T63" s="26"/>
      <c r="U63" s="25">
        <f t="shared" si="10"/>
        <v>0.16254629629629619</v>
      </c>
      <c r="V63" s="18">
        <v>0.37328703703703708</v>
      </c>
      <c r="W63" s="18">
        <v>0.53583333333333327</v>
      </c>
      <c r="X63">
        <v>4</v>
      </c>
      <c r="Z63" s="1">
        <f t="shared" si="11"/>
        <v>0</v>
      </c>
    </row>
    <row r="64" spans="19:31" x14ac:dyDescent="0.25">
      <c r="S64" s="28">
        <v>100000000</v>
      </c>
      <c r="T64" s="26"/>
      <c r="U64" s="25">
        <f t="shared" si="10"/>
        <v>0.17813657407407402</v>
      </c>
      <c r="V64" s="18">
        <v>0.53591435185185188</v>
      </c>
      <c r="W64" s="18">
        <v>0.71405092592592589</v>
      </c>
      <c r="X64">
        <v>3</v>
      </c>
      <c r="Z64" s="1">
        <f t="shared" si="11"/>
        <v>0</v>
      </c>
    </row>
    <row r="67" spans="19:30" x14ac:dyDescent="0.25">
      <c r="T67" t="s">
        <v>214</v>
      </c>
      <c r="V67" t="s">
        <v>31</v>
      </c>
      <c r="W67" t="s">
        <v>32</v>
      </c>
      <c r="Z67" t="s">
        <v>31</v>
      </c>
      <c r="AA67" t="s">
        <v>32</v>
      </c>
      <c r="AD67" t="s">
        <v>31</v>
      </c>
    </row>
    <row r="68" spans="19:30" x14ac:dyDescent="0.25">
      <c r="S68">
        <v>40</v>
      </c>
      <c r="V68" s="18"/>
      <c r="W68" s="18"/>
      <c r="X68" s="60"/>
      <c r="Y68" s="1"/>
      <c r="Z68" s="16"/>
      <c r="AA68" s="16"/>
      <c r="AB68" s="60"/>
      <c r="AC68" s="1"/>
      <c r="AD68" s="16"/>
    </row>
    <row r="69" spans="19:30" x14ac:dyDescent="0.25">
      <c r="S69">
        <v>35</v>
      </c>
      <c r="V69" s="18"/>
      <c r="W69" s="18"/>
      <c r="Y69" s="1"/>
      <c r="Z69" s="16"/>
      <c r="AA69" s="16"/>
      <c r="AC69" s="1"/>
      <c r="AD69" s="16"/>
    </row>
    <row r="70" spans="19:30" x14ac:dyDescent="0.25">
      <c r="S70">
        <v>30</v>
      </c>
      <c r="V70" s="18"/>
      <c r="W70" s="18"/>
      <c r="Y70" s="1"/>
    </row>
    <row r="71" spans="19:30" x14ac:dyDescent="0.25">
      <c r="S71">
        <v>25</v>
      </c>
    </row>
    <row r="72" spans="19:30" x14ac:dyDescent="0.25">
      <c r="S72">
        <v>20</v>
      </c>
      <c r="U72" s="1">
        <f>W72-V72</f>
        <v>1.3530092592592594E-2</v>
      </c>
      <c r="V72" s="18">
        <v>6.33912037037037E-2</v>
      </c>
      <c r="W72" s="18">
        <v>7.6921296296296293E-2</v>
      </c>
      <c r="X72" s="18"/>
      <c r="Y72" s="1"/>
      <c r="Z72" s="16"/>
      <c r="AA72" s="16"/>
      <c r="AB72" s="60"/>
      <c r="AC72" s="1"/>
      <c r="AD72" s="16"/>
    </row>
    <row r="73" spans="19:30" x14ac:dyDescent="0.25">
      <c r="S73">
        <v>15</v>
      </c>
      <c r="U73" s="1">
        <f t="shared" ref="U73:U75" si="12">W73-V73</f>
        <v>2.9456018518518506E-2</v>
      </c>
      <c r="V73" s="18">
        <v>7.7025462962962962E-2</v>
      </c>
      <c r="W73" s="18">
        <v>0.10648148148148147</v>
      </c>
      <c r="Y73" s="1"/>
      <c r="Z73" s="16"/>
      <c r="AA73" s="16"/>
      <c r="AC73" s="1"/>
      <c r="AD73" s="16"/>
    </row>
    <row r="74" spans="19:30" x14ac:dyDescent="0.25">
      <c r="S74">
        <v>10</v>
      </c>
      <c r="U74" s="1">
        <f t="shared" si="12"/>
        <v>8.098379629629629E-2</v>
      </c>
      <c r="V74" s="18">
        <v>0.10659722222222223</v>
      </c>
      <c r="W74" s="18">
        <v>0.18758101851851852</v>
      </c>
      <c r="Y74" s="1"/>
    </row>
    <row r="75" spans="19:30" x14ac:dyDescent="0.25">
      <c r="S75">
        <v>5</v>
      </c>
      <c r="U75" s="1">
        <f t="shared" si="12"/>
        <v>0.1784722222222222</v>
      </c>
      <c r="V75" s="18">
        <v>0.18800925925925926</v>
      </c>
      <c r="W75" s="18">
        <v>0.36648148148148146</v>
      </c>
      <c r="X75">
        <f>295*60+11</f>
        <v>17711</v>
      </c>
      <c r="Y75" s="1">
        <f>AA75-Z75</f>
        <v>0</v>
      </c>
      <c r="Z75" s="18"/>
      <c r="AA75" s="18"/>
    </row>
    <row r="78" spans="19:30" x14ac:dyDescent="0.25">
      <c r="U78" s="60"/>
    </row>
    <row r="79" spans="19:30" x14ac:dyDescent="0.25">
      <c r="S79" t="s">
        <v>95</v>
      </c>
      <c r="T79" t="s">
        <v>95</v>
      </c>
      <c r="V79" t="s">
        <v>31</v>
      </c>
      <c r="W79" t="s">
        <v>32</v>
      </c>
    </row>
    <row r="80" spans="19:30" x14ac:dyDescent="0.25">
      <c r="S80">
        <v>45</v>
      </c>
      <c r="T80">
        <v>202</v>
      </c>
      <c r="U80" s="1">
        <f t="shared" ref="U80:U83" si="13">W80-V80</f>
        <v>2.2222222222222365E-3</v>
      </c>
      <c r="V80" s="18">
        <v>0.82634259259259257</v>
      </c>
      <c r="W80" s="18">
        <v>0.82856481481481481</v>
      </c>
      <c r="X80" s="60"/>
    </row>
    <row r="81" spans="19:24" x14ac:dyDescent="0.25">
      <c r="S81">
        <v>40</v>
      </c>
      <c r="T81">
        <v>202</v>
      </c>
      <c r="U81" s="1">
        <f t="shared" si="13"/>
        <v>2.2222222222223476E-3</v>
      </c>
      <c r="V81" s="18">
        <v>0.82869212962962957</v>
      </c>
      <c r="W81" s="18">
        <v>0.83091435185185192</v>
      </c>
    </row>
    <row r="82" spans="19:24" x14ac:dyDescent="0.25">
      <c r="S82">
        <v>35</v>
      </c>
      <c r="T82">
        <v>202</v>
      </c>
      <c r="U82" s="1">
        <f t="shared" si="13"/>
        <v>2.2222222222221255E-3</v>
      </c>
      <c r="V82" s="18">
        <v>0.83105324074074083</v>
      </c>
      <c r="W82" s="18">
        <v>0.83327546296296295</v>
      </c>
    </row>
    <row r="83" spans="19:24" x14ac:dyDescent="0.25">
      <c r="S83">
        <v>30</v>
      </c>
      <c r="T83">
        <v>212</v>
      </c>
      <c r="U83" s="1">
        <f t="shared" si="13"/>
        <v>2.3379629629629584E-3</v>
      </c>
      <c r="V83" s="18">
        <v>0.83340277777777771</v>
      </c>
      <c r="W83" s="18">
        <v>0.83574074074074067</v>
      </c>
    </row>
    <row r="84" spans="19:24" x14ac:dyDescent="0.25">
      <c r="S84">
        <v>25</v>
      </c>
      <c r="T84" s="29">
        <f>14*60*60+56+23</f>
        <v>50479</v>
      </c>
      <c r="U84" s="108">
        <f>W84-V84</f>
        <v>0.62248842592592579</v>
      </c>
      <c r="V84" s="109">
        <v>0.83585648148148151</v>
      </c>
      <c r="W84" s="110">
        <v>1.4583449074074073</v>
      </c>
      <c r="X84" s="111"/>
    </row>
    <row r="85" spans="19:24" x14ac:dyDescent="0.25">
      <c r="S85">
        <v>20</v>
      </c>
      <c r="V85" s="18"/>
      <c r="W85" s="18"/>
    </row>
    <row r="86" spans="19:24" x14ac:dyDescent="0.25">
      <c r="S86">
        <v>15</v>
      </c>
      <c r="V86" s="18"/>
      <c r="W86" s="18"/>
    </row>
    <row r="87" spans="19:24" x14ac:dyDescent="0.25">
      <c r="S87">
        <v>10</v>
      </c>
      <c r="V87" s="18"/>
      <c r="W87" s="18"/>
    </row>
    <row r="88" spans="19:24" x14ac:dyDescent="0.25">
      <c r="S88">
        <v>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29" workbookViewId="0">
      <selection activeCell="O55" sqref="O55"/>
    </sheetView>
  </sheetViews>
  <sheetFormatPr defaultRowHeight="15" x14ac:dyDescent="0.25"/>
  <cols>
    <col min="17" max="17" width="9.7109375" bestFit="1" customWidth="1"/>
  </cols>
  <sheetData>
    <row r="1" spans="1:32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V1" s="1"/>
      <c r="AC1" s="24"/>
    </row>
    <row r="2" spans="1:32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V2" s="1"/>
      <c r="AC2" s="24"/>
    </row>
    <row r="3" spans="1:32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V3" s="1"/>
      <c r="AC3" s="24"/>
    </row>
    <row r="4" spans="1:32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V4" s="1"/>
      <c r="AC4" s="24"/>
    </row>
    <row r="5" spans="1:32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V5" s="1"/>
      <c r="AC5" s="24"/>
    </row>
    <row r="6" spans="1:32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V6" s="1"/>
      <c r="AC6" s="24"/>
    </row>
    <row r="7" spans="1:32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V7" s="1"/>
      <c r="AC7" s="24"/>
    </row>
    <row r="8" spans="1:32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V8" s="1"/>
      <c r="AC8" s="24"/>
    </row>
    <row r="9" spans="1:3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V9" s="1"/>
      <c r="AC9" s="24"/>
    </row>
    <row r="10" spans="1:32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V10" s="1"/>
      <c r="AC10" s="24"/>
    </row>
    <row r="11" spans="1:32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V11" s="1"/>
      <c r="AC11" s="24"/>
    </row>
    <row r="12" spans="1:32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U12" t="s">
        <v>29</v>
      </c>
      <c r="V12" s="1"/>
      <c r="AA12" t="s">
        <v>31</v>
      </c>
      <c r="AB12" t="s">
        <v>32</v>
      </c>
      <c r="AC12" s="24"/>
      <c r="AE12" t="s">
        <v>31</v>
      </c>
      <c r="AF12" t="s">
        <v>32</v>
      </c>
    </row>
    <row r="13" spans="1:32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T13" s="7">
        <v>9</v>
      </c>
      <c r="U13" t="s">
        <v>219</v>
      </c>
      <c r="V13" s="1">
        <f>X13-W13</f>
        <v>0</v>
      </c>
      <c r="W13" s="16"/>
      <c r="X13" s="16"/>
      <c r="Z13" s="1">
        <f>AB13-AA13</f>
        <v>0</v>
      </c>
      <c r="AA13" s="16"/>
      <c r="AB13" s="16"/>
      <c r="AC13" s="24"/>
      <c r="AD13" s="1">
        <f>AF13-AE13</f>
        <v>0</v>
      </c>
      <c r="AE13" s="16"/>
      <c r="AF13" s="16"/>
    </row>
    <row r="14" spans="1:32" ht="15.75" thickBot="1" x14ac:dyDescent="0.3">
      <c r="A14">
        <v>50</v>
      </c>
      <c r="D14">
        <v>224</v>
      </c>
      <c r="T14" s="7">
        <v>8</v>
      </c>
      <c r="V14" s="1">
        <f>X14-W14</f>
        <v>0</v>
      </c>
      <c r="W14" s="18"/>
      <c r="X14" s="18"/>
      <c r="Z14" s="1">
        <f t="shared" ref="Z14:Z17" si="0">AB14-AA14</f>
        <v>0</v>
      </c>
      <c r="AA14" s="16"/>
      <c r="AB14" s="16"/>
      <c r="AC14" s="24"/>
      <c r="AD14" s="1">
        <f t="shared" ref="AD14:AD17" si="1">AF14-AE14</f>
        <v>0</v>
      </c>
      <c r="AE14" s="16"/>
      <c r="AF14" s="16"/>
    </row>
    <row r="15" spans="1:32" ht="15.75" thickBot="1" x14ac:dyDescent="0.3">
      <c r="A15">
        <v>45</v>
      </c>
      <c r="T15" s="7">
        <v>7</v>
      </c>
      <c r="V15" s="1">
        <f>X15-W15</f>
        <v>0</v>
      </c>
      <c r="W15" s="16"/>
      <c r="X15" s="16"/>
      <c r="Y15" s="24"/>
      <c r="Z15" s="1">
        <f t="shared" si="0"/>
        <v>0</v>
      </c>
      <c r="AA15" s="16"/>
      <c r="AB15" s="16"/>
      <c r="AC15" s="24"/>
      <c r="AD15" s="1">
        <f t="shared" si="1"/>
        <v>0</v>
      </c>
      <c r="AE15" s="16"/>
      <c r="AF15" s="16"/>
    </row>
    <row r="16" spans="1:32" ht="15.75" thickBot="1" x14ac:dyDescent="0.3">
      <c r="A16">
        <v>40</v>
      </c>
      <c r="D16">
        <f>32*60+23</f>
        <v>1943</v>
      </c>
      <c r="F16" t="s">
        <v>149</v>
      </c>
      <c r="T16" s="7">
        <v>6</v>
      </c>
      <c r="V16" s="1">
        <f>X16-W16</f>
        <v>0</v>
      </c>
      <c r="W16" s="16"/>
      <c r="X16" s="16"/>
      <c r="Z16" s="1">
        <f t="shared" si="0"/>
        <v>0</v>
      </c>
      <c r="AC16" s="24"/>
      <c r="AD16" s="1">
        <f t="shared" si="1"/>
        <v>0</v>
      </c>
    </row>
    <row r="17" spans="1:32" ht="15.75" thickBot="1" x14ac:dyDescent="0.3">
      <c r="A17">
        <v>35</v>
      </c>
      <c r="T17" s="7">
        <v>5</v>
      </c>
      <c r="V17" s="1">
        <f t="shared" ref="V17" si="2">X17-W17</f>
        <v>0</v>
      </c>
      <c r="Z17" s="1">
        <f t="shared" si="0"/>
        <v>0</v>
      </c>
      <c r="AC17" s="24"/>
      <c r="AD17" s="1">
        <f t="shared" si="1"/>
        <v>0</v>
      </c>
    </row>
    <row r="18" spans="1:32" ht="15.75" thickBot="1" x14ac:dyDescent="0.3">
      <c r="A18">
        <v>30</v>
      </c>
      <c r="D18" t="s">
        <v>100</v>
      </c>
      <c r="E18" t="s">
        <v>148</v>
      </c>
      <c r="T18" s="10">
        <v>4</v>
      </c>
      <c r="V18" s="1"/>
      <c r="AC18" s="24"/>
    </row>
    <row r="19" spans="1:32" x14ac:dyDescent="0.25">
      <c r="T19" s="21">
        <v>3</v>
      </c>
      <c r="V19" s="1"/>
      <c r="AC19" s="24"/>
    </row>
    <row r="20" spans="1:32" ht="15.75" thickBot="1" x14ac:dyDescent="0.3">
      <c r="U20" t="s">
        <v>38</v>
      </c>
      <c r="V20" s="1"/>
      <c r="W20" t="s">
        <v>31</v>
      </c>
      <c r="X20" t="s">
        <v>32</v>
      </c>
      <c r="AA20" t="s">
        <v>31</v>
      </c>
      <c r="AB20" t="s">
        <v>32</v>
      </c>
      <c r="AC20" s="24"/>
      <c r="AE20" t="s">
        <v>31</v>
      </c>
      <c r="AF20" t="s">
        <v>32</v>
      </c>
    </row>
    <row r="21" spans="1:32" ht="15.75" thickBot="1" x14ac:dyDescent="0.3">
      <c r="T21" s="7">
        <v>9</v>
      </c>
      <c r="U21">
        <v>135</v>
      </c>
      <c r="V21" s="1">
        <f>X21-W21</f>
        <v>1.5625000000000222E-3</v>
      </c>
      <c r="W21" s="16">
        <v>0.43957175925925923</v>
      </c>
      <c r="X21" s="16">
        <v>0.44113425925925925</v>
      </c>
      <c r="Z21" s="1">
        <f>AB21-AA21</f>
        <v>0</v>
      </c>
      <c r="AA21" s="16"/>
      <c r="AB21" s="16"/>
      <c r="AC21" s="16"/>
      <c r="AD21" s="1">
        <f>AF21-AE21</f>
        <v>0</v>
      </c>
      <c r="AE21" s="16"/>
      <c r="AF21" s="16"/>
    </row>
    <row r="22" spans="1:32" ht="15.75" thickBot="1" x14ac:dyDescent="0.3">
      <c r="T22" s="7">
        <v>8</v>
      </c>
      <c r="U22">
        <v>171</v>
      </c>
      <c r="V22" s="1">
        <f>X22-W22</f>
        <v>1.979166666666643E-3</v>
      </c>
      <c r="W22" s="16">
        <v>0.44128472222222226</v>
      </c>
      <c r="X22" s="16">
        <v>0.4432638888888889</v>
      </c>
      <c r="Y22" s="60"/>
      <c r="Z22" s="1">
        <f t="shared" ref="Z22:Z27" si="3">AB22-AA22</f>
        <v>0</v>
      </c>
      <c r="AA22" s="16"/>
      <c r="AB22" s="16"/>
      <c r="AC22" s="24"/>
      <c r="AD22" s="1">
        <f t="shared" ref="AD22:AD27" si="4">AF22-AE22</f>
        <v>0</v>
      </c>
      <c r="AE22" s="16"/>
      <c r="AF22" s="16"/>
    </row>
    <row r="23" spans="1:32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212</v>
      </c>
      <c r="L23" s="62" t="s">
        <v>147</v>
      </c>
      <c r="M23" s="63" t="s">
        <v>107</v>
      </c>
      <c r="N23" s="61" t="s">
        <v>28</v>
      </c>
      <c r="O23" s="62" t="s">
        <v>147</v>
      </c>
      <c r="P23" s="63" t="s">
        <v>107</v>
      </c>
      <c r="Q23" s="47"/>
      <c r="T23" s="7">
        <v>7</v>
      </c>
      <c r="U23">
        <v>430</v>
      </c>
      <c r="V23" s="1">
        <f>X23-W23</f>
        <v>4.9768518518518157E-3</v>
      </c>
      <c r="W23" s="16">
        <v>0.44337962962962968</v>
      </c>
      <c r="X23" s="16">
        <v>0.44835648148148149</v>
      </c>
      <c r="Z23" s="1">
        <f t="shared" si="3"/>
        <v>0</v>
      </c>
      <c r="AA23" s="16"/>
      <c r="AB23" s="16"/>
      <c r="AC23" s="24"/>
      <c r="AD23" s="1">
        <f t="shared" si="4"/>
        <v>0</v>
      </c>
      <c r="AE23" s="16"/>
      <c r="AF23" s="16"/>
    </row>
    <row r="24" spans="1:32" ht="15.75" thickBot="1" x14ac:dyDescent="0.3">
      <c r="A24" s="7">
        <v>9</v>
      </c>
      <c r="B24" s="64" t="e">
        <f>AVERAGE(U13,Y13,AC13)</f>
        <v>#DIV/0!</v>
      </c>
      <c r="C24" s="47" t="e">
        <f>_xlfn.STDEV.P(U13,Y13,AC13)</f>
        <v>#DIV/0!</v>
      </c>
      <c r="D24" s="65" t="e">
        <f>_xlfn.CONFIDENCE.NORM(0.05,C24,3)</f>
        <v>#DIV/0!</v>
      </c>
      <c r="E24" s="69">
        <f>AVERAGE(U21,Y21,AC21)</f>
        <v>135</v>
      </c>
      <c r="F24" s="47">
        <f>_xlfn.STDEV.P(U21,Y21,AC21)</f>
        <v>0</v>
      </c>
      <c r="G24" s="65" t="e">
        <f>_xlfn.CONFIDENCE.NORM(0.05,F24,3)</f>
        <v>#NUM!</v>
      </c>
      <c r="H24">
        <f>24*60+2</f>
        <v>1442</v>
      </c>
      <c r="I24" s="47" t="e">
        <f>_xlfn.STDEV.P(U37,Y37,AC37)</f>
        <v>#DIV/0!</v>
      </c>
      <c r="J24" s="65" t="e">
        <f>_xlfn.CONFIDENCE.NORM(0.05,I24,3)</f>
        <v>#DIV/0!</v>
      </c>
      <c r="K24" s="64">
        <f>AVERAGE(U47,Y47,AC47)</f>
        <v>112</v>
      </c>
      <c r="L24" s="47"/>
      <c r="M24" s="65"/>
      <c r="N24" s="69">
        <f>AVERAGE(U30,Y30,AC30)</f>
        <v>128</v>
      </c>
      <c r="O24" s="47">
        <f>_xlfn.STDEV.P(U30,Y30,AC30)</f>
        <v>0</v>
      </c>
      <c r="P24" s="65" t="e">
        <f>_xlfn.CONFIDENCE.NORM(0.05,O24,3)</f>
        <v>#NUM!</v>
      </c>
      <c r="Q24" s="47"/>
      <c r="T24" s="7">
        <v>6</v>
      </c>
      <c r="U24">
        <f>51*60+1</f>
        <v>3061</v>
      </c>
      <c r="V24" s="1">
        <f>X24-W24</f>
        <v>3.5428240740740691E-2</v>
      </c>
      <c r="W24" s="16">
        <v>0.44849537037037041</v>
      </c>
      <c r="X24" s="16">
        <v>0.4839236111111111</v>
      </c>
      <c r="Y24" s="24"/>
      <c r="Z24" s="1">
        <f t="shared" si="3"/>
        <v>0</v>
      </c>
      <c r="AA24" s="16"/>
      <c r="AB24" s="16"/>
      <c r="AC24" s="24"/>
      <c r="AD24" s="1">
        <f>AF24-AE24</f>
        <v>0</v>
      </c>
      <c r="AE24" s="16"/>
      <c r="AF24" s="16"/>
    </row>
    <row r="25" spans="1:32" ht="15.75" thickBot="1" x14ac:dyDescent="0.3">
      <c r="A25" s="7">
        <v>8</v>
      </c>
      <c r="B25" s="64" t="e">
        <f t="shared" ref="B25:B26" si="5">AVERAGE(U14,Y14,AC14)</f>
        <v>#DIV/0!</v>
      </c>
      <c r="C25" s="47" t="e">
        <f t="shared" ref="C25:C26" si="6">_xlfn.STDEV.P(U14,Y14,AC14)</f>
        <v>#DIV/0!</v>
      </c>
      <c r="D25" s="65" t="e">
        <f t="shared" ref="D25:D26" si="7">_xlfn.CONFIDENCE.NORM(0.05,C25,3)</f>
        <v>#DIV/0!</v>
      </c>
      <c r="E25" s="69">
        <f t="shared" ref="E25:E27" si="8">AVERAGE(U22,Y22,AC22)</f>
        <v>171</v>
      </c>
      <c r="F25" s="47">
        <f t="shared" ref="F25:F27" si="9">_xlfn.STDEV.P(U22,Y22,AC22)</f>
        <v>0</v>
      </c>
      <c r="G25" s="65" t="e">
        <f t="shared" ref="G25:G27" si="10">_xlfn.CONFIDENCE.NORM(0.05,F25,3)</f>
        <v>#NUM!</v>
      </c>
      <c r="H25">
        <f>85*60+40</f>
        <v>5140</v>
      </c>
      <c r="I25" s="47" t="e">
        <f>_xlfn.STDEV.P(U38,Y38,AC38)</f>
        <v>#DIV/0!</v>
      </c>
      <c r="J25" s="65" t="e">
        <f>_xlfn.CONFIDENCE.NORM(0.05,I25,3)</f>
        <v>#DIV/0!</v>
      </c>
      <c r="K25" s="64">
        <f t="shared" ref="K25:K28" si="11">AVERAGE(U48,Y48,AC48)</f>
        <v>123</v>
      </c>
      <c r="L25" s="47"/>
      <c r="M25" s="65"/>
      <c r="N25" s="69">
        <f t="shared" ref="N25:N30" si="12">AVERAGE(U31,Y31,AC31)</f>
        <v>153</v>
      </c>
      <c r="O25" s="47">
        <f t="shared" ref="O25:O30" si="13">_xlfn.STDEV.P(U31,Y31,AC31)</f>
        <v>0</v>
      </c>
      <c r="P25" s="65" t="e">
        <f t="shared" ref="P25:P30" si="14">_xlfn.CONFIDENCE.NORM(0.05,O25,3)</f>
        <v>#NUM!</v>
      </c>
      <c r="Q25" s="47"/>
      <c r="T25" s="7">
        <v>5</v>
      </c>
      <c r="U25">
        <f>8*60*60+16*60+19</f>
        <v>29779</v>
      </c>
      <c r="V25" s="1">
        <f t="shared" ref="V25:V27" si="15">X25-W25</f>
        <v>0.34466435185185185</v>
      </c>
      <c r="W25" s="16">
        <v>0.48846064814814816</v>
      </c>
      <c r="X25" s="16">
        <v>0.833125</v>
      </c>
      <c r="Y25" s="60"/>
      <c r="Z25" s="1">
        <f t="shared" si="3"/>
        <v>0</v>
      </c>
      <c r="AC25" s="24"/>
      <c r="AD25" s="1">
        <f t="shared" si="4"/>
        <v>0</v>
      </c>
    </row>
    <row r="26" spans="1:32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430</v>
      </c>
      <c r="F26" s="47">
        <f t="shared" si="9"/>
        <v>0</v>
      </c>
      <c r="G26" s="65" t="e">
        <f t="shared" si="10"/>
        <v>#NUM!</v>
      </c>
      <c r="H26" s="8">
        <v>79288</v>
      </c>
      <c r="I26" s="75"/>
      <c r="J26" s="76"/>
      <c r="K26" s="64">
        <f t="shared" si="11"/>
        <v>227</v>
      </c>
      <c r="L26" s="47"/>
      <c r="M26" s="65"/>
      <c r="N26" s="69">
        <f t="shared" si="12"/>
        <v>298</v>
      </c>
      <c r="O26" s="47">
        <f t="shared" si="13"/>
        <v>0</v>
      </c>
      <c r="P26" s="65" t="e">
        <f t="shared" si="14"/>
        <v>#NUM!</v>
      </c>
      <c r="Q26" s="47"/>
      <c r="T26" s="10">
        <v>4</v>
      </c>
      <c r="U26" s="29">
        <f>15*60*60+5</f>
        <v>54005</v>
      </c>
      <c r="V26" s="1">
        <f>X26-W26</f>
        <v>0.62505787037037031</v>
      </c>
      <c r="W26" s="16">
        <v>0.83327546296296295</v>
      </c>
      <c r="X26" s="18">
        <v>1.4583333333333333</v>
      </c>
      <c r="Y26" s="60" t="s">
        <v>211</v>
      </c>
      <c r="Z26" s="1">
        <f>AB26-AA26</f>
        <v>0</v>
      </c>
      <c r="AC26" s="24"/>
      <c r="AD26" s="1">
        <f>AF26-AE26</f>
        <v>0</v>
      </c>
    </row>
    <row r="27" spans="1:32" ht="15.75" thickBot="1" x14ac:dyDescent="0.3">
      <c r="A27" s="7">
        <v>6</v>
      </c>
      <c r="B27" s="64"/>
      <c r="C27" s="47"/>
      <c r="D27" s="65"/>
      <c r="E27" s="69">
        <f t="shared" si="8"/>
        <v>3061</v>
      </c>
      <c r="F27" s="47">
        <f t="shared" si="9"/>
        <v>0</v>
      </c>
      <c r="G27" s="65" t="e">
        <f t="shared" si="10"/>
        <v>#NUM!</v>
      </c>
      <c r="H27" s="74"/>
      <c r="I27" s="75"/>
      <c r="J27" s="76"/>
      <c r="K27" s="64">
        <f t="shared" si="11"/>
        <v>1086</v>
      </c>
      <c r="L27" s="47"/>
      <c r="M27" s="65"/>
      <c r="N27" s="69">
        <f t="shared" si="12"/>
        <v>1545</v>
      </c>
      <c r="O27" s="47">
        <f t="shared" si="13"/>
        <v>0</v>
      </c>
      <c r="P27" s="65" t="e">
        <f t="shared" si="14"/>
        <v>#NUM!</v>
      </c>
      <c r="Q27" s="47"/>
      <c r="T27" s="21">
        <v>3</v>
      </c>
      <c r="V27" s="1">
        <f t="shared" si="15"/>
        <v>0</v>
      </c>
      <c r="W27" s="18"/>
      <c r="X27" s="18"/>
      <c r="Y27" s="60"/>
      <c r="Z27" s="1">
        <f t="shared" si="3"/>
        <v>0</v>
      </c>
      <c r="AC27" s="24"/>
      <c r="AD27" s="1">
        <f t="shared" si="4"/>
        <v>0</v>
      </c>
    </row>
    <row r="28" spans="1:32" ht="15.75" thickBot="1" x14ac:dyDescent="0.3">
      <c r="A28" s="7">
        <v>5</v>
      </c>
      <c r="B28" s="70"/>
      <c r="C28" s="71"/>
      <c r="D28" s="72"/>
      <c r="E28">
        <f>8*60*60+16*60+19</f>
        <v>29779</v>
      </c>
      <c r="F28" s="47">
        <f>_xlfn.STDEV.P(U25,Y25,AC25)</f>
        <v>0</v>
      </c>
      <c r="G28" s="65" t="e">
        <f>_xlfn.CONFIDENCE.NORM(0.05,F28,3)</f>
        <v>#NUM!</v>
      </c>
      <c r="H28" s="70"/>
      <c r="I28" s="71"/>
      <c r="J28" s="72"/>
      <c r="K28" s="64">
        <f t="shared" si="11"/>
        <v>4473</v>
      </c>
      <c r="L28" s="67"/>
      <c r="M28" s="68"/>
      <c r="N28" s="69">
        <f t="shared" si="12"/>
        <v>4663</v>
      </c>
      <c r="O28" s="47">
        <f t="shared" si="13"/>
        <v>0</v>
      </c>
      <c r="P28" s="65" t="e">
        <f t="shared" si="14"/>
        <v>#NUM!</v>
      </c>
      <c r="Q28" s="47"/>
      <c r="V28" s="1"/>
      <c r="AC28" s="24"/>
    </row>
    <row r="29" spans="1:32" ht="15.75" thickBot="1" x14ac:dyDescent="0.3">
      <c r="A29" s="23">
        <v>4</v>
      </c>
      <c r="N29" s="69">
        <f t="shared" si="12"/>
        <v>9732</v>
      </c>
      <c r="O29" s="47">
        <f t="shared" si="13"/>
        <v>0</v>
      </c>
      <c r="P29" s="65" t="e">
        <f t="shared" si="14"/>
        <v>#NUM!</v>
      </c>
      <c r="Q29" s="47"/>
      <c r="U29" t="s">
        <v>192</v>
      </c>
      <c r="V29" s="1"/>
      <c r="W29" t="s">
        <v>31</v>
      </c>
      <c r="X29" t="s">
        <v>32</v>
      </c>
      <c r="AA29" t="s">
        <v>31</v>
      </c>
      <c r="AB29" t="s">
        <v>32</v>
      </c>
      <c r="AC29" s="24"/>
      <c r="AE29" t="s">
        <v>31</v>
      </c>
      <c r="AF29" t="s">
        <v>32</v>
      </c>
    </row>
    <row r="30" spans="1:32" ht="15.75" thickBot="1" x14ac:dyDescent="0.3">
      <c r="A30" s="21">
        <v>3</v>
      </c>
      <c r="N30" s="69" t="e">
        <f t="shared" si="12"/>
        <v>#DIV/0!</v>
      </c>
      <c r="O30" s="47" t="e">
        <f t="shared" si="13"/>
        <v>#DIV/0!</v>
      </c>
      <c r="P30" s="65" t="e">
        <f t="shared" si="14"/>
        <v>#DIV/0!</v>
      </c>
      <c r="Q30" s="47"/>
      <c r="T30" s="7">
        <v>9</v>
      </c>
      <c r="U30">
        <v>128</v>
      </c>
      <c r="V30" s="1">
        <f>X30-W30</f>
        <v>1.4814814814814725E-3</v>
      </c>
      <c r="W30" s="16">
        <v>0.43004629629629632</v>
      </c>
      <c r="X30" s="16">
        <v>0.43152777777777779</v>
      </c>
      <c r="Z30" s="1">
        <f>AB30-AA30</f>
        <v>0</v>
      </c>
      <c r="AA30" s="16"/>
      <c r="AB30" s="16"/>
      <c r="AC30" s="24"/>
      <c r="AD30" s="1">
        <f>AF30-AE30</f>
        <v>0</v>
      </c>
      <c r="AE30" s="16"/>
      <c r="AF30" s="16"/>
    </row>
    <row r="31" spans="1:32" ht="15.75" thickBot="1" x14ac:dyDescent="0.3">
      <c r="T31" s="7">
        <v>8</v>
      </c>
      <c r="U31">
        <v>153</v>
      </c>
      <c r="V31" s="1">
        <f>X31-W31</f>
        <v>1.7708333333333881E-3</v>
      </c>
      <c r="W31" s="16">
        <v>0.43160879629629628</v>
      </c>
      <c r="X31" s="16">
        <v>0.43337962962962967</v>
      </c>
      <c r="Y31" s="60"/>
      <c r="Z31" s="1">
        <f t="shared" ref="Z31:Z34" si="16">AB31-AA31</f>
        <v>0</v>
      </c>
      <c r="AA31" s="16"/>
      <c r="AB31" s="16"/>
      <c r="AC31" s="24"/>
      <c r="AD31" s="1">
        <f t="shared" ref="AD31:AD32" si="17">AF31-AE31</f>
        <v>0</v>
      </c>
      <c r="AE31" s="16"/>
      <c r="AF31" s="16"/>
    </row>
    <row r="32" spans="1:32" ht="15.75" thickBot="1" x14ac:dyDescent="0.3">
      <c r="T32" s="7">
        <v>7</v>
      </c>
      <c r="U32">
        <v>298</v>
      </c>
      <c r="V32" s="1">
        <f>X32-W32</f>
        <v>3.4490740740740766E-3</v>
      </c>
      <c r="W32" s="16">
        <v>0.43346064814814816</v>
      </c>
      <c r="X32" s="16">
        <v>0.43690972222222224</v>
      </c>
      <c r="Z32" s="1">
        <f t="shared" si="16"/>
        <v>0</v>
      </c>
      <c r="AA32" s="16"/>
      <c r="AB32" s="16"/>
      <c r="AC32" s="24"/>
      <c r="AD32" s="1">
        <f t="shared" si="17"/>
        <v>0</v>
      </c>
      <c r="AE32" s="16"/>
      <c r="AF32" s="16"/>
    </row>
    <row r="33" spans="17:32" ht="15.75" thickBot="1" x14ac:dyDescent="0.3">
      <c r="R33" t="s">
        <v>216</v>
      </c>
      <c r="T33" s="7">
        <v>6</v>
      </c>
      <c r="U33">
        <f>25*60+45</f>
        <v>1545</v>
      </c>
      <c r="V33" s="1">
        <f>X33-W33</f>
        <v>1.7881944444444409E-2</v>
      </c>
      <c r="W33" s="16">
        <v>0.43700231481481483</v>
      </c>
      <c r="X33" s="16">
        <v>0.45488425925925924</v>
      </c>
      <c r="Z33" s="1">
        <f t="shared" si="16"/>
        <v>0</v>
      </c>
      <c r="AA33" s="16"/>
      <c r="AB33" s="16"/>
      <c r="AD33" s="1">
        <f>AF33-AE33</f>
        <v>0</v>
      </c>
      <c r="AE33" s="16"/>
      <c r="AF33" s="16"/>
    </row>
    <row r="34" spans="17:32" ht="15.75" thickBot="1" x14ac:dyDescent="0.3">
      <c r="Q34" s="1">
        <f>S34-R34</f>
        <v>6.0960648148148111E-2</v>
      </c>
      <c r="R34" s="18">
        <v>0.45075231481481487</v>
      </c>
      <c r="S34" s="18">
        <v>0.51171296296296298</v>
      </c>
      <c r="T34" s="7">
        <v>5</v>
      </c>
      <c r="U34">
        <f>77*60+43</f>
        <v>4663</v>
      </c>
      <c r="V34" s="1">
        <v>5.3969907407407404E-2</v>
      </c>
      <c r="W34" s="16"/>
      <c r="X34" s="18"/>
      <c r="Z34" s="1">
        <f t="shared" si="16"/>
        <v>0</v>
      </c>
      <c r="AD34" s="1">
        <f t="shared" ref="AD34" si="18">AF34-AE34</f>
        <v>0</v>
      </c>
    </row>
    <row r="35" spans="17:32" ht="15.75" thickBot="1" x14ac:dyDescent="0.3">
      <c r="R35" t="s">
        <v>217</v>
      </c>
      <c r="T35" s="10">
        <v>4</v>
      </c>
      <c r="U35">
        <f>162*60+12</f>
        <v>9732</v>
      </c>
      <c r="V35" s="1">
        <f>X35-W35</f>
        <v>0.11263888888888896</v>
      </c>
      <c r="W35" s="18">
        <v>0.94451388888888888</v>
      </c>
      <c r="X35" s="18">
        <v>1.0571527777777778</v>
      </c>
      <c r="Y35" s="60"/>
      <c r="Z35" s="1">
        <f>AB35-AA35</f>
        <v>0</v>
      </c>
      <c r="AA35" s="16"/>
      <c r="AB35" s="16"/>
      <c r="AC35" s="24"/>
      <c r="AD35" s="1">
        <f>AF35-AE35</f>
        <v>0</v>
      </c>
      <c r="AE35" s="16"/>
      <c r="AF35" s="16"/>
    </row>
    <row r="36" spans="17:32" ht="15.75" thickBot="1" x14ac:dyDescent="0.3">
      <c r="Q36" s="1">
        <f>S36-R36</f>
        <v>5.4467592592592595E-2</v>
      </c>
      <c r="R36" s="18">
        <v>0.51747685185185188</v>
      </c>
      <c r="S36" s="18">
        <v>0.57194444444444448</v>
      </c>
      <c r="T36" s="21">
        <v>3</v>
      </c>
      <c r="V36" s="1">
        <f t="shared" ref="V36" si="19">X36-W36</f>
        <v>0</v>
      </c>
      <c r="W36" s="16"/>
      <c r="X36" s="16"/>
      <c r="Y36" s="60"/>
      <c r="Z36" s="1">
        <f t="shared" ref="Z36" si="20">AB36-AA36</f>
        <v>0</v>
      </c>
      <c r="AC36" s="24"/>
      <c r="AD36" s="1">
        <f t="shared" ref="AD36" si="21">AF36-AE36</f>
        <v>0</v>
      </c>
    </row>
    <row r="37" spans="17:32" ht="15.75" thickBot="1" x14ac:dyDescent="0.3">
      <c r="Q37" s="1">
        <f>S37-R37</f>
        <v>5.6319444444444478E-2</v>
      </c>
      <c r="R37" s="18">
        <v>0.76572916666666668</v>
      </c>
      <c r="S37" s="18">
        <v>0.82204861111111116</v>
      </c>
      <c r="T37" s="7"/>
      <c r="V37" s="1">
        <f>X37-W37</f>
        <v>0</v>
      </c>
      <c r="W37" s="18"/>
      <c r="X37" s="18"/>
      <c r="Y37" s="60"/>
      <c r="Z37" s="1">
        <f>AB37-AA37</f>
        <v>0</v>
      </c>
      <c r="AA37" s="16"/>
      <c r="AB37" s="16"/>
      <c r="AC37" s="60"/>
      <c r="AD37" s="1">
        <f>AF37-AE37</f>
        <v>0</v>
      </c>
      <c r="AE37" s="16"/>
      <c r="AF37" s="16"/>
    </row>
    <row r="38" spans="17:32" ht="15.75" thickBot="1" x14ac:dyDescent="0.3">
      <c r="Q38" s="1">
        <f>S38-R38</f>
        <v>5.4444444444444517E-2</v>
      </c>
      <c r="R38" s="18">
        <v>0.52728009259259256</v>
      </c>
      <c r="S38" s="17">
        <v>0.58172453703703708</v>
      </c>
      <c r="T38" s="7"/>
      <c r="V38" s="1">
        <f t="shared" ref="V38" si="22">X38-W38</f>
        <v>0</v>
      </c>
      <c r="W38" s="18"/>
      <c r="X38" s="18"/>
      <c r="Z38" s="1">
        <f t="shared" ref="Z38" si="23">AB38-AA38</f>
        <v>0</v>
      </c>
      <c r="AA38" s="16"/>
      <c r="AB38" s="16"/>
      <c r="AC38" s="24"/>
      <c r="AD38" s="1">
        <f t="shared" ref="AD38" si="24">AF38-AE38</f>
        <v>0</v>
      </c>
      <c r="AE38" s="16"/>
      <c r="AF38" s="16"/>
    </row>
    <row r="39" spans="17:32" ht="15.75" thickBot="1" x14ac:dyDescent="0.3">
      <c r="Q39" s="1">
        <f>S39-R39</f>
        <v>5.4814814814814872E-2</v>
      </c>
      <c r="R39" s="18">
        <v>0.59354166666666663</v>
      </c>
      <c r="S39" s="18">
        <v>0.64835648148148151</v>
      </c>
      <c r="T39" s="7"/>
      <c r="V39" s="1"/>
      <c r="W39" t="s">
        <v>146</v>
      </c>
      <c r="AC39" s="24"/>
    </row>
    <row r="40" spans="17:32" ht="15.75" thickBot="1" x14ac:dyDescent="0.3">
      <c r="T40" s="7"/>
      <c r="V40" s="1"/>
      <c r="AC40" s="24"/>
    </row>
    <row r="41" spans="17:32" ht="15.75" thickBot="1" x14ac:dyDescent="0.3">
      <c r="Q41" s="1">
        <f>S41-R41</f>
        <v>5.4560185185185239E-2</v>
      </c>
      <c r="R41" s="18">
        <v>0.74858796296296293</v>
      </c>
      <c r="S41" s="18">
        <v>0.80314814814814817</v>
      </c>
      <c r="T41" s="7"/>
      <c r="V41" s="1"/>
      <c r="AC41" s="24"/>
    </row>
    <row r="42" spans="17:32" ht="15.75" thickBot="1" x14ac:dyDescent="0.3">
      <c r="T42" s="10"/>
      <c r="V42" s="1"/>
      <c r="AC42" s="24"/>
    </row>
    <row r="43" spans="17:32" x14ac:dyDescent="0.25">
      <c r="T43" s="21"/>
      <c r="V43" s="1"/>
      <c r="AC43" s="24"/>
    </row>
    <row r="46" spans="17:32" ht="15.75" thickBot="1" x14ac:dyDescent="0.3">
      <c r="U46" t="s">
        <v>213</v>
      </c>
      <c r="V46" s="1"/>
      <c r="W46" t="s">
        <v>31</v>
      </c>
      <c r="X46" t="s">
        <v>32</v>
      </c>
      <c r="AA46" t="s">
        <v>31</v>
      </c>
      <c r="AB46" t="s">
        <v>32</v>
      </c>
    </row>
    <row r="47" spans="17:32" ht="15.75" thickBot="1" x14ac:dyDescent="0.3">
      <c r="T47" s="7">
        <v>9</v>
      </c>
      <c r="U47">
        <v>112</v>
      </c>
      <c r="V47" s="1">
        <f>X47-W47</f>
        <v>1.2962962962962954E-3</v>
      </c>
      <c r="W47" s="16">
        <v>0.49781249999999999</v>
      </c>
      <c r="X47" s="16">
        <v>0.49910879629629629</v>
      </c>
      <c r="Z47" s="1">
        <f>AB47-AA47</f>
        <v>0</v>
      </c>
      <c r="AA47" s="16"/>
      <c r="AB47" s="16"/>
    </row>
    <row r="48" spans="17:32" ht="15.75" thickBot="1" x14ac:dyDescent="0.3">
      <c r="T48" s="7">
        <v>8</v>
      </c>
      <c r="U48">
        <v>123</v>
      </c>
      <c r="V48" s="1">
        <f>X48-W48</f>
        <v>1.4236111111111671E-3</v>
      </c>
      <c r="W48" s="16">
        <v>0.49922453703703701</v>
      </c>
      <c r="X48" s="16">
        <v>0.50064814814814818</v>
      </c>
      <c r="Y48" s="60"/>
      <c r="Z48" s="1">
        <f t="shared" ref="Z48:Z54" si="25">AB48-AA48</f>
        <v>1.5856481481481E-3</v>
      </c>
      <c r="AA48" s="18">
        <v>0.80318287037037039</v>
      </c>
      <c r="AB48" s="18">
        <v>0.80476851851851849</v>
      </c>
    </row>
    <row r="49" spans="20:28" ht="15.75" thickBot="1" x14ac:dyDescent="0.3">
      <c r="T49" s="7">
        <v>7</v>
      </c>
      <c r="U49">
        <v>227</v>
      </c>
      <c r="V49" s="1">
        <f>X49-W49</f>
        <v>2.6273148148148184E-3</v>
      </c>
      <c r="W49" s="16">
        <v>0.5007638888888889</v>
      </c>
      <c r="X49" s="16">
        <v>0.50339120370370372</v>
      </c>
      <c r="Z49" s="1">
        <f t="shared" si="25"/>
        <v>2.6851851851851238E-3</v>
      </c>
      <c r="AA49" s="18">
        <v>0.8049074074074074</v>
      </c>
      <c r="AB49" s="18">
        <v>0.80759259259259253</v>
      </c>
    </row>
    <row r="50" spans="20:28" ht="15.75" thickBot="1" x14ac:dyDescent="0.3">
      <c r="T50" s="7">
        <v>6</v>
      </c>
      <c r="U50">
        <f>18*60+6</f>
        <v>1086</v>
      </c>
      <c r="V50" s="1">
        <f>X50-W50</f>
        <v>1.2569444444444411E-2</v>
      </c>
      <c r="W50" s="16">
        <v>0.5034953703703704</v>
      </c>
      <c r="X50" s="16">
        <v>0.51606481481481481</v>
      </c>
      <c r="Z50" s="1">
        <f t="shared" si="25"/>
        <v>1.2986111111111032E-2</v>
      </c>
      <c r="AA50" s="16">
        <v>0.80770833333333336</v>
      </c>
      <c r="AB50" s="18">
        <v>0.82069444444444439</v>
      </c>
    </row>
    <row r="51" spans="20:28" ht="15.75" thickBot="1" x14ac:dyDescent="0.3">
      <c r="T51" s="7">
        <v>5</v>
      </c>
      <c r="U51">
        <f>74*60+33</f>
        <v>4473</v>
      </c>
      <c r="V51" s="1">
        <f t="shared" ref="V51" si="26">X51-W51</f>
        <v>5.1770833333333321E-2</v>
      </c>
      <c r="W51" s="16">
        <v>0.65302083333333327</v>
      </c>
      <c r="X51" s="16">
        <v>0.70479166666666659</v>
      </c>
      <c r="Z51" s="1">
        <f t="shared" si="25"/>
        <v>0</v>
      </c>
    </row>
    <row r="52" spans="20:28" ht="15.75" thickBot="1" x14ac:dyDescent="0.3">
      <c r="T52" s="10">
        <v>4</v>
      </c>
      <c r="V52" s="1">
        <f>X52-W52</f>
        <v>9.5011574074074012E-2</v>
      </c>
      <c r="W52" s="16">
        <v>0.70719907407407412</v>
      </c>
      <c r="X52" s="18">
        <v>0.80221064814814813</v>
      </c>
      <c r="Y52" s="60"/>
      <c r="Z52" s="1">
        <f t="shared" si="25"/>
        <v>0</v>
      </c>
      <c r="AB52" s="16"/>
    </row>
    <row r="53" spans="20:28" ht="15.75" thickBot="1" x14ac:dyDescent="0.3">
      <c r="T53" s="21">
        <v>3</v>
      </c>
      <c r="V53" s="1">
        <f t="shared" ref="V53" si="27">X53-W53</f>
        <v>0</v>
      </c>
      <c r="W53" s="16"/>
      <c r="X53" s="16"/>
      <c r="Y53" s="60"/>
      <c r="Z53" s="1">
        <f t="shared" si="25"/>
        <v>0</v>
      </c>
    </row>
    <row r="54" spans="20:28" ht="15.75" thickBot="1" x14ac:dyDescent="0.3">
      <c r="T54" s="7"/>
      <c r="V54" s="1">
        <f>X54-W54</f>
        <v>0</v>
      </c>
      <c r="W54" s="18"/>
      <c r="X54" s="18"/>
      <c r="Y54" s="60"/>
      <c r="Z54" s="1">
        <f t="shared" si="25"/>
        <v>0</v>
      </c>
      <c r="AA54" s="16"/>
      <c r="AB54" s="16"/>
    </row>
    <row r="55" spans="20:28" ht="15.75" thickBot="1" x14ac:dyDescent="0.3">
      <c r="T55" s="7"/>
      <c r="V55" s="1">
        <f t="shared" ref="V55" si="28">X55-W55</f>
        <v>0</v>
      </c>
      <c r="W55" s="18"/>
      <c r="X55" s="18"/>
      <c r="Z55" s="1">
        <f t="shared" ref="Z55" si="29">AB55-AA55</f>
        <v>0</v>
      </c>
      <c r="AA55" s="16"/>
      <c r="AB55" s="16"/>
    </row>
    <row r="56" spans="20:28" ht="15.75" thickBot="1" x14ac:dyDescent="0.3">
      <c r="T56" s="7"/>
      <c r="V56" s="1"/>
    </row>
    <row r="57" spans="20:28" ht="15.75" thickBot="1" x14ac:dyDescent="0.3">
      <c r="T57" s="7"/>
      <c r="V57" s="1"/>
    </row>
    <row r="58" spans="20:28" ht="15.75" thickBot="1" x14ac:dyDescent="0.3">
      <c r="T58" s="7"/>
      <c r="V58" s="1"/>
    </row>
    <row r="59" spans="20:28" ht="15.75" thickBot="1" x14ac:dyDescent="0.3">
      <c r="T59" s="10"/>
      <c r="V59" s="1"/>
    </row>
    <row r="60" spans="20:28" x14ac:dyDescent="0.25">
      <c r="T60" s="21"/>
      <c r="V60" s="1"/>
    </row>
    <row r="62" spans="20:28" ht="15.75" thickBot="1" x14ac:dyDescent="0.3">
      <c r="U62" t="s">
        <v>95</v>
      </c>
      <c r="V62" s="1"/>
      <c r="W62" t="s">
        <v>31</v>
      </c>
      <c r="X62" t="s">
        <v>32</v>
      </c>
      <c r="AA62" t="s">
        <v>31</v>
      </c>
      <c r="AB62" t="s">
        <v>32</v>
      </c>
    </row>
    <row r="63" spans="20:28" ht="15.75" thickBot="1" x14ac:dyDescent="0.3">
      <c r="T63" s="7">
        <v>9</v>
      </c>
      <c r="U63">
        <f>24*60+2</f>
        <v>1442</v>
      </c>
      <c r="V63" s="1">
        <f t="shared" ref="V63:V64" si="30">X63-W63</f>
        <v>1.6689814814814852E-2</v>
      </c>
      <c r="W63" s="18">
        <v>0.47401620370370368</v>
      </c>
      <c r="X63" s="18">
        <v>0.49070601851851853</v>
      </c>
      <c r="Z63" s="1">
        <f>AB63-AA63</f>
        <v>0</v>
      </c>
      <c r="AA63" s="16"/>
      <c r="AB63" s="16"/>
    </row>
    <row r="64" spans="20:28" ht="15.75" thickBot="1" x14ac:dyDescent="0.3">
      <c r="T64" s="7">
        <v>8</v>
      </c>
      <c r="U64">
        <f>85*60+40</f>
        <v>5140</v>
      </c>
      <c r="V64" s="1">
        <f t="shared" si="30"/>
        <v>5.9490740740740733E-2</v>
      </c>
      <c r="W64" s="18">
        <v>0.49082175925925925</v>
      </c>
      <c r="X64" s="18">
        <v>0.55031249999999998</v>
      </c>
      <c r="Y64" s="60"/>
      <c r="Z64" s="1">
        <f t="shared" ref="Z64:Z67" si="31">AB64-AA64</f>
        <v>0</v>
      </c>
      <c r="AA64" s="16"/>
      <c r="AB64" s="16"/>
    </row>
    <row r="65" spans="20:28" ht="15.75" thickBot="1" x14ac:dyDescent="0.3">
      <c r="T65" s="7">
        <v>7</v>
      </c>
      <c r="U65" s="8">
        <v>79288</v>
      </c>
      <c r="V65" s="1">
        <f t="shared" ref="V65" si="32">X65-W65</f>
        <v>0</v>
      </c>
      <c r="W65" s="60"/>
      <c r="X65" s="60"/>
      <c r="Z65" s="1">
        <f t="shared" si="31"/>
        <v>0</v>
      </c>
      <c r="AA65" s="16"/>
      <c r="AB65" s="16"/>
    </row>
    <row r="66" spans="20:28" ht="15.75" thickBot="1" x14ac:dyDescent="0.3">
      <c r="T66" s="7">
        <v>6</v>
      </c>
      <c r="V66" s="1">
        <f>X66-W66</f>
        <v>0</v>
      </c>
      <c r="W66" s="16"/>
      <c r="X66" s="16"/>
      <c r="Z66" s="1">
        <f t="shared" si="31"/>
        <v>0</v>
      </c>
      <c r="AA66" s="16"/>
      <c r="AB66" s="16"/>
    </row>
    <row r="67" spans="20:28" ht="15.75" thickBot="1" x14ac:dyDescent="0.3">
      <c r="T67" s="7">
        <v>5</v>
      </c>
      <c r="V67" s="1">
        <f t="shared" ref="V67" si="33">X67-W67</f>
        <v>0</v>
      </c>
      <c r="W67" s="16"/>
      <c r="X67" s="18"/>
      <c r="Z67" s="1">
        <f t="shared" si="31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7" sqref="F27"/>
    </sheetView>
  </sheetViews>
  <sheetFormatPr defaultRowHeight="15" x14ac:dyDescent="0.25"/>
  <cols>
    <col min="4" max="4" width="12.7109375" customWidth="1"/>
  </cols>
  <sheetData>
    <row r="1" spans="1:7" ht="39.75" thickBot="1" x14ac:dyDescent="0.3">
      <c r="A1" s="3" t="s">
        <v>4</v>
      </c>
      <c r="B1" s="3" t="s">
        <v>28</v>
      </c>
      <c r="C1" s="6" t="s">
        <v>11</v>
      </c>
      <c r="D1" s="3" t="s">
        <v>10</v>
      </c>
      <c r="E1" s="6" t="s">
        <v>41</v>
      </c>
      <c r="F1" s="6" t="s">
        <v>38</v>
      </c>
    </row>
    <row r="2" spans="1:7" ht="15.75" thickBot="1" x14ac:dyDescent="0.3">
      <c r="A2" s="4">
        <v>30</v>
      </c>
      <c r="B2" s="4">
        <v>105</v>
      </c>
      <c r="C2">
        <v>35</v>
      </c>
      <c r="D2" s="3">
        <v>267</v>
      </c>
      <c r="G2" t="s">
        <v>5</v>
      </c>
    </row>
    <row r="3" spans="1:7" ht="15.75" thickBot="1" x14ac:dyDescent="0.3">
      <c r="A3" s="4">
        <v>29</v>
      </c>
      <c r="B3" s="4">
        <v>104</v>
      </c>
      <c r="C3">
        <v>35</v>
      </c>
      <c r="D3" s="5">
        <v>271</v>
      </c>
    </row>
    <row r="4" spans="1:7" ht="15.75" thickBot="1" x14ac:dyDescent="0.3">
      <c r="A4" s="4">
        <v>28</v>
      </c>
      <c r="B4" s="4">
        <v>105</v>
      </c>
      <c r="C4">
        <v>36</v>
      </c>
      <c r="D4" s="5">
        <v>279</v>
      </c>
      <c r="E4">
        <v>240</v>
      </c>
    </row>
    <row r="5" spans="1:7" ht="15.75" thickBot="1" x14ac:dyDescent="0.3">
      <c r="A5" s="4">
        <v>27</v>
      </c>
      <c r="B5" s="4">
        <v>113</v>
      </c>
      <c r="C5">
        <v>36</v>
      </c>
      <c r="D5" s="5">
        <v>275</v>
      </c>
      <c r="E5">
        <v>295</v>
      </c>
    </row>
    <row r="6" spans="1:7" ht="15.75" thickBot="1" x14ac:dyDescent="0.3">
      <c r="A6" s="4">
        <v>26</v>
      </c>
      <c r="B6" s="4">
        <v>116</v>
      </c>
      <c r="C6">
        <v>36</v>
      </c>
      <c r="D6" s="3">
        <v>279</v>
      </c>
      <c r="E6">
        <v>296</v>
      </c>
    </row>
    <row r="7" spans="1:7" ht="15.75" thickBot="1" x14ac:dyDescent="0.3">
      <c r="A7" s="4">
        <v>25</v>
      </c>
      <c r="B7" s="4">
        <v>116</v>
      </c>
      <c r="C7" s="15">
        <v>36</v>
      </c>
      <c r="D7" s="4">
        <v>489</v>
      </c>
      <c r="E7" s="15">
        <v>362</v>
      </c>
    </row>
    <row r="8" spans="1:7" ht="15.75" thickBot="1" x14ac:dyDescent="0.3">
      <c r="A8" s="4">
        <v>24</v>
      </c>
      <c r="B8" s="4">
        <v>120</v>
      </c>
      <c r="C8">
        <v>37</v>
      </c>
      <c r="D8" s="3"/>
    </row>
    <row r="9" spans="1:7" ht="15.75" thickBot="1" x14ac:dyDescent="0.3">
      <c r="A9" s="4">
        <v>23</v>
      </c>
      <c r="B9" s="4">
        <v>354</v>
      </c>
      <c r="C9">
        <v>39</v>
      </c>
      <c r="D9" s="5"/>
    </row>
    <row r="10" spans="1:7" ht="15.75" thickBot="1" x14ac:dyDescent="0.3">
      <c r="A10" s="4">
        <v>22</v>
      </c>
      <c r="B10" s="4">
        <v>662</v>
      </c>
      <c r="C10" s="5">
        <v>104</v>
      </c>
    </row>
    <row r="11" spans="1:7" ht="15.75" thickBot="1" x14ac:dyDescent="0.3">
      <c r="A11" s="4">
        <v>21</v>
      </c>
      <c r="B11" s="4">
        <v>4017</v>
      </c>
      <c r="C11" s="5">
        <v>768</v>
      </c>
    </row>
    <row r="12" spans="1:7" ht="15.75" thickBot="1" x14ac:dyDescent="0.3">
      <c r="A12" s="4">
        <v>20</v>
      </c>
      <c r="B12" s="4">
        <v>22011</v>
      </c>
      <c r="C12" s="5"/>
    </row>
    <row r="14" spans="1:7" x14ac:dyDescent="0.25">
      <c r="C14" t="s">
        <v>23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7"/>
  <sheetViews>
    <sheetView topLeftCell="H10" workbookViewId="0">
      <selection activeCell="O44" sqref="O44"/>
    </sheetView>
  </sheetViews>
  <sheetFormatPr defaultRowHeight="15" x14ac:dyDescent="0.25"/>
  <sheetData>
    <row r="1" spans="1:20" x14ac:dyDescent="0.25">
      <c r="A1" t="s">
        <v>102</v>
      </c>
      <c r="C1" s="93"/>
      <c r="D1" s="93"/>
      <c r="E1" s="94" t="s">
        <v>44</v>
      </c>
      <c r="F1" s="95" t="s">
        <v>31</v>
      </c>
      <c r="G1" s="93" t="s">
        <v>32</v>
      </c>
      <c r="H1" s="93"/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x14ac:dyDescent="0.25">
      <c r="A2" t="s">
        <v>101</v>
      </c>
      <c r="C2" s="93"/>
      <c r="D2" s="93">
        <f>124*60+14</f>
        <v>7454</v>
      </c>
      <c r="E2" s="96">
        <f>G2-F2</f>
        <v>8.6273148148148127E-2</v>
      </c>
      <c r="F2" s="18">
        <v>0.91724537037037035</v>
      </c>
      <c r="G2" s="18">
        <v>1.0035185185185185</v>
      </c>
      <c r="H2" s="93"/>
      <c r="J2" s="28">
        <v>10</v>
      </c>
      <c r="K2" s="26"/>
      <c r="L2" s="25"/>
      <c r="M2" s="16"/>
      <c r="N2" s="16"/>
      <c r="O2" s="27"/>
      <c r="Q2" s="28">
        <v>10</v>
      </c>
      <c r="R2" s="25"/>
      <c r="S2" s="26"/>
      <c r="T2" s="27"/>
    </row>
    <row r="3" spans="1:20" x14ac:dyDescent="0.25">
      <c r="A3" t="s">
        <v>101</v>
      </c>
      <c r="C3" s="93"/>
      <c r="D3" s="93"/>
      <c r="E3" s="96">
        <f t="shared" ref="E3:E52" si="0">G3-F3</f>
        <v>0</v>
      </c>
      <c r="F3" s="95"/>
      <c r="G3" s="96"/>
      <c r="H3" s="93"/>
      <c r="J3" s="28">
        <v>100</v>
      </c>
      <c r="K3" s="26"/>
      <c r="L3" s="25"/>
      <c r="M3" s="16"/>
      <c r="N3" s="16"/>
      <c r="O3" s="27"/>
      <c r="Q3" s="28">
        <v>100</v>
      </c>
      <c r="R3" s="25"/>
      <c r="S3" s="26"/>
      <c r="T3" s="27"/>
    </row>
    <row r="4" spans="1:20" x14ac:dyDescent="0.25">
      <c r="A4" t="s">
        <v>101</v>
      </c>
      <c r="C4" s="93"/>
      <c r="D4" s="93"/>
      <c r="E4" s="96">
        <f t="shared" si="0"/>
        <v>0</v>
      </c>
      <c r="F4" s="95"/>
      <c r="G4" s="96"/>
      <c r="H4" s="93"/>
      <c r="J4" s="28">
        <v>1000</v>
      </c>
      <c r="K4" s="26"/>
      <c r="L4" s="25"/>
      <c r="M4" s="16"/>
      <c r="N4" s="16"/>
      <c r="Q4" s="28">
        <v>1000</v>
      </c>
      <c r="R4" s="25"/>
      <c r="S4" s="26"/>
    </row>
    <row r="5" spans="1:20" x14ac:dyDescent="0.25">
      <c r="A5" t="s">
        <v>105</v>
      </c>
      <c r="C5" s="93"/>
      <c r="D5" s="93">
        <f>81*60+1</f>
        <v>4861</v>
      </c>
      <c r="E5" s="96">
        <f t="shared" si="0"/>
        <v>5.6261574074074068E-2</v>
      </c>
      <c r="F5" s="18">
        <v>3.6111111111111114E-3</v>
      </c>
      <c r="G5" s="18">
        <v>5.9872685185185182E-2</v>
      </c>
      <c r="H5" s="93"/>
      <c r="J5" s="28">
        <v>10000</v>
      </c>
      <c r="K5" s="26"/>
      <c r="L5" s="25"/>
      <c r="M5" s="16"/>
      <c r="N5" s="16"/>
      <c r="Q5" s="28">
        <v>10000</v>
      </c>
      <c r="R5" s="25"/>
      <c r="S5" s="26"/>
    </row>
    <row r="6" spans="1:20" x14ac:dyDescent="0.25">
      <c r="A6" t="s">
        <v>105</v>
      </c>
      <c r="C6" s="93"/>
      <c r="D6" s="93"/>
      <c r="E6" s="96">
        <f t="shared" si="0"/>
        <v>0</v>
      </c>
      <c r="F6" s="95"/>
      <c r="G6" s="96"/>
      <c r="H6" s="93"/>
      <c r="J6" s="28">
        <v>100000</v>
      </c>
      <c r="K6" s="26"/>
      <c r="L6" s="25"/>
      <c r="M6" s="16"/>
      <c r="N6" s="16"/>
      <c r="Q6" s="28">
        <v>100000</v>
      </c>
      <c r="R6" s="25"/>
      <c r="S6" s="26"/>
    </row>
    <row r="7" spans="1:20" x14ac:dyDescent="0.25">
      <c r="A7" t="s">
        <v>105</v>
      </c>
      <c r="C7" s="93"/>
      <c r="D7" s="93"/>
      <c r="E7" s="96">
        <f t="shared" si="0"/>
        <v>0</v>
      </c>
      <c r="F7" s="95"/>
      <c r="G7" s="96"/>
      <c r="H7" s="93"/>
      <c r="J7" s="28">
        <v>1000000</v>
      </c>
      <c r="K7" s="26"/>
      <c r="L7" s="25"/>
      <c r="M7" s="16"/>
      <c r="N7" s="16"/>
      <c r="Q7" s="28">
        <v>1000000</v>
      </c>
      <c r="R7" s="25"/>
      <c r="S7" s="26"/>
    </row>
    <row r="8" spans="1:20" x14ac:dyDescent="0.25">
      <c r="A8" t="s">
        <v>110</v>
      </c>
      <c r="C8" s="93"/>
      <c r="D8" s="93">
        <f>76*60+52</f>
        <v>4612</v>
      </c>
      <c r="E8" s="96">
        <f t="shared" si="0"/>
        <v>5.3379629629629624E-2</v>
      </c>
      <c r="F8" s="18">
        <v>6.1550925925925926E-2</v>
      </c>
      <c r="G8" s="18">
        <v>0.11493055555555555</v>
      </c>
      <c r="H8" s="93"/>
      <c r="J8" s="28">
        <v>10000000</v>
      </c>
      <c r="K8" s="26"/>
      <c r="L8" s="25"/>
      <c r="M8" s="16"/>
      <c r="N8" s="16"/>
      <c r="Q8" s="28">
        <v>10000000</v>
      </c>
      <c r="R8" s="25"/>
      <c r="S8" s="26"/>
    </row>
    <row r="9" spans="1:20" x14ac:dyDescent="0.25">
      <c r="A9" t="s">
        <v>110</v>
      </c>
      <c r="C9" s="93"/>
      <c r="D9" s="93"/>
      <c r="E9" s="96">
        <f t="shared" si="0"/>
        <v>0</v>
      </c>
      <c r="F9" s="95"/>
      <c r="G9" s="96"/>
      <c r="H9" s="93"/>
      <c r="J9" s="28">
        <v>100000000</v>
      </c>
      <c r="K9" s="26"/>
      <c r="L9" s="25"/>
      <c r="M9" s="16"/>
      <c r="Q9" s="28">
        <v>100000000</v>
      </c>
      <c r="R9" s="25"/>
      <c r="S9" s="26"/>
    </row>
    <row r="10" spans="1:20" x14ac:dyDescent="0.25">
      <c r="A10" t="s">
        <v>110</v>
      </c>
      <c r="C10" s="93"/>
      <c r="D10" s="93"/>
      <c r="E10" s="96">
        <f t="shared" si="0"/>
        <v>0</v>
      </c>
      <c r="F10" s="95"/>
      <c r="G10" s="96"/>
      <c r="H10" s="93"/>
    </row>
    <row r="11" spans="1:20" x14ac:dyDescent="0.25">
      <c r="A11" t="s">
        <v>111</v>
      </c>
      <c r="C11" s="93"/>
      <c r="D11" s="93">
        <f>115*60+46</f>
        <v>6946</v>
      </c>
      <c r="E11" s="96">
        <f t="shared" si="0"/>
        <v>8.0393518518518531E-2</v>
      </c>
      <c r="F11" s="18">
        <v>0.15540509259259258</v>
      </c>
      <c r="G11" s="18">
        <v>0.23579861111111111</v>
      </c>
      <c r="H11" s="93"/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C12" s="93"/>
      <c r="D12" s="93"/>
      <c r="E12" s="96">
        <f t="shared" si="0"/>
        <v>0</v>
      </c>
      <c r="F12" s="95"/>
      <c r="G12" s="96"/>
      <c r="H12" s="93"/>
      <c r="J12" s="28">
        <v>10</v>
      </c>
      <c r="K12" s="26"/>
      <c r="L12" s="25"/>
      <c r="M12" s="16"/>
      <c r="N12" s="16"/>
      <c r="O12" s="27"/>
    </row>
    <row r="13" spans="1:20" x14ac:dyDescent="0.25">
      <c r="A13" t="s">
        <v>111</v>
      </c>
      <c r="C13" s="93"/>
      <c r="D13" s="93"/>
      <c r="E13" s="96">
        <f t="shared" si="0"/>
        <v>0</v>
      </c>
      <c r="F13" s="95"/>
      <c r="G13" s="96"/>
      <c r="H13" s="93"/>
      <c r="J13" s="28">
        <v>100</v>
      </c>
      <c r="K13" s="26"/>
      <c r="L13" s="25"/>
      <c r="M13" s="16"/>
      <c r="N13" s="16"/>
      <c r="O13" s="27"/>
    </row>
    <row r="14" spans="1:20" x14ac:dyDescent="0.25">
      <c r="A14" t="s">
        <v>112</v>
      </c>
      <c r="C14" s="93"/>
      <c r="D14" s="93">
        <f>124*60+35</f>
        <v>7475</v>
      </c>
      <c r="E14" s="96">
        <f t="shared" si="0"/>
        <v>8.6516203703703692E-2</v>
      </c>
      <c r="F14" s="18">
        <v>0.23587962962962963</v>
      </c>
      <c r="G14" s="18">
        <v>0.32239583333333333</v>
      </c>
      <c r="H14" s="93"/>
      <c r="J14" s="28">
        <v>1000</v>
      </c>
      <c r="K14" s="26"/>
      <c r="L14" s="25"/>
      <c r="M14" s="16"/>
      <c r="N14" s="16"/>
    </row>
    <row r="15" spans="1:20" x14ac:dyDescent="0.25">
      <c r="A15" t="s">
        <v>112</v>
      </c>
      <c r="C15" s="93"/>
      <c r="D15" s="93"/>
      <c r="E15" s="96">
        <f t="shared" si="0"/>
        <v>0</v>
      </c>
      <c r="F15" s="95"/>
      <c r="G15" s="96"/>
      <c r="H15" s="93"/>
      <c r="J15" s="28">
        <v>10000</v>
      </c>
      <c r="K15" s="26"/>
      <c r="L15" s="25"/>
      <c r="M15" s="16"/>
      <c r="N15" s="16"/>
    </row>
    <row r="16" spans="1:20" x14ac:dyDescent="0.25">
      <c r="A16" t="s">
        <v>112</v>
      </c>
      <c r="C16" s="93"/>
      <c r="D16" s="93"/>
      <c r="E16" s="96">
        <f t="shared" si="0"/>
        <v>0</v>
      </c>
      <c r="F16" s="95"/>
      <c r="G16" s="96"/>
      <c r="H16" s="93"/>
      <c r="J16" s="28">
        <v>100000</v>
      </c>
      <c r="K16" s="26"/>
      <c r="L16" s="25"/>
      <c r="M16" s="16"/>
      <c r="N16" s="16"/>
    </row>
    <row r="17" spans="1:15" x14ac:dyDescent="0.25">
      <c r="A17" t="s">
        <v>113</v>
      </c>
      <c r="C17" s="93"/>
      <c r="D17" s="93">
        <f>108*60+36</f>
        <v>6516</v>
      </c>
      <c r="E17" s="96">
        <f t="shared" si="0"/>
        <v>7.5416666666666687E-2</v>
      </c>
      <c r="F17" s="18">
        <v>0.32252314814814814</v>
      </c>
      <c r="G17" s="18">
        <v>0.39793981481481483</v>
      </c>
      <c r="H17" s="93"/>
      <c r="J17" s="28">
        <v>1000000</v>
      </c>
      <c r="K17" s="26"/>
      <c r="L17" s="25"/>
      <c r="M17" s="16"/>
      <c r="N17" s="16"/>
    </row>
    <row r="18" spans="1:15" x14ac:dyDescent="0.25">
      <c r="A18" t="s">
        <v>113</v>
      </c>
      <c r="C18" s="93"/>
      <c r="D18" s="93"/>
      <c r="E18" s="96">
        <f t="shared" si="0"/>
        <v>0</v>
      </c>
      <c r="F18" s="99"/>
      <c r="G18" s="96"/>
      <c r="H18" s="93"/>
      <c r="J18" s="28">
        <v>10000000</v>
      </c>
      <c r="K18" s="26"/>
      <c r="L18" s="25"/>
      <c r="M18" s="16"/>
      <c r="N18" s="16"/>
    </row>
    <row r="19" spans="1:15" x14ac:dyDescent="0.25">
      <c r="A19" t="s">
        <v>113</v>
      </c>
      <c r="C19" s="93"/>
      <c r="D19" s="93"/>
      <c r="E19" s="96">
        <f t="shared" si="0"/>
        <v>0</v>
      </c>
      <c r="F19" s="99"/>
      <c r="G19" s="100"/>
      <c r="H19" s="93"/>
      <c r="J19" s="28">
        <v>100000000</v>
      </c>
      <c r="K19" s="26"/>
      <c r="L19" s="25"/>
      <c r="M19" s="16"/>
    </row>
    <row r="20" spans="1:15" x14ac:dyDescent="0.25">
      <c r="A20" t="s">
        <v>168</v>
      </c>
      <c r="C20" s="93"/>
      <c r="D20" s="93">
        <f>129*60+5</f>
        <v>7745</v>
      </c>
      <c r="E20" s="96">
        <f t="shared" si="0"/>
        <v>8.9641203703703765E-2</v>
      </c>
      <c r="F20" s="96">
        <v>0.76572916666666668</v>
      </c>
      <c r="G20" s="96">
        <v>0.85537037037037045</v>
      </c>
      <c r="H20" s="93"/>
    </row>
    <row r="21" spans="1:15" x14ac:dyDescent="0.25">
      <c r="A21" t="s">
        <v>168</v>
      </c>
      <c r="C21" s="93"/>
      <c r="D21" s="93"/>
      <c r="E21" s="96">
        <f t="shared" si="0"/>
        <v>0</v>
      </c>
      <c r="F21" s="99"/>
      <c r="G21" s="100"/>
      <c r="H21" s="93"/>
      <c r="K21" t="s">
        <v>136</v>
      </c>
    </row>
    <row r="22" spans="1:15" x14ac:dyDescent="0.25">
      <c r="A22" t="s">
        <v>168</v>
      </c>
      <c r="C22" s="93"/>
      <c r="D22" s="93"/>
      <c r="E22" s="96">
        <f t="shared" si="0"/>
        <v>0</v>
      </c>
      <c r="F22" s="99"/>
      <c r="G22" s="100"/>
      <c r="H22" s="93"/>
    </row>
    <row r="23" spans="1:15" x14ac:dyDescent="0.25">
      <c r="A23" t="s">
        <v>196</v>
      </c>
      <c r="C23" s="93"/>
      <c r="D23" s="93"/>
      <c r="E23" s="96">
        <f t="shared" si="0"/>
        <v>4.7118055555555705E-2</v>
      </c>
      <c r="F23" s="100">
        <v>0.85548611111111106</v>
      </c>
      <c r="G23" s="100">
        <v>0.90260416666666676</v>
      </c>
      <c r="H23" s="93"/>
    </row>
    <row r="24" spans="1:15" x14ac:dyDescent="0.25">
      <c r="A24" t="s">
        <v>196</v>
      </c>
      <c r="C24" s="93"/>
      <c r="D24" s="93"/>
      <c r="E24" s="96">
        <f t="shared" si="0"/>
        <v>0</v>
      </c>
      <c r="F24" s="99"/>
      <c r="G24" s="100"/>
      <c r="H24" s="93"/>
    </row>
    <row r="25" spans="1:15" x14ac:dyDescent="0.25">
      <c r="A25" t="s">
        <v>196</v>
      </c>
      <c r="C25" s="93"/>
      <c r="D25" s="93"/>
      <c r="E25" s="96">
        <f t="shared" si="0"/>
        <v>0</v>
      </c>
      <c r="F25" s="99"/>
      <c r="G25" s="100"/>
      <c r="H25" s="93"/>
      <c r="J25" t="s">
        <v>103</v>
      </c>
      <c r="K25" t="s">
        <v>117</v>
      </c>
      <c r="L25" s="17" t="s">
        <v>44</v>
      </c>
      <c r="M25" t="s">
        <v>104</v>
      </c>
      <c r="N25" t="s">
        <v>32</v>
      </c>
      <c r="O25" t="s">
        <v>118</v>
      </c>
    </row>
    <row r="26" spans="1:15" x14ac:dyDescent="0.25">
      <c r="A26" t="s">
        <v>119</v>
      </c>
      <c r="C26" s="93"/>
      <c r="D26" s="93">
        <f>116*60+58</f>
        <v>7018</v>
      </c>
      <c r="E26" s="96">
        <f t="shared" si="0"/>
        <v>8.1226851851851911E-2</v>
      </c>
      <c r="F26" s="18">
        <v>0.39807870370370368</v>
      </c>
      <c r="G26" s="18">
        <v>0.4793055555555556</v>
      </c>
      <c r="H26" s="60"/>
      <c r="J26" s="28">
        <v>10</v>
      </c>
      <c r="K26" s="26"/>
      <c r="L26" s="25"/>
      <c r="M26" s="16"/>
      <c r="N26" s="16"/>
      <c r="O26" s="27"/>
    </row>
    <row r="27" spans="1:15" x14ac:dyDescent="0.25">
      <c r="A27" t="s">
        <v>119</v>
      </c>
      <c r="C27" s="93"/>
      <c r="D27" s="93"/>
      <c r="E27" s="96">
        <f t="shared" si="0"/>
        <v>0</v>
      </c>
      <c r="F27" s="99"/>
      <c r="G27" s="100"/>
      <c r="H27" s="93"/>
      <c r="J27" s="28">
        <v>100</v>
      </c>
      <c r="K27" s="26"/>
      <c r="L27" s="25"/>
      <c r="M27" s="16"/>
      <c r="N27" s="16"/>
      <c r="O27" s="27"/>
    </row>
    <row r="28" spans="1:15" x14ac:dyDescent="0.25">
      <c r="A28" t="s">
        <v>119</v>
      </c>
      <c r="C28" s="93"/>
      <c r="D28" s="93"/>
      <c r="E28" s="96">
        <f t="shared" si="0"/>
        <v>0</v>
      </c>
      <c r="F28" s="95"/>
      <c r="G28" s="96"/>
      <c r="H28" s="93"/>
      <c r="J28" s="28">
        <v>1000</v>
      </c>
      <c r="K28" s="26"/>
      <c r="L28" s="25"/>
      <c r="M28" s="16"/>
      <c r="N28" s="16"/>
    </row>
    <row r="29" spans="1:15" x14ac:dyDescent="0.25">
      <c r="A29" t="s">
        <v>115</v>
      </c>
      <c r="C29" s="93"/>
      <c r="D29" s="93">
        <f>109*60+47</f>
        <v>6587</v>
      </c>
      <c r="E29" s="96">
        <f t="shared" si="0"/>
        <v>7.6238425925925946E-2</v>
      </c>
      <c r="F29" s="18">
        <v>0.47938657407407409</v>
      </c>
      <c r="G29" s="96">
        <v>0.55562500000000004</v>
      </c>
      <c r="H29" s="93"/>
      <c r="J29" s="28">
        <v>10000</v>
      </c>
      <c r="K29" s="26"/>
      <c r="L29" s="25"/>
      <c r="M29" s="16"/>
      <c r="N29" s="16"/>
    </row>
    <row r="30" spans="1:15" x14ac:dyDescent="0.25">
      <c r="A30" t="s">
        <v>115</v>
      </c>
      <c r="C30" s="93"/>
      <c r="D30" s="93"/>
      <c r="E30" s="96">
        <f t="shared" si="0"/>
        <v>0</v>
      </c>
      <c r="F30" s="99"/>
      <c r="G30" s="100"/>
      <c r="H30" s="93"/>
      <c r="J30" s="28">
        <v>100000</v>
      </c>
      <c r="K30" s="26"/>
      <c r="L30" s="25"/>
      <c r="M30" s="16"/>
      <c r="N30" s="16"/>
    </row>
    <row r="31" spans="1:15" ht="15.75" thickBot="1" x14ac:dyDescent="0.3">
      <c r="A31" t="s">
        <v>115</v>
      </c>
      <c r="C31" s="93"/>
      <c r="D31" s="93"/>
      <c r="E31" s="96">
        <f t="shared" si="0"/>
        <v>0</v>
      </c>
      <c r="F31" s="99"/>
      <c r="G31" s="96"/>
      <c r="H31" s="93"/>
      <c r="J31" s="28">
        <v>1000000</v>
      </c>
      <c r="K31" s="26"/>
      <c r="L31" s="25"/>
      <c r="M31" s="16"/>
      <c r="N31" s="16"/>
    </row>
    <row r="32" spans="1:15" ht="15.75" thickBot="1" x14ac:dyDescent="0.3">
      <c r="A32" t="s">
        <v>120</v>
      </c>
      <c r="C32" s="93"/>
      <c r="D32" s="93">
        <f>182*60+11</f>
        <v>10931</v>
      </c>
      <c r="E32" s="96">
        <f t="shared" si="0"/>
        <v>0.12651620370370376</v>
      </c>
      <c r="F32" s="98">
        <v>0.55570601851851853</v>
      </c>
      <c r="G32" s="98">
        <v>0.68222222222222229</v>
      </c>
      <c r="H32" s="93"/>
      <c r="J32" s="28">
        <v>10000000</v>
      </c>
      <c r="K32" s="26"/>
      <c r="L32" s="25"/>
      <c r="M32" s="16"/>
      <c r="N32" s="16"/>
    </row>
    <row r="33" spans="1:26" x14ac:dyDescent="0.25">
      <c r="A33" t="s">
        <v>120</v>
      </c>
      <c r="C33" s="93"/>
      <c r="D33" s="93">
        <f>180*60+28</f>
        <v>10828</v>
      </c>
      <c r="E33" s="96">
        <f t="shared" si="0"/>
        <v>0.12532407407407409</v>
      </c>
      <c r="F33" s="16">
        <v>0.7270833333333333</v>
      </c>
      <c r="G33" s="16">
        <v>0.85240740740740739</v>
      </c>
      <c r="H33" s="93"/>
      <c r="J33" s="28">
        <v>100000000</v>
      </c>
      <c r="K33" s="26"/>
      <c r="L33" s="25"/>
      <c r="M33" s="16"/>
    </row>
    <row r="34" spans="1:26" x14ac:dyDescent="0.25">
      <c r="A34" t="s">
        <v>120</v>
      </c>
      <c r="C34" s="93"/>
      <c r="D34" s="93"/>
      <c r="E34" s="96">
        <f t="shared" si="0"/>
        <v>0</v>
      </c>
      <c r="F34" s="95"/>
      <c r="G34" s="101"/>
      <c r="H34" s="93"/>
    </row>
    <row r="35" spans="1:26" x14ac:dyDescent="0.25">
      <c r="A35" s="32" t="s">
        <v>127</v>
      </c>
      <c r="C35" s="93"/>
      <c r="D35" s="93">
        <f>68*60+17</f>
        <v>4097</v>
      </c>
      <c r="E35" s="96">
        <f t="shared" si="0"/>
        <v>4.7418981481481472E-2</v>
      </c>
      <c r="F35" s="18">
        <v>6.0023148148148152E-2</v>
      </c>
      <c r="G35" s="18">
        <v>0.10744212962962962</v>
      </c>
      <c r="H35" s="93"/>
      <c r="K35" t="s">
        <v>135</v>
      </c>
    </row>
    <row r="36" spans="1:26" x14ac:dyDescent="0.25">
      <c r="A36" s="32" t="s">
        <v>127</v>
      </c>
      <c r="C36" s="93"/>
      <c r="D36" s="93"/>
      <c r="E36" s="96">
        <f t="shared" si="0"/>
        <v>0</v>
      </c>
      <c r="F36" s="99"/>
      <c r="G36" s="100"/>
      <c r="H36" s="93"/>
      <c r="J36" t="s">
        <v>103</v>
      </c>
      <c r="K36" t="s">
        <v>117</v>
      </c>
      <c r="L36" s="17" t="s">
        <v>44</v>
      </c>
      <c r="M36" t="s">
        <v>104</v>
      </c>
      <c r="N36" t="s">
        <v>32</v>
      </c>
      <c r="O36" t="s">
        <v>118</v>
      </c>
      <c r="Q36" t="s">
        <v>103</v>
      </c>
      <c r="R36" t="s">
        <v>117</v>
      </c>
      <c r="S36" t="s">
        <v>137</v>
      </c>
      <c r="V36" t="s">
        <v>197</v>
      </c>
    </row>
    <row r="37" spans="1:26" x14ac:dyDescent="0.25">
      <c r="A37" s="32" t="s">
        <v>127</v>
      </c>
      <c r="C37" s="93"/>
      <c r="D37" s="93"/>
      <c r="E37" s="96">
        <f t="shared" si="0"/>
        <v>0</v>
      </c>
      <c r="F37" s="95"/>
      <c r="G37" s="96"/>
      <c r="H37" s="93"/>
      <c r="J37" s="28">
        <v>10</v>
      </c>
      <c r="K37" s="26">
        <f>127*60+58</f>
        <v>7678</v>
      </c>
      <c r="L37" s="25">
        <f>N37-M37</f>
        <v>8.8865740740740828E-2</v>
      </c>
      <c r="M37" s="18">
        <v>0.74225694444444434</v>
      </c>
      <c r="N37" s="18">
        <v>0.83112268518518517</v>
      </c>
      <c r="O37">
        <v>18</v>
      </c>
      <c r="Q37" s="28">
        <v>10</v>
      </c>
      <c r="R37">
        <f t="shared" ref="R37:R44" si="1">AVERAGE(K12,K26,K37)</f>
        <v>7678</v>
      </c>
      <c r="S37">
        <f t="shared" ref="S37:S44" si="2">_xlfn.STDEV.P(K12,K26,K37)</f>
        <v>0</v>
      </c>
      <c r="T37" t="e">
        <f t="shared" ref="T37:T44" si="3">CONFIDENCE(0.05,S37,3)</f>
        <v>#NUM!</v>
      </c>
      <c r="V37" t="s">
        <v>198</v>
      </c>
      <c r="W37" t="s">
        <v>210</v>
      </c>
      <c r="X37" t="s">
        <v>199</v>
      </c>
      <c r="Y37" t="s">
        <v>209</v>
      </c>
      <c r="Z37" t="s">
        <v>208</v>
      </c>
    </row>
    <row r="38" spans="1:26" x14ac:dyDescent="0.25">
      <c r="A38" s="32" t="s">
        <v>128</v>
      </c>
      <c r="C38" s="93"/>
      <c r="D38" s="93">
        <f>81*60+51</f>
        <v>4911</v>
      </c>
      <c r="E38" s="96">
        <f t="shared" si="0"/>
        <v>5.6840277777777781E-2</v>
      </c>
      <c r="F38" s="16">
        <v>0.60751157407407408</v>
      </c>
      <c r="G38" s="16">
        <v>0.66435185185185186</v>
      </c>
      <c r="H38" s="93"/>
      <c r="J38" s="28">
        <v>100</v>
      </c>
      <c r="K38" s="26">
        <f>126*60+15</f>
        <v>7575</v>
      </c>
      <c r="L38" s="25">
        <f t="shared" ref="L38:L43" si="4">N38-M38</f>
        <v>8.7673611111111049E-2</v>
      </c>
      <c r="M38" s="18">
        <v>0.79186342592592596</v>
      </c>
      <c r="N38" s="18">
        <v>0.87953703703703701</v>
      </c>
      <c r="O38" s="27">
        <v>17</v>
      </c>
      <c r="Q38" s="28">
        <v>100</v>
      </c>
      <c r="R38">
        <f t="shared" si="1"/>
        <v>7575</v>
      </c>
      <c r="S38">
        <f t="shared" si="2"/>
        <v>0</v>
      </c>
      <c r="T38" t="e">
        <f t="shared" si="3"/>
        <v>#NUM!</v>
      </c>
    </row>
    <row r="39" spans="1:26" ht="15.75" thickBot="1" x14ac:dyDescent="0.3">
      <c r="A39" s="32" t="s">
        <v>128</v>
      </c>
      <c r="C39" s="93"/>
      <c r="D39" s="93"/>
      <c r="E39" s="96">
        <f t="shared" si="0"/>
        <v>0</v>
      </c>
      <c r="F39" s="95"/>
      <c r="G39" s="96"/>
      <c r="H39" s="93"/>
      <c r="J39" s="28">
        <v>1000</v>
      </c>
      <c r="K39" s="26">
        <f>123*60+42</f>
        <v>7422</v>
      </c>
      <c r="L39" s="25">
        <f t="shared" si="4"/>
        <v>8.5902777777777883E-2</v>
      </c>
      <c r="M39" s="18">
        <v>0.83122685185185186</v>
      </c>
      <c r="N39" s="18">
        <v>0.91712962962962974</v>
      </c>
      <c r="O39" s="60">
        <v>16</v>
      </c>
      <c r="Q39" s="28">
        <v>1000</v>
      </c>
      <c r="R39">
        <f t="shared" si="1"/>
        <v>7422</v>
      </c>
      <c r="S39">
        <f t="shared" si="2"/>
        <v>0</v>
      </c>
      <c r="T39" t="e">
        <f t="shared" si="3"/>
        <v>#NUM!</v>
      </c>
    </row>
    <row r="40" spans="1:26" ht="15.75" thickBot="1" x14ac:dyDescent="0.3">
      <c r="A40" s="32" t="s">
        <v>128</v>
      </c>
      <c r="C40" s="93"/>
      <c r="D40" s="93"/>
      <c r="E40" s="96">
        <f t="shared" si="0"/>
        <v>0</v>
      </c>
      <c r="F40" s="97"/>
      <c r="G40" s="98"/>
      <c r="H40" s="93"/>
      <c r="J40" s="28">
        <v>10000</v>
      </c>
      <c r="K40" s="26">
        <f>118*60</f>
        <v>7080</v>
      </c>
      <c r="L40" s="25">
        <f t="shared" si="4"/>
        <v>8.1944444444444445E-2</v>
      </c>
      <c r="M40" s="18">
        <v>0.1203125</v>
      </c>
      <c r="N40" s="18">
        <v>0.20225694444444445</v>
      </c>
      <c r="O40">
        <v>14</v>
      </c>
      <c r="Q40" s="28">
        <v>10000</v>
      </c>
      <c r="R40">
        <f t="shared" si="1"/>
        <v>7080</v>
      </c>
      <c r="S40">
        <f t="shared" si="2"/>
        <v>0</v>
      </c>
      <c r="T40" t="e">
        <f t="shared" si="3"/>
        <v>#NUM!</v>
      </c>
    </row>
    <row r="41" spans="1:26" x14ac:dyDescent="0.25">
      <c r="A41" s="32" t="s">
        <v>129</v>
      </c>
      <c r="C41" s="93"/>
      <c r="D41" s="93"/>
      <c r="E41" s="96">
        <f>G41-F41</f>
        <v>0</v>
      </c>
      <c r="F41" s="95"/>
      <c r="G41" s="96"/>
      <c r="H41" s="93"/>
      <c r="J41" s="28">
        <v>100000</v>
      </c>
      <c r="K41" s="26">
        <f>120*60</f>
        <v>7200</v>
      </c>
      <c r="L41" s="25">
        <f t="shared" si="4"/>
        <v>8.3715277777777819E-2</v>
      </c>
      <c r="M41" s="18">
        <v>0.2023611111111111</v>
      </c>
      <c r="N41" s="18">
        <v>0.28607638888888892</v>
      </c>
      <c r="O41">
        <v>13</v>
      </c>
      <c r="Q41" s="28">
        <v>100000</v>
      </c>
      <c r="R41">
        <f t="shared" si="1"/>
        <v>7200</v>
      </c>
      <c r="S41">
        <f t="shared" si="2"/>
        <v>0</v>
      </c>
      <c r="T41" t="e">
        <f t="shared" si="3"/>
        <v>#NUM!</v>
      </c>
    </row>
    <row r="42" spans="1:26" ht="15.75" thickBot="1" x14ac:dyDescent="0.3">
      <c r="A42" s="32" t="s">
        <v>129</v>
      </c>
      <c r="C42" s="93"/>
      <c r="D42" s="93"/>
      <c r="E42" s="96">
        <f>G42-F42</f>
        <v>0</v>
      </c>
      <c r="F42" s="95"/>
      <c r="G42" s="96"/>
      <c r="H42" s="93"/>
      <c r="J42" s="28">
        <v>1000000</v>
      </c>
      <c r="K42" s="26">
        <f>125*60+19</f>
        <v>7519</v>
      </c>
      <c r="L42" s="25">
        <f t="shared" si="4"/>
        <v>8.7025462962962985E-2</v>
      </c>
      <c r="M42" s="18">
        <v>0.28616898148148145</v>
      </c>
      <c r="N42" s="18">
        <v>0.37319444444444444</v>
      </c>
      <c r="O42">
        <v>10</v>
      </c>
      <c r="Q42" s="28">
        <v>1000000</v>
      </c>
      <c r="R42">
        <f t="shared" si="1"/>
        <v>7519</v>
      </c>
      <c r="S42">
        <f t="shared" si="2"/>
        <v>0</v>
      </c>
      <c r="T42" t="e">
        <f t="shared" si="3"/>
        <v>#NUM!</v>
      </c>
    </row>
    <row r="43" spans="1:26" ht="15.75" thickBot="1" x14ac:dyDescent="0.3">
      <c r="A43" s="32" t="s">
        <v>129</v>
      </c>
      <c r="C43" s="93"/>
      <c r="D43" s="93"/>
      <c r="E43" s="96">
        <f t="shared" si="0"/>
        <v>0</v>
      </c>
      <c r="F43" s="97"/>
      <c r="G43" s="98"/>
      <c r="H43" s="93"/>
      <c r="J43" s="28">
        <v>10000000</v>
      </c>
      <c r="K43" s="26">
        <f>180*60+54*60</f>
        <v>14040</v>
      </c>
      <c r="L43" s="25">
        <f t="shared" si="4"/>
        <v>0.16254629629629619</v>
      </c>
      <c r="M43" s="18">
        <v>0.37328703703703708</v>
      </c>
      <c r="N43" s="18">
        <v>0.53583333333333327</v>
      </c>
      <c r="O43">
        <v>4</v>
      </c>
      <c r="Q43" s="28">
        <v>10000000</v>
      </c>
      <c r="R43">
        <f t="shared" si="1"/>
        <v>14040</v>
      </c>
      <c r="S43">
        <f t="shared" si="2"/>
        <v>0</v>
      </c>
      <c r="T43" t="e">
        <f t="shared" si="3"/>
        <v>#NUM!</v>
      </c>
    </row>
    <row r="44" spans="1:26" x14ac:dyDescent="0.25">
      <c r="A44" s="32" t="s">
        <v>130</v>
      </c>
      <c r="C44" s="93"/>
      <c r="D44" s="93">
        <f>68*60+46</f>
        <v>4126</v>
      </c>
      <c r="E44" s="96">
        <f t="shared" si="0"/>
        <v>4.7754629629629619E-2</v>
      </c>
      <c r="F44" s="18">
        <v>0.10754629629629631</v>
      </c>
      <c r="G44" s="18">
        <v>0.15530092592592593</v>
      </c>
      <c r="H44" s="93"/>
      <c r="J44" s="28">
        <v>100000000</v>
      </c>
      <c r="K44" s="26">
        <f>256*60+31</f>
        <v>15391</v>
      </c>
      <c r="L44" s="25">
        <f>N44-M44</f>
        <v>0.17813657407407402</v>
      </c>
      <c r="M44" s="18">
        <v>0.53591435185185188</v>
      </c>
      <c r="N44" s="18">
        <v>0.71405092592592589</v>
      </c>
      <c r="O44">
        <v>3</v>
      </c>
      <c r="Q44" s="28">
        <v>100000000</v>
      </c>
      <c r="R44">
        <f t="shared" si="1"/>
        <v>15391</v>
      </c>
      <c r="S44">
        <f t="shared" si="2"/>
        <v>0</v>
      </c>
      <c r="T44" t="e">
        <f t="shared" si="3"/>
        <v>#NUM!</v>
      </c>
      <c r="V44" t="s">
        <v>198</v>
      </c>
      <c r="W44" t="s">
        <v>205</v>
      </c>
      <c r="X44" t="s">
        <v>199</v>
      </c>
      <c r="Y44" t="s">
        <v>204</v>
      </c>
      <c r="Z44">
        <v>4876</v>
      </c>
    </row>
    <row r="45" spans="1:26" ht="15.75" thickBot="1" x14ac:dyDescent="0.3">
      <c r="A45" s="32" t="s">
        <v>130</v>
      </c>
      <c r="C45" s="93"/>
      <c r="D45" s="93"/>
      <c r="E45" s="96">
        <f t="shared" si="0"/>
        <v>0</v>
      </c>
      <c r="F45" s="95"/>
      <c r="G45" s="100"/>
      <c r="H45" s="93"/>
    </row>
    <row r="46" spans="1:26" ht="15.75" thickBot="1" x14ac:dyDescent="0.3">
      <c r="A46" s="32" t="s">
        <v>130</v>
      </c>
      <c r="C46" s="93"/>
      <c r="D46" s="93"/>
      <c r="E46" s="96">
        <f t="shared" si="0"/>
        <v>0</v>
      </c>
      <c r="F46" s="97"/>
      <c r="G46" s="98"/>
      <c r="H46" s="93"/>
    </row>
    <row r="47" spans="1:26" x14ac:dyDescent="0.25">
      <c r="A47" s="32" t="s">
        <v>131</v>
      </c>
      <c r="C47" s="93"/>
      <c r="D47" s="93">
        <f>90*60+4</f>
        <v>5404</v>
      </c>
      <c r="E47" s="96">
        <f t="shared" si="0"/>
        <v>6.2546296296296378E-2</v>
      </c>
      <c r="F47" s="16">
        <v>0.66443287037037035</v>
      </c>
      <c r="G47" s="16">
        <v>0.72697916666666673</v>
      </c>
      <c r="H47" s="93"/>
    </row>
    <row r="48" spans="1:26" ht="15.75" thickBot="1" x14ac:dyDescent="0.3">
      <c r="A48" s="32" t="s">
        <v>131</v>
      </c>
      <c r="C48" s="93"/>
      <c r="D48" s="93"/>
      <c r="E48" s="96">
        <f t="shared" si="0"/>
        <v>0</v>
      </c>
      <c r="F48" s="99"/>
      <c r="G48" s="100"/>
      <c r="H48" s="93"/>
    </row>
    <row r="49" spans="1:9" ht="15.75" thickBot="1" x14ac:dyDescent="0.3">
      <c r="A49" s="32" t="s">
        <v>131</v>
      </c>
      <c r="C49" s="93"/>
      <c r="D49" s="93"/>
      <c r="E49" s="96">
        <f t="shared" si="0"/>
        <v>0</v>
      </c>
      <c r="F49" s="97"/>
      <c r="G49" s="98"/>
      <c r="H49" s="93"/>
    </row>
    <row r="50" spans="1:9" x14ac:dyDescent="0.25">
      <c r="A50" s="32" t="s">
        <v>132</v>
      </c>
      <c r="C50" s="93"/>
      <c r="D50" s="93"/>
      <c r="E50" s="96">
        <f t="shared" si="0"/>
        <v>0</v>
      </c>
      <c r="F50" s="95"/>
      <c r="G50" s="96"/>
      <c r="H50" s="93"/>
    </row>
    <row r="51" spans="1:9" ht="15.75" thickBot="1" x14ac:dyDescent="0.3">
      <c r="A51" s="32" t="s">
        <v>132</v>
      </c>
      <c r="C51" s="93"/>
      <c r="D51" s="93"/>
      <c r="E51" s="96">
        <f t="shared" si="0"/>
        <v>0</v>
      </c>
      <c r="F51" s="99"/>
      <c r="G51" s="100"/>
      <c r="H51" s="93"/>
    </row>
    <row r="52" spans="1:9" ht="15.75" thickBot="1" x14ac:dyDescent="0.3">
      <c r="A52" s="32" t="s">
        <v>132</v>
      </c>
      <c r="C52" s="93"/>
      <c r="D52" s="93"/>
      <c r="E52" s="96">
        <f t="shared" si="0"/>
        <v>0</v>
      </c>
      <c r="F52" s="97"/>
      <c r="G52" s="98"/>
      <c r="H52" s="93"/>
    </row>
    <row r="53" spans="1:9" x14ac:dyDescent="0.25">
      <c r="A53" s="32"/>
      <c r="B53" s="26">
        <f>118*60</f>
        <v>7080</v>
      </c>
      <c r="C53" s="93"/>
      <c r="D53" s="93"/>
      <c r="E53" s="93" t="s">
        <v>106</v>
      </c>
      <c r="F53" s="95">
        <f>AVERAGE(B53:B56)</f>
        <v>7080</v>
      </c>
      <c r="G53" s="93"/>
      <c r="H53" s="93"/>
    </row>
    <row r="54" spans="1:9" x14ac:dyDescent="0.25">
      <c r="F54" s="24"/>
    </row>
    <row r="55" spans="1:9" x14ac:dyDescent="0.25">
      <c r="E55" t="s">
        <v>108</v>
      </c>
      <c r="F55" s="24">
        <f>_xlfn.STDEV.P(B53:B56)</f>
        <v>0</v>
      </c>
    </row>
    <row r="56" spans="1:9" x14ac:dyDescent="0.25">
      <c r="E56" t="s">
        <v>107</v>
      </c>
      <c r="F56" s="24" t="e">
        <f>CONFIDENCE(0.05,F55,2)</f>
        <v>#NUM!</v>
      </c>
    </row>
    <row r="57" spans="1:9" x14ac:dyDescent="0.25">
      <c r="C57" t="s">
        <v>109</v>
      </c>
      <c r="D57" t="s">
        <v>108</v>
      </c>
      <c r="E57" t="s">
        <v>121</v>
      </c>
      <c r="F57" s="24" t="s">
        <v>123</v>
      </c>
      <c r="G57" t="s">
        <v>126</v>
      </c>
      <c r="H57" t="s">
        <v>124</v>
      </c>
      <c r="I57" t="s">
        <v>125</v>
      </c>
    </row>
    <row r="58" spans="1:9" x14ac:dyDescent="0.25">
      <c r="A58" t="s">
        <v>101</v>
      </c>
      <c r="C58" s="48">
        <f>AVERAGE(D2:D4)</f>
        <v>7454</v>
      </c>
      <c r="D58">
        <f>_xlfn.STDEV.P(D2:D4)</f>
        <v>0</v>
      </c>
      <c r="E58" t="e">
        <f t="shared" ref="E58:E71" si="5">CONFIDENCE(0.05,D58,3)</f>
        <v>#NUM!</v>
      </c>
      <c r="F58" s="24">
        <f>(C58-C75)/C75</f>
        <v>5.2824858757062144E-2</v>
      </c>
      <c r="G58">
        <f>F58*100</f>
        <v>5.2824858757062145</v>
      </c>
      <c r="H58" s="50">
        <f>(D58)/C75</f>
        <v>0</v>
      </c>
      <c r="I58">
        <f>H58*100</f>
        <v>0</v>
      </c>
    </row>
    <row r="59" spans="1:9" x14ac:dyDescent="0.25">
      <c r="A59" t="s">
        <v>105</v>
      </c>
      <c r="C59" s="48">
        <f>AVERAGE(D5:D7)</f>
        <v>4861</v>
      </c>
      <c r="D59">
        <f>_xlfn.STDEV.P(D5:D7)</f>
        <v>0</v>
      </c>
      <c r="E59" t="e">
        <f t="shared" si="5"/>
        <v>#NUM!</v>
      </c>
      <c r="F59" s="24">
        <f>(C59-C75)/C75</f>
        <v>-0.31341807909604519</v>
      </c>
      <c r="G59">
        <f t="shared" ref="G59:G69" si="6">F59*100</f>
        <v>-31.341807909604519</v>
      </c>
      <c r="H59" s="50">
        <f>(D59)/C75</f>
        <v>0</v>
      </c>
      <c r="I59">
        <f t="shared" ref="I59:I69" si="7">H59*100</f>
        <v>0</v>
      </c>
    </row>
    <row r="60" spans="1:9" x14ac:dyDescent="0.25">
      <c r="A60" t="s">
        <v>158</v>
      </c>
      <c r="C60" s="48">
        <f>AVERAGE(D8:D10)</f>
        <v>4612</v>
      </c>
      <c r="D60">
        <f>_xlfn.STDEV.P(D8:D10)</f>
        <v>0</v>
      </c>
      <c r="E60" t="e">
        <f t="shared" si="5"/>
        <v>#NUM!</v>
      </c>
      <c r="F60" s="24">
        <f>(C60-C75)/C75</f>
        <v>-0.34858757062146895</v>
      </c>
      <c r="G60">
        <f t="shared" si="6"/>
        <v>-34.858757062146893</v>
      </c>
      <c r="H60" s="50">
        <f>(D60)/C75</f>
        <v>0</v>
      </c>
      <c r="I60">
        <f t="shared" si="7"/>
        <v>0</v>
      </c>
    </row>
    <row r="61" spans="1:9" x14ac:dyDescent="0.25">
      <c r="A61" t="s">
        <v>159</v>
      </c>
      <c r="C61" s="48">
        <f>AVERAGE(D35:D37)</f>
        <v>4097</v>
      </c>
      <c r="D61">
        <f>_xlfn.STDEV.P(D35:D37)</f>
        <v>0</v>
      </c>
      <c r="E61" t="e">
        <f t="shared" si="5"/>
        <v>#NUM!</v>
      </c>
      <c r="F61" s="24">
        <f>(C61-C75)/C75</f>
        <v>-0.42132768361581918</v>
      </c>
      <c r="G61">
        <f t="shared" si="6"/>
        <v>-42.132768361581917</v>
      </c>
      <c r="H61" s="50">
        <f>(D61)/C75</f>
        <v>0</v>
      </c>
      <c r="I61">
        <f t="shared" si="7"/>
        <v>0</v>
      </c>
    </row>
    <row r="62" spans="1:9" x14ac:dyDescent="0.25">
      <c r="A62" t="s">
        <v>160</v>
      </c>
      <c r="C62" s="48">
        <f>AVERAGE(D44:D46)</f>
        <v>4126</v>
      </c>
      <c r="D62">
        <f>_xlfn.STDEV.P(D44:D46)</f>
        <v>0</v>
      </c>
      <c r="E62" t="e">
        <f t="shared" si="5"/>
        <v>#NUM!</v>
      </c>
      <c r="F62" s="24">
        <f>(C62-C75)/C75</f>
        <v>-0.41723163841807909</v>
      </c>
      <c r="G62">
        <f t="shared" si="6"/>
        <v>-41.72316384180791</v>
      </c>
      <c r="H62" s="50">
        <f>(D62)/C75</f>
        <v>0</v>
      </c>
      <c r="I62">
        <f t="shared" si="7"/>
        <v>0</v>
      </c>
    </row>
    <row r="63" spans="1:9" x14ac:dyDescent="0.25">
      <c r="A63" t="s">
        <v>111</v>
      </c>
      <c r="C63" s="48">
        <f>AVERAGE(D11:D13)</f>
        <v>6946</v>
      </c>
      <c r="D63">
        <f>_xlfn.STDEV.P(D11:D13)</f>
        <v>0</v>
      </c>
      <c r="E63" t="e">
        <f t="shared" si="5"/>
        <v>#NUM!</v>
      </c>
      <c r="F63" s="24">
        <f>(C63-C75)/C75</f>
        <v>-1.8926553672316385E-2</v>
      </c>
      <c r="G63">
        <f t="shared" si="6"/>
        <v>-1.8926553672316386</v>
      </c>
      <c r="H63" s="50">
        <f>(D63)/C75</f>
        <v>0</v>
      </c>
      <c r="I63">
        <f t="shared" si="7"/>
        <v>0</v>
      </c>
    </row>
    <row r="64" spans="1:9" x14ac:dyDescent="0.25">
      <c r="A64" t="s">
        <v>112</v>
      </c>
      <c r="C64" s="48">
        <f>AVERAGE(D14:D16)</f>
        <v>7475</v>
      </c>
      <c r="D64">
        <f>_xlfn.STDEV.P(D14:D16)</f>
        <v>0</v>
      </c>
      <c r="E64" t="e">
        <f t="shared" si="5"/>
        <v>#NUM!</v>
      </c>
      <c r="F64" s="24">
        <f>(C64-C75)/C75</f>
        <v>5.5790960451977401E-2</v>
      </c>
      <c r="G64">
        <f t="shared" si="6"/>
        <v>5.5790960451977405</v>
      </c>
      <c r="H64" s="50">
        <f>(D64)/C75</f>
        <v>0</v>
      </c>
      <c r="I64">
        <f t="shared" si="7"/>
        <v>0</v>
      </c>
    </row>
    <row r="65" spans="1:9" x14ac:dyDescent="0.25">
      <c r="A65" t="s">
        <v>163</v>
      </c>
      <c r="C65" s="48">
        <f>AVERAGE(D17:D19)</f>
        <v>6516</v>
      </c>
      <c r="D65">
        <f>_xlfn.STDEV.P(D17:D19)</f>
        <v>0</v>
      </c>
      <c r="E65" t="e">
        <f t="shared" si="5"/>
        <v>#NUM!</v>
      </c>
      <c r="F65" s="24">
        <f>(C65-C75)/C75</f>
        <v>-7.9661016949152536E-2</v>
      </c>
      <c r="G65">
        <f t="shared" si="6"/>
        <v>-7.9661016949152534</v>
      </c>
      <c r="H65" s="50">
        <f>(D65)/C75</f>
        <v>0</v>
      </c>
      <c r="I65">
        <f t="shared" si="7"/>
        <v>0</v>
      </c>
    </row>
    <row r="66" spans="1:9" x14ac:dyDescent="0.25">
      <c r="A66" t="s">
        <v>164</v>
      </c>
      <c r="C66" s="48">
        <f>AVERAGE(D38:D40)</f>
        <v>4911</v>
      </c>
      <c r="D66">
        <f>_xlfn.STDEV.P(D38:D40)</f>
        <v>0</v>
      </c>
      <c r="E66" t="e">
        <f t="shared" si="5"/>
        <v>#NUM!</v>
      </c>
      <c r="F66" s="24">
        <f>(C66-C75)/C75</f>
        <v>-0.30635593220338986</v>
      </c>
      <c r="G66">
        <f t="shared" si="6"/>
        <v>-30.635593220338986</v>
      </c>
      <c r="H66" s="50">
        <f>(D66)/C75</f>
        <v>0</v>
      </c>
      <c r="I66">
        <f t="shared" si="7"/>
        <v>0</v>
      </c>
    </row>
    <row r="67" spans="1:9" x14ac:dyDescent="0.25">
      <c r="A67" t="s">
        <v>165</v>
      </c>
      <c r="C67" s="48">
        <f>AVERAGE(D47:D49)</f>
        <v>5404</v>
      </c>
      <c r="D67">
        <f>_xlfn.STDEV.P(D47:D49)</f>
        <v>0</v>
      </c>
      <c r="E67" t="e">
        <f t="shared" si="5"/>
        <v>#NUM!</v>
      </c>
      <c r="F67" s="24">
        <f>(C67-C75)/C75</f>
        <v>-0.23672316384180792</v>
      </c>
      <c r="G67">
        <f t="shared" si="6"/>
        <v>-23.672316384180792</v>
      </c>
      <c r="H67" s="50">
        <f>(D67)/C75</f>
        <v>0</v>
      </c>
      <c r="I67">
        <f t="shared" si="7"/>
        <v>0</v>
      </c>
    </row>
    <row r="68" spans="1:9" x14ac:dyDescent="0.25">
      <c r="A68" t="s">
        <v>167</v>
      </c>
      <c r="F68" s="24"/>
      <c r="H68" s="50"/>
    </row>
    <row r="69" spans="1:9" x14ac:dyDescent="0.25">
      <c r="A69" t="s">
        <v>114</v>
      </c>
      <c r="C69" s="48">
        <f>AVERAGE(D20:D25)</f>
        <v>7745</v>
      </c>
      <c r="D69">
        <f>_xlfn.STDEV.P(D20:D25)</f>
        <v>0</v>
      </c>
      <c r="E69" t="e">
        <f t="shared" si="5"/>
        <v>#NUM!</v>
      </c>
      <c r="F69" s="24">
        <f>(C69-C75)/C75</f>
        <v>9.3926553672316379E-2</v>
      </c>
      <c r="G69">
        <f t="shared" si="6"/>
        <v>9.3926553672316384</v>
      </c>
      <c r="H69" s="50">
        <f>(D69)/C75</f>
        <v>0</v>
      </c>
      <c r="I69">
        <f t="shared" si="7"/>
        <v>0</v>
      </c>
    </row>
    <row r="70" spans="1:9" x14ac:dyDescent="0.25">
      <c r="A70" t="s">
        <v>119</v>
      </c>
      <c r="C70" s="48">
        <f>AVERAGE(D26:D28)</f>
        <v>7018</v>
      </c>
      <c r="D70">
        <f>_xlfn.STDEV.P(D26:D28)</f>
        <v>0</v>
      </c>
      <c r="E70" t="e">
        <f t="shared" si="5"/>
        <v>#NUM!</v>
      </c>
      <c r="F70" s="24">
        <f>(C70-C75)/C75</f>
        <v>-8.7570621468926555E-3</v>
      </c>
      <c r="G70">
        <f>F70*100</f>
        <v>-0.87570621468926557</v>
      </c>
      <c r="H70" s="50">
        <f>(D70)/C75</f>
        <v>0</v>
      </c>
      <c r="I70">
        <f>H70*100</f>
        <v>0</v>
      </c>
    </row>
    <row r="71" spans="1:9" x14ac:dyDescent="0.25">
      <c r="A71" t="s">
        <v>115</v>
      </c>
      <c r="C71" s="48">
        <f>AVERAGE(D29:D31)</f>
        <v>6587</v>
      </c>
      <c r="D71">
        <f>_xlfn.STDEV.P(D29:D31)</f>
        <v>0</v>
      </c>
      <c r="E71" t="e">
        <f t="shared" si="5"/>
        <v>#NUM!</v>
      </c>
      <c r="F71" s="24">
        <f>(C71-C75)/C75</f>
        <v>-6.9632768361581915E-2</v>
      </c>
      <c r="G71">
        <f>F71*100</f>
        <v>-6.9632768361581912</v>
      </c>
      <c r="H71" s="50">
        <f>(D71)/C75</f>
        <v>0</v>
      </c>
      <c r="I71">
        <f>H71*100</f>
        <v>0</v>
      </c>
    </row>
    <row r="72" spans="1:9" x14ac:dyDescent="0.25">
      <c r="A72" t="s">
        <v>153</v>
      </c>
      <c r="C72" s="48">
        <f>AVERAGE(D32:D34)</f>
        <v>10879.5</v>
      </c>
      <c r="D72">
        <f>_xlfn.STDEV.P(D32:D34)</f>
        <v>51.5</v>
      </c>
      <c r="E72">
        <f>CONFIDENCE(0.05,D72,3)</f>
        <v>58.276665304922837</v>
      </c>
      <c r="F72" s="24">
        <f>(C72-C75)/C75</f>
        <v>0.5366525423728814</v>
      </c>
      <c r="G72">
        <f>F72*100</f>
        <v>53.665254237288138</v>
      </c>
      <c r="H72" s="50">
        <f>(D72)/C75</f>
        <v>7.2740112994350284E-3</v>
      </c>
      <c r="I72">
        <f>H72*100</f>
        <v>0.72740112994350281</v>
      </c>
    </row>
    <row r="73" spans="1:9" x14ac:dyDescent="0.25">
      <c r="A73" t="s">
        <v>154</v>
      </c>
      <c r="C73" s="48" t="e">
        <f>AVERAGE(D41:D43)</f>
        <v>#DIV/0!</v>
      </c>
      <c r="D73" t="e">
        <f>_xlfn.STDEV.P(D41:D43)</f>
        <v>#DIV/0!</v>
      </c>
      <c r="E73" t="e">
        <f t="shared" ref="E73:E74" si="8">CONFIDENCE(0.05,D73,3)</f>
        <v>#DIV/0!</v>
      </c>
      <c r="F73" s="24" t="e">
        <f>(C73-C75)/C75</f>
        <v>#DIV/0!</v>
      </c>
      <c r="G73" t="e">
        <f t="shared" ref="G73:G74" si="9">F73*100</f>
        <v>#DIV/0!</v>
      </c>
      <c r="H73" s="50" t="e">
        <f>(D73)/C75</f>
        <v>#DIV/0!</v>
      </c>
      <c r="I73" t="e">
        <f t="shared" ref="I73:I74" si="10">H73*100</f>
        <v>#DIV/0!</v>
      </c>
    </row>
    <row r="74" spans="1:9" x14ac:dyDescent="0.25">
      <c r="A74" t="s">
        <v>155</v>
      </c>
      <c r="C74" s="48" t="e">
        <f>AVERAGE(D50:D52)</f>
        <v>#DIV/0!</v>
      </c>
      <c r="D74" t="e">
        <f>_xlfn.STDEV.P(D50:D52)</f>
        <v>#DIV/0!</v>
      </c>
      <c r="E74" t="e">
        <f t="shared" si="8"/>
        <v>#DIV/0!</v>
      </c>
      <c r="F74" s="24" t="e">
        <f>(C74-C75)/C75</f>
        <v>#DIV/0!</v>
      </c>
      <c r="G74" t="e">
        <f t="shared" si="9"/>
        <v>#DIV/0!</v>
      </c>
      <c r="H74" s="50" t="e">
        <f>(D74)/C75</f>
        <v>#DIV/0!</v>
      </c>
      <c r="I74" t="e">
        <f t="shared" si="10"/>
        <v>#DIV/0!</v>
      </c>
    </row>
    <row r="75" spans="1:9" x14ac:dyDescent="0.25">
      <c r="A75" t="s">
        <v>122</v>
      </c>
      <c r="C75" s="26">
        <v>7080</v>
      </c>
      <c r="F75" s="24"/>
    </row>
    <row r="76" spans="1:9" x14ac:dyDescent="0.25">
      <c r="F76" s="24"/>
    </row>
    <row r="77" spans="1:9" x14ac:dyDescent="0.25">
      <c r="F77" s="24"/>
    </row>
    <row r="78" spans="1:9" x14ac:dyDescent="0.25">
      <c r="F78" s="24"/>
    </row>
    <row r="79" spans="1:9" x14ac:dyDescent="0.25">
      <c r="F79" s="24"/>
    </row>
    <row r="80" spans="1:9" x14ac:dyDescent="0.25">
      <c r="F80" s="24"/>
    </row>
    <row r="81" spans="1:7" x14ac:dyDescent="0.25">
      <c r="F81" s="24"/>
    </row>
    <row r="82" spans="1:7" x14ac:dyDescent="0.25">
      <c r="F82" s="24"/>
    </row>
    <row r="83" spans="1:7" x14ac:dyDescent="0.25">
      <c r="A83" t="s">
        <v>167</v>
      </c>
      <c r="D83">
        <f>67*60+51</f>
        <v>4071</v>
      </c>
      <c r="E83" s="16">
        <f t="shared" ref="E83:E88" si="11">G83-F83</f>
        <v>4.7118055555555705E-2</v>
      </c>
      <c r="F83" s="100">
        <v>0.85548611111111106</v>
      </c>
      <c r="G83" s="100">
        <v>0.90260416666666676</v>
      </c>
    </row>
    <row r="84" spans="1:7" x14ac:dyDescent="0.25">
      <c r="A84" t="s">
        <v>167</v>
      </c>
      <c r="D84">
        <f>68*60+15</f>
        <v>4095</v>
      </c>
      <c r="E84" s="16">
        <f t="shared" si="11"/>
        <v>4.7395833333333304E-2</v>
      </c>
      <c r="F84" s="16">
        <v>0.85250000000000004</v>
      </c>
      <c r="G84" s="16">
        <v>0.89989583333333334</v>
      </c>
    </row>
    <row r="85" spans="1:7" x14ac:dyDescent="0.25">
      <c r="A85" t="s">
        <v>167</v>
      </c>
      <c r="E85" s="16">
        <f t="shared" si="11"/>
        <v>0</v>
      </c>
      <c r="F85" s="87"/>
      <c r="G85" s="18"/>
    </row>
    <row r="86" spans="1:7" x14ac:dyDescent="0.25">
      <c r="A86" t="s">
        <v>166</v>
      </c>
      <c r="D86">
        <f>68*60+21</f>
        <v>4101</v>
      </c>
      <c r="E86" s="16">
        <f t="shared" si="11"/>
        <v>4.746527777777787E-2</v>
      </c>
      <c r="F86" s="16">
        <v>0.89997685185185183</v>
      </c>
      <c r="G86" s="16">
        <v>0.9474421296296297</v>
      </c>
    </row>
    <row r="87" spans="1:7" x14ac:dyDescent="0.25">
      <c r="A87" t="s">
        <v>166</v>
      </c>
      <c r="E87" s="16">
        <f t="shared" si="11"/>
        <v>0</v>
      </c>
      <c r="F87" s="24"/>
      <c r="G87" s="18"/>
    </row>
    <row r="88" spans="1:7" x14ac:dyDescent="0.25">
      <c r="A88" t="s">
        <v>166</v>
      </c>
      <c r="E88" s="16">
        <f t="shared" si="11"/>
        <v>0</v>
      </c>
      <c r="F88" s="24"/>
      <c r="G88" s="51"/>
    </row>
    <row r="89" spans="1:7" x14ac:dyDescent="0.25">
      <c r="F89" s="24"/>
    </row>
    <row r="90" spans="1:7" x14ac:dyDescent="0.25">
      <c r="F90" s="24"/>
    </row>
    <row r="91" spans="1:7" x14ac:dyDescent="0.25">
      <c r="F91" s="24"/>
    </row>
    <row r="92" spans="1:7" x14ac:dyDescent="0.25">
      <c r="F92" s="24"/>
    </row>
    <row r="93" spans="1:7" x14ac:dyDescent="0.25">
      <c r="F93" s="24"/>
    </row>
    <row r="94" spans="1:7" x14ac:dyDescent="0.25">
      <c r="F94" s="24"/>
    </row>
    <row r="95" spans="1:7" x14ac:dyDescent="0.25">
      <c r="F95" s="24"/>
    </row>
    <row r="96" spans="1:7" x14ac:dyDescent="0.25">
      <c r="F96" s="24"/>
    </row>
    <row r="97" spans="1:9" x14ac:dyDescent="0.25">
      <c r="F97" s="24"/>
    </row>
    <row r="98" spans="1:9" x14ac:dyDescent="0.25">
      <c r="A98" s="78" t="s">
        <v>168</v>
      </c>
      <c r="C98" s="48">
        <v>7745</v>
      </c>
      <c r="D98">
        <v>0</v>
      </c>
      <c r="E98" t="e">
        <v>#NUM!</v>
      </c>
      <c r="F98" s="24">
        <v>9.3926553672316379E-2</v>
      </c>
      <c r="G98">
        <v>9.3926553672316384</v>
      </c>
      <c r="H98" s="50">
        <v>0</v>
      </c>
      <c r="I98">
        <v>0</v>
      </c>
    </row>
    <row r="99" spans="1:9" x14ac:dyDescent="0.25">
      <c r="A99" t="s">
        <v>167</v>
      </c>
      <c r="C99">
        <f>AVERAGE(D83:D85)</f>
        <v>4083</v>
      </c>
      <c r="D99">
        <f>_xlfn.STDEV.P(D83:D85)</f>
        <v>12</v>
      </c>
      <c r="E99">
        <f t="shared" ref="E99:E100" si="12">CONFIDENCE(0.05,D99,3)</f>
        <v>13.579028808914059</v>
      </c>
      <c r="F99" s="24">
        <f>(C99-C102)/C102</f>
        <v>-0.42330508474576273</v>
      </c>
      <c r="G99">
        <f>F99*100</f>
        <v>-42.33050847457627</v>
      </c>
      <c r="H99" s="50">
        <f>(D99)/C102</f>
        <v>1.6949152542372881E-3</v>
      </c>
      <c r="I99">
        <f>H99*100</f>
        <v>0.16949152542372881</v>
      </c>
    </row>
    <row r="100" spans="1:9" x14ac:dyDescent="0.25">
      <c r="A100" t="s">
        <v>166</v>
      </c>
      <c r="C100">
        <f>AVERAGE(D86:D88)</f>
        <v>4101</v>
      </c>
      <c r="D100">
        <f>_xlfn.STDEV.P(D86:D88)</f>
        <v>0</v>
      </c>
      <c r="E100" t="e">
        <f t="shared" si="12"/>
        <v>#NUM!</v>
      </c>
      <c r="F100" s="24">
        <f>(C100-C102)/C102</f>
        <v>-0.42076271186440678</v>
      </c>
      <c r="G100">
        <f>F100*100</f>
        <v>-42.076271186440678</v>
      </c>
      <c r="H100" s="50">
        <f>(D100)/C102</f>
        <v>0</v>
      </c>
      <c r="I100">
        <f>H100*100</f>
        <v>0</v>
      </c>
    </row>
    <row r="101" spans="1:9" x14ac:dyDescent="0.25">
      <c r="F101" s="24"/>
    </row>
    <row r="102" spans="1:9" x14ac:dyDescent="0.25">
      <c r="A102" t="s">
        <v>122</v>
      </c>
      <c r="C102" s="26">
        <v>7080</v>
      </c>
      <c r="F102" s="24"/>
    </row>
    <row r="103" spans="1:9" x14ac:dyDescent="0.25">
      <c r="F103" s="24"/>
      <c r="H103" s="50"/>
    </row>
    <row r="104" spans="1:9" x14ac:dyDescent="0.25">
      <c r="F104" s="24"/>
      <c r="H104" s="50"/>
    </row>
    <row r="105" spans="1:9" x14ac:dyDescent="0.25">
      <c r="F105" s="24"/>
      <c r="H105" s="50"/>
    </row>
    <row r="106" spans="1:9" x14ac:dyDescent="0.25">
      <c r="F106" s="24"/>
      <c r="H106" s="50"/>
    </row>
    <row r="107" spans="1:9" x14ac:dyDescent="0.25">
      <c r="F107" s="24"/>
      <c r="H107" s="50"/>
    </row>
    <row r="108" spans="1:9" x14ac:dyDescent="0.25">
      <c r="F108" s="24"/>
      <c r="H108" s="50"/>
    </row>
    <row r="109" spans="1:9" x14ac:dyDescent="0.25">
      <c r="F109" s="24"/>
    </row>
    <row r="110" spans="1:9" x14ac:dyDescent="0.25">
      <c r="F110" s="24"/>
      <c r="H110" s="50"/>
    </row>
    <row r="111" spans="1:9" x14ac:dyDescent="0.25">
      <c r="F111" s="24"/>
      <c r="H111" s="50"/>
    </row>
    <row r="112" spans="1:9" x14ac:dyDescent="0.25">
      <c r="F112" s="24"/>
    </row>
    <row r="113" spans="1:21" x14ac:dyDescent="0.25">
      <c r="F113" s="24"/>
      <c r="H113" s="50"/>
    </row>
    <row r="114" spans="1:21" x14ac:dyDescent="0.25">
      <c r="F114" s="24"/>
      <c r="H114" s="50"/>
    </row>
    <row r="115" spans="1:21" x14ac:dyDescent="0.25">
      <c r="F115" s="24"/>
    </row>
    <row r="116" spans="1:21" x14ac:dyDescent="0.25">
      <c r="F116" s="24"/>
    </row>
    <row r="117" spans="1:21" x14ac:dyDescent="0.25">
      <c r="F117" s="24"/>
    </row>
    <row r="118" spans="1:21" x14ac:dyDescent="0.25">
      <c r="F118" s="24"/>
    </row>
    <row r="119" spans="1:21" x14ac:dyDescent="0.25">
      <c r="F119" s="24"/>
    </row>
    <row r="120" spans="1:21" x14ac:dyDescent="0.25">
      <c r="F120" s="24"/>
    </row>
    <row r="121" spans="1:21" x14ac:dyDescent="0.25">
      <c r="F121" s="24"/>
    </row>
    <row r="122" spans="1:21" x14ac:dyDescent="0.25">
      <c r="F122" s="24"/>
    </row>
    <row r="123" spans="1:21" x14ac:dyDescent="0.25">
      <c r="F123" s="24"/>
    </row>
    <row r="124" spans="1:21" x14ac:dyDescent="0.25">
      <c r="A124" t="s">
        <v>180</v>
      </c>
      <c r="D124" t="s">
        <v>173</v>
      </c>
      <c r="F124" s="24"/>
      <c r="I124" t="s">
        <v>174</v>
      </c>
      <c r="K124" t="s">
        <v>185</v>
      </c>
      <c r="L124" t="s">
        <v>109</v>
      </c>
      <c r="T124" t="s">
        <v>179</v>
      </c>
    </row>
    <row r="125" spans="1:21" x14ac:dyDescent="0.25">
      <c r="A125" t="s">
        <v>111</v>
      </c>
      <c r="D125" s="1">
        <f>F125-E125</f>
        <v>0</v>
      </c>
      <c r="E125" s="18"/>
      <c r="F125" s="87"/>
      <c r="H125" s="1">
        <f>J125-I125</f>
        <v>0</v>
      </c>
      <c r="I125" s="1"/>
      <c r="J125" s="18"/>
      <c r="K125">
        <v>11</v>
      </c>
      <c r="L125" t="e">
        <f>AVERAGE(G125:G127)</f>
        <v>#DIV/0!</v>
      </c>
      <c r="M125" t="e">
        <f>((L125-O125)/O125)*100</f>
        <v>#DIV/0!</v>
      </c>
      <c r="O125">
        <v>2814</v>
      </c>
      <c r="Q125" t="s">
        <v>178</v>
      </c>
      <c r="R125" t="str">
        <f>A125</f>
        <v>strategy2(10)</v>
      </c>
      <c r="T125" t="e">
        <f>M125</f>
        <v>#DIV/0!</v>
      </c>
      <c r="U125" t="e">
        <f>M127</f>
        <v>#DIV/0!</v>
      </c>
    </row>
    <row r="126" spans="1:21" x14ac:dyDescent="0.25">
      <c r="A126" t="s">
        <v>111</v>
      </c>
      <c r="D126" s="1">
        <f t="shared" ref="D126:D151" si="13">F126-E126</f>
        <v>0</v>
      </c>
      <c r="E126" s="16"/>
      <c r="F126" s="24"/>
      <c r="H126" s="1">
        <f t="shared" ref="H126:H149" si="14">J126-I126</f>
        <v>0</v>
      </c>
      <c r="L126" s="48" t="e">
        <f>_xlfn.STDEV.P(G125:G127)</f>
        <v>#DIV/0!</v>
      </c>
      <c r="O126">
        <v>2814</v>
      </c>
      <c r="R126" t="str">
        <f>A128</f>
        <v>strategy2(100)</v>
      </c>
      <c r="T126" t="e">
        <f>M128</f>
        <v>#DIV/0!</v>
      </c>
      <c r="U126" t="e">
        <f>M130</f>
        <v>#DIV/0!</v>
      </c>
    </row>
    <row r="127" spans="1:21" x14ac:dyDescent="0.25">
      <c r="A127" t="s">
        <v>111</v>
      </c>
      <c r="D127" s="1">
        <f t="shared" si="13"/>
        <v>0</v>
      </c>
      <c r="E127" s="16"/>
      <c r="F127" s="24"/>
      <c r="H127" s="1">
        <f t="shared" si="14"/>
        <v>0</v>
      </c>
      <c r="I127" s="16"/>
      <c r="J127" s="16"/>
      <c r="L127" s="48" t="e">
        <f>CONFIDENCE(0.05,L126,3)</f>
        <v>#DIV/0!</v>
      </c>
      <c r="M127" t="e">
        <f>L127/O127*100</f>
        <v>#DIV/0!</v>
      </c>
      <c r="O127">
        <v>2814</v>
      </c>
      <c r="R127" t="str">
        <f>A131</f>
        <v>strategy2(1000)</v>
      </c>
      <c r="T127" t="e">
        <f>M131</f>
        <v>#DIV/0!</v>
      </c>
      <c r="U127" t="e">
        <f>M133</f>
        <v>#DIV/0!</v>
      </c>
    </row>
    <row r="128" spans="1:21" x14ac:dyDescent="0.25">
      <c r="A128" t="s">
        <v>112</v>
      </c>
      <c r="D128" s="1">
        <f t="shared" si="13"/>
        <v>0</v>
      </c>
      <c r="E128" s="16"/>
      <c r="F128" s="24"/>
      <c r="H128" s="1">
        <f t="shared" si="14"/>
        <v>0</v>
      </c>
      <c r="I128" s="18"/>
      <c r="J128" s="18"/>
      <c r="K128">
        <v>7</v>
      </c>
      <c r="L128" s="48" t="e">
        <f>AVERAGE(G128:G130)</f>
        <v>#DIV/0!</v>
      </c>
      <c r="M128" t="e">
        <f>((L128-O128)/O128)*100</f>
        <v>#DIV/0!</v>
      </c>
      <c r="O128">
        <v>2814</v>
      </c>
      <c r="R128" t="str">
        <f>A134</f>
        <v>strategy2(10000)</v>
      </c>
      <c r="T128" t="e">
        <f>M134</f>
        <v>#DIV/0!</v>
      </c>
      <c r="U128" t="e">
        <f>M136</f>
        <v>#DIV/0!</v>
      </c>
    </row>
    <row r="129" spans="1:21" x14ac:dyDescent="0.25">
      <c r="A129" t="s">
        <v>112</v>
      </c>
      <c r="D129" s="1">
        <f t="shared" si="13"/>
        <v>0</v>
      </c>
      <c r="E129" s="16"/>
      <c r="F129" s="24"/>
      <c r="H129" s="1">
        <f t="shared" si="14"/>
        <v>0</v>
      </c>
      <c r="L129" s="48" t="e">
        <f>_xlfn.STDEV.P(G128:G130)</f>
        <v>#DIV/0!</v>
      </c>
      <c r="O129">
        <v>2814</v>
      </c>
      <c r="R129" t="str">
        <f>A137</f>
        <v>strategy2(100000)</v>
      </c>
      <c r="T129" t="e">
        <f>M137</f>
        <v>#DIV/0!</v>
      </c>
      <c r="U129" t="e">
        <f>M139</f>
        <v>#DIV/0!</v>
      </c>
    </row>
    <row r="130" spans="1:21" x14ac:dyDescent="0.25">
      <c r="A130" t="s">
        <v>112</v>
      </c>
      <c r="D130" s="1">
        <f t="shared" si="13"/>
        <v>0</v>
      </c>
      <c r="E130" s="18"/>
      <c r="F130" s="87"/>
      <c r="H130" s="1">
        <f t="shared" si="14"/>
        <v>0</v>
      </c>
      <c r="I130" s="16"/>
      <c r="J130" s="16"/>
      <c r="L130" s="48" t="e">
        <f>CONFIDENCE(0.05,L129,3)</f>
        <v>#DIV/0!</v>
      </c>
      <c r="M130" t="e">
        <f>L130/O130*100</f>
        <v>#DIV/0!</v>
      </c>
      <c r="O130">
        <v>2814</v>
      </c>
      <c r="Q130" s="18"/>
    </row>
    <row r="131" spans="1:21" x14ac:dyDescent="0.25">
      <c r="A131" t="s">
        <v>113</v>
      </c>
      <c r="D131" s="1">
        <f t="shared" si="13"/>
        <v>0</v>
      </c>
      <c r="E131" s="16"/>
      <c r="F131" s="24"/>
      <c r="H131" s="1">
        <f t="shared" si="14"/>
        <v>0</v>
      </c>
      <c r="I131" s="18"/>
      <c r="J131" s="18"/>
      <c r="K131">
        <v>5</v>
      </c>
      <c r="L131" s="48" t="e">
        <f>AVERAGE(G131:G133)</f>
        <v>#DIV/0!</v>
      </c>
      <c r="M131" t="e">
        <f>((L131-O131)/O131)*100</f>
        <v>#DIV/0!</v>
      </c>
      <c r="O131">
        <v>2814</v>
      </c>
      <c r="Q131" s="18"/>
      <c r="R131" s="18"/>
      <c r="S131" s="18"/>
    </row>
    <row r="132" spans="1:21" x14ac:dyDescent="0.25">
      <c r="A132" t="s">
        <v>113</v>
      </c>
      <c r="D132" s="1">
        <f t="shared" si="13"/>
        <v>0</v>
      </c>
      <c r="E132" s="18"/>
      <c r="F132" s="87"/>
      <c r="H132" s="1">
        <f t="shared" si="14"/>
        <v>0</v>
      </c>
      <c r="L132" s="48" t="e">
        <f>_xlfn.STDEV.P(G131:G133)</f>
        <v>#DIV/0!</v>
      </c>
      <c r="O132">
        <v>2814</v>
      </c>
      <c r="Q132" s="18"/>
    </row>
    <row r="133" spans="1:21" x14ac:dyDescent="0.25">
      <c r="A133" t="s">
        <v>113</v>
      </c>
      <c r="D133" s="1">
        <f t="shared" si="13"/>
        <v>0</v>
      </c>
      <c r="E133" s="16"/>
      <c r="F133" s="24"/>
      <c r="H133" s="1">
        <f t="shared" si="14"/>
        <v>0</v>
      </c>
      <c r="I133" s="16"/>
      <c r="J133" s="16"/>
      <c r="L133" s="48" t="e">
        <f>CONFIDENCE(0.05,L132,3)</f>
        <v>#DIV/0!</v>
      </c>
      <c r="M133" t="e">
        <f>L133/O133*100</f>
        <v>#DIV/0!</v>
      </c>
      <c r="O133">
        <v>2814</v>
      </c>
      <c r="Q133" s="18"/>
    </row>
    <row r="134" spans="1:21" x14ac:dyDescent="0.25">
      <c r="A134" t="s">
        <v>128</v>
      </c>
      <c r="D134" s="1">
        <f t="shared" si="13"/>
        <v>0</v>
      </c>
      <c r="E134" s="18"/>
      <c r="F134" s="87"/>
      <c r="H134" s="1">
        <f t="shared" si="14"/>
        <v>0</v>
      </c>
      <c r="I134" s="18"/>
      <c r="J134" s="18"/>
      <c r="K134" s="84">
        <v>4</v>
      </c>
      <c r="L134" s="48" t="e">
        <f>AVERAGE(G134:G136)</f>
        <v>#DIV/0!</v>
      </c>
      <c r="M134" t="e">
        <f>((L134-O134)/O134)*100</f>
        <v>#DIV/0!</v>
      </c>
      <c r="O134">
        <v>2814</v>
      </c>
      <c r="Q134" s="18"/>
      <c r="R134" s="18"/>
      <c r="S134" s="18"/>
    </row>
    <row r="135" spans="1:21" x14ac:dyDescent="0.25">
      <c r="A135" t="s">
        <v>128</v>
      </c>
      <c r="D135" s="1">
        <f t="shared" si="13"/>
        <v>0</v>
      </c>
      <c r="E135" s="16"/>
      <c r="F135" s="24"/>
      <c r="H135" s="1">
        <f t="shared" si="14"/>
        <v>0</v>
      </c>
      <c r="L135" s="48" t="e">
        <f>_xlfn.STDEV.P(G134:G136)</f>
        <v>#DIV/0!</v>
      </c>
      <c r="O135">
        <v>2814</v>
      </c>
      <c r="Q135" s="18"/>
    </row>
    <row r="136" spans="1:21" x14ac:dyDescent="0.25">
      <c r="A136" t="s">
        <v>128</v>
      </c>
      <c r="D136" s="1">
        <f t="shared" si="13"/>
        <v>0</v>
      </c>
      <c r="E136" s="16"/>
      <c r="F136" s="24"/>
      <c r="H136" s="1">
        <f t="shared" si="14"/>
        <v>0</v>
      </c>
      <c r="L136" s="48" t="e">
        <f>CONFIDENCE(0.05,L135,3)</f>
        <v>#DIV/0!</v>
      </c>
      <c r="M136" t="e">
        <f>L136/O136*100</f>
        <v>#DIV/0!</v>
      </c>
      <c r="O136">
        <v>2814</v>
      </c>
      <c r="Q136" s="18"/>
    </row>
    <row r="137" spans="1:21" x14ac:dyDescent="0.25">
      <c r="A137" t="s">
        <v>131</v>
      </c>
      <c r="D137" s="1">
        <f t="shared" si="13"/>
        <v>0</v>
      </c>
      <c r="E137" s="16"/>
      <c r="F137" s="24"/>
      <c r="H137" s="1">
        <f t="shared" si="14"/>
        <v>0</v>
      </c>
      <c r="I137" s="18"/>
      <c r="J137" s="18"/>
      <c r="L137" s="48" t="e">
        <f>AVERAGE(G137:G139)</f>
        <v>#DIV/0!</v>
      </c>
      <c r="M137" t="e">
        <f>((L137-O137)/O137)*100</f>
        <v>#DIV/0!</v>
      </c>
      <c r="O137">
        <v>2814</v>
      </c>
      <c r="Q137" s="18"/>
      <c r="R137" s="18"/>
      <c r="S137" s="18"/>
    </row>
    <row r="138" spans="1:21" x14ac:dyDescent="0.25">
      <c r="A138" t="s">
        <v>131</v>
      </c>
      <c r="D138" s="1">
        <f t="shared" si="13"/>
        <v>0</v>
      </c>
      <c r="F138" s="24"/>
      <c r="H138" s="1">
        <f t="shared" si="14"/>
        <v>0</v>
      </c>
      <c r="I138" s="16"/>
      <c r="J138" s="16"/>
      <c r="K138">
        <v>5</v>
      </c>
      <c r="L138" s="48" t="e">
        <f>_xlfn.STDEV.P(G137:G139)</f>
        <v>#DIV/0!</v>
      </c>
      <c r="O138">
        <v>2814</v>
      </c>
      <c r="Q138" s="18"/>
    </row>
    <row r="139" spans="1:21" x14ac:dyDescent="0.25">
      <c r="A139" t="s">
        <v>131</v>
      </c>
      <c r="D139" s="1">
        <f t="shared" si="13"/>
        <v>0</v>
      </c>
      <c r="F139" s="24"/>
      <c r="H139" s="1">
        <f t="shared" si="14"/>
        <v>0</v>
      </c>
      <c r="L139" s="48" t="e">
        <f>CONFIDENCE(0.05,L138,3)</f>
        <v>#DIV/0!</v>
      </c>
      <c r="M139" t="e">
        <f>L139/O139*100</f>
        <v>#DIV/0!</v>
      </c>
      <c r="O139">
        <v>2814</v>
      </c>
      <c r="Q139" s="18"/>
    </row>
    <row r="140" spans="1:21" x14ac:dyDescent="0.25">
      <c r="A140" t="s">
        <v>169</v>
      </c>
      <c r="D140" s="1">
        <f t="shared" si="13"/>
        <v>0</v>
      </c>
      <c r="E140" s="16"/>
      <c r="F140" s="24"/>
      <c r="H140" s="1">
        <f t="shared" si="14"/>
        <v>0</v>
      </c>
      <c r="I140" s="18"/>
      <c r="J140" s="18"/>
      <c r="L140" s="48" t="e">
        <f>AVERAGE(G140:G142)</f>
        <v>#DIV/0!</v>
      </c>
      <c r="M140" t="e">
        <f>((L140-O140)/O140)*100</f>
        <v>#DIV/0!</v>
      </c>
      <c r="O140">
        <v>2814</v>
      </c>
      <c r="Q140" s="18"/>
      <c r="R140" s="18"/>
      <c r="S140" s="18"/>
    </row>
    <row r="141" spans="1:21" x14ac:dyDescent="0.25">
      <c r="A141" t="s">
        <v>169</v>
      </c>
      <c r="D141" s="1">
        <f t="shared" si="13"/>
        <v>0</v>
      </c>
      <c r="F141" s="24"/>
      <c r="H141" s="1">
        <f t="shared" si="14"/>
        <v>0</v>
      </c>
      <c r="L141" s="48" t="e">
        <f>_xlfn.STDEV.P(G140:G142)</f>
        <v>#DIV/0!</v>
      </c>
      <c r="O141">
        <v>2814</v>
      </c>
      <c r="Q141" s="18"/>
    </row>
    <row r="142" spans="1:21" x14ac:dyDescent="0.25">
      <c r="A142" t="s">
        <v>169</v>
      </c>
      <c r="D142" s="1">
        <f t="shared" si="13"/>
        <v>0</v>
      </c>
      <c r="F142" s="24"/>
      <c r="H142" s="1">
        <f t="shared" si="14"/>
        <v>0</v>
      </c>
      <c r="L142" s="48" t="e">
        <f>CONFIDENCE(0.05,L141,3)</f>
        <v>#DIV/0!</v>
      </c>
      <c r="M142" t="e">
        <f>L142/O142*100</f>
        <v>#DIV/0!</v>
      </c>
      <c r="O142">
        <v>2814</v>
      </c>
      <c r="Q142" s="18"/>
    </row>
    <row r="143" spans="1:21" x14ac:dyDescent="0.25">
      <c r="A143" t="s">
        <v>170</v>
      </c>
      <c r="D143" s="1">
        <f t="shared" si="13"/>
        <v>0</v>
      </c>
      <c r="E143" s="18"/>
      <c r="F143" s="87"/>
      <c r="H143" s="1">
        <f t="shared" si="14"/>
        <v>0</v>
      </c>
      <c r="I143" s="18"/>
      <c r="J143" s="18"/>
      <c r="L143" s="48" t="e">
        <f>AVERAGE(G143:G145)</f>
        <v>#DIV/0!</v>
      </c>
      <c r="M143" t="e">
        <f>((L143-O143)/O143)*100</f>
        <v>#DIV/0!</v>
      </c>
      <c r="O143">
        <v>2814</v>
      </c>
      <c r="Q143" s="18"/>
      <c r="R143" s="18"/>
      <c r="S143" s="18"/>
    </row>
    <row r="144" spans="1:21" x14ac:dyDescent="0.25">
      <c r="A144" t="s">
        <v>170</v>
      </c>
      <c r="D144" s="1">
        <f t="shared" si="13"/>
        <v>0</v>
      </c>
      <c r="F144" s="24"/>
      <c r="H144" s="1">
        <f t="shared" si="14"/>
        <v>0</v>
      </c>
      <c r="L144" s="48" t="e">
        <f>_xlfn.STDEV.P(G143:G145)</f>
        <v>#DIV/0!</v>
      </c>
      <c r="O144">
        <v>2814</v>
      </c>
      <c r="Q144" s="18"/>
    </row>
    <row r="145" spans="1:21" x14ac:dyDescent="0.25">
      <c r="A145" t="s">
        <v>170</v>
      </c>
      <c r="D145" s="1">
        <f t="shared" si="13"/>
        <v>0</v>
      </c>
      <c r="F145" s="24"/>
      <c r="H145" s="1">
        <f t="shared" si="14"/>
        <v>0</v>
      </c>
      <c r="L145" s="48" t="e">
        <f>CONFIDENCE(0.05,L144,3)</f>
        <v>#DIV/0!</v>
      </c>
      <c r="M145" t="e">
        <f>L145/O145*100</f>
        <v>#DIV/0!</v>
      </c>
      <c r="O145">
        <v>2814</v>
      </c>
      <c r="Q145" s="18"/>
    </row>
    <row r="146" spans="1:21" x14ac:dyDescent="0.25">
      <c r="A146" t="s">
        <v>171</v>
      </c>
      <c r="D146" s="1">
        <f t="shared" si="13"/>
        <v>0</v>
      </c>
      <c r="E146" s="16"/>
      <c r="F146" s="24"/>
      <c r="H146" s="1">
        <f t="shared" si="14"/>
        <v>0</v>
      </c>
      <c r="I146" s="18"/>
      <c r="J146" s="18"/>
      <c r="L146" s="48" t="e">
        <f>AVERAGE(G146:G148)</f>
        <v>#DIV/0!</v>
      </c>
      <c r="M146" t="e">
        <f>((L146-O146)/O146)*100</f>
        <v>#DIV/0!</v>
      </c>
      <c r="O146">
        <v>2814</v>
      </c>
      <c r="Q146" s="18"/>
      <c r="R146" s="18"/>
      <c r="S146" s="18"/>
    </row>
    <row r="147" spans="1:21" x14ac:dyDescent="0.25">
      <c r="A147" t="s">
        <v>171</v>
      </c>
      <c r="D147" s="1">
        <f t="shared" si="13"/>
        <v>0</v>
      </c>
      <c r="F147" s="24"/>
      <c r="H147" s="1">
        <f t="shared" si="14"/>
        <v>0</v>
      </c>
      <c r="L147" s="48" t="e">
        <f>_xlfn.STDEV.P(G146:G148)</f>
        <v>#DIV/0!</v>
      </c>
      <c r="O147">
        <v>2814</v>
      </c>
      <c r="Q147" s="18"/>
    </row>
    <row r="148" spans="1:21" x14ac:dyDescent="0.25">
      <c r="A148" t="s">
        <v>171</v>
      </c>
      <c r="D148" s="1">
        <f t="shared" si="13"/>
        <v>0</v>
      </c>
      <c r="F148" s="24"/>
      <c r="H148" s="1">
        <f t="shared" si="14"/>
        <v>0</v>
      </c>
      <c r="L148" s="48" t="e">
        <f>CONFIDENCE(0.05,L147,3)</f>
        <v>#DIV/0!</v>
      </c>
      <c r="M148" t="e">
        <f>L148/O148*100</f>
        <v>#DIV/0!</v>
      </c>
      <c r="O148">
        <v>2814</v>
      </c>
      <c r="Q148" s="18"/>
    </row>
    <row r="149" spans="1:21" x14ac:dyDescent="0.25">
      <c r="A149" t="s">
        <v>172</v>
      </c>
      <c r="D149" s="1">
        <f t="shared" si="13"/>
        <v>0</v>
      </c>
      <c r="E149" s="16"/>
      <c r="F149" s="24"/>
      <c r="H149" s="1">
        <f t="shared" si="14"/>
        <v>0</v>
      </c>
      <c r="I149" s="18"/>
      <c r="J149" s="18"/>
      <c r="L149" s="48" t="e">
        <f>AVERAGE(G149:G151)</f>
        <v>#DIV/0!</v>
      </c>
      <c r="M149" t="e">
        <f>((L149-O149)/O149)*100</f>
        <v>#DIV/0!</v>
      </c>
      <c r="O149">
        <v>2814</v>
      </c>
      <c r="Q149" s="18"/>
      <c r="R149" s="18"/>
      <c r="S149" s="18"/>
    </row>
    <row r="150" spans="1:21" x14ac:dyDescent="0.25">
      <c r="A150" t="s">
        <v>172</v>
      </c>
      <c r="D150" s="1">
        <f t="shared" si="13"/>
        <v>0</v>
      </c>
      <c r="F150" s="24"/>
      <c r="L150" s="48" t="e">
        <f>_xlfn.STDEV.P(G149:G151)</f>
        <v>#DIV/0!</v>
      </c>
      <c r="O150">
        <v>2814</v>
      </c>
    </row>
    <row r="151" spans="1:21" x14ac:dyDescent="0.25">
      <c r="A151" t="s">
        <v>172</v>
      </c>
      <c r="D151" s="1">
        <f t="shared" si="13"/>
        <v>0</v>
      </c>
      <c r="F151" s="24"/>
      <c r="L151" s="48" t="e">
        <f>CONFIDENCE(0.05,L150,3)</f>
        <v>#DIV/0!</v>
      </c>
      <c r="M151" t="e">
        <f>L151/O151*100</f>
        <v>#DIV/0!</v>
      </c>
      <c r="O151">
        <v>2814</v>
      </c>
    </row>
    <row r="152" spans="1:21" x14ac:dyDescent="0.25">
      <c r="F152" s="24"/>
    </row>
    <row r="153" spans="1:21" x14ac:dyDescent="0.25">
      <c r="F153" s="24"/>
    </row>
    <row r="154" spans="1:21" x14ac:dyDescent="0.25">
      <c r="F154" s="24"/>
    </row>
    <row r="155" spans="1:21" x14ac:dyDescent="0.25">
      <c r="F155" s="24"/>
    </row>
    <row r="156" spans="1:21" x14ac:dyDescent="0.25">
      <c r="A156" t="s">
        <v>181</v>
      </c>
      <c r="F156" s="24"/>
      <c r="I156" t="s">
        <v>174</v>
      </c>
      <c r="L156" t="s">
        <v>109</v>
      </c>
      <c r="T156" t="s">
        <v>179</v>
      </c>
    </row>
    <row r="157" spans="1:21" x14ac:dyDescent="0.25">
      <c r="A157" t="s">
        <v>119</v>
      </c>
      <c r="D157" s="1"/>
      <c r="E157" s="18"/>
      <c r="F157" s="87">
        <f>(G157-O157)/O157*100</f>
        <v>-100</v>
      </c>
      <c r="H157" s="1">
        <f>J157-I157</f>
        <v>0</v>
      </c>
      <c r="I157" s="16"/>
      <c r="J157" s="16"/>
      <c r="K157" t="s">
        <v>184</v>
      </c>
      <c r="L157" t="e">
        <f>AVERAGE(G157:G159)</f>
        <v>#DIV/0!</v>
      </c>
      <c r="M157" t="e">
        <f>((L157-O157)/O157)*100</f>
        <v>#DIV/0!</v>
      </c>
      <c r="O157">
        <v>2814</v>
      </c>
      <c r="Q157" t="s">
        <v>178</v>
      </c>
      <c r="R157" t="str">
        <f>A157</f>
        <v>strategy4(10)</v>
      </c>
      <c r="T157" t="e">
        <f>M157</f>
        <v>#DIV/0!</v>
      </c>
      <c r="U157" t="e">
        <f>M159</f>
        <v>#DIV/0!</v>
      </c>
    </row>
    <row r="158" spans="1:21" x14ac:dyDescent="0.25">
      <c r="A158" t="s">
        <v>119</v>
      </c>
      <c r="D158" s="1"/>
      <c r="E158" s="16"/>
      <c r="F158" s="24"/>
      <c r="H158" s="1">
        <f t="shared" ref="H158:H181" si="15">J158-I158</f>
        <v>0</v>
      </c>
      <c r="I158" s="16"/>
      <c r="J158" s="16"/>
      <c r="L158" s="48" t="e">
        <f>_xlfn.STDEV.P(G157:G159)</f>
        <v>#DIV/0!</v>
      </c>
      <c r="O158">
        <v>2814</v>
      </c>
      <c r="R158" t="str">
        <f>A160</f>
        <v>strategy4(100)</v>
      </c>
      <c r="T158" t="e">
        <f>M160</f>
        <v>#DIV/0!</v>
      </c>
      <c r="U158" t="e">
        <f>M162</f>
        <v>#DIV/0!</v>
      </c>
    </row>
    <row r="159" spans="1:21" x14ac:dyDescent="0.25">
      <c r="A159" t="s">
        <v>119</v>
      </c>
      <c r="D159" s="1"/>
      <c r="E159" s="16"/>
      <c r="F159" s="24"/>
      <c r="H159" s="1">
        <f t="shared" si="15"/>
        <v>0</v>
      </c>
      <c r="I159" s="16"/>
      <c r="J159" s="85"/>
      <c r="L159" s="48" t="e">
        <f>CONFIDENCE(0.05,L158,3)</f>
        <v>#DIV/0!</v>
      </c>
      <c r="M159" t="e">
        <f>L159/O159*100</f>
        <v>#DIV/0!</v>
      </c>
      <c r="O159">
        <v>2814</v>
      </c>
      <c r="R159" t="str">
        <f>A163</f>
        <v>strategy4(1000)</v>
      </c>
      <c r="T159" t="e">
        <f>M163</f>
        <v>#DIV/0!</v>
      </c>
      <c r="U159" t="e">
        <f>M165</f>
        <v>#DIV/0!</v>
      </c>
    </row>
    <row r="160" spans="1:21" x14ac:dyDescent="0.25">
      <c r="A160" t="s">
        <v>115</v>
      </c>
      <c r="D160" s="1"/>
      <c r="E160" s="16"/>
      <c r="F160" s="24"/>
      <c r="H160" s="1">
        <f>J160-I160</f>
        <v>0</v>
      </c>
      <c r="I160" s="16"/>
      <c r="J160" s="16"/>
      <c r="K160">
        <v>6</v>
      </c>
      <c r="L160" s="48" t="e">
        <f>AVERAGE(G160:G162)</f>
        <v>#DIV/0!</v>
      </c>
      <c r="M160" t="e">
        <f>((L160-O160)/O160)*100</f>
        <v>#DIV/0!</v>
      </c>
      <c r="O160">
        <v>2814</v>
      </c>
      <c r="R160" t="str">
        <f>A166</f>
        <v>strategy4(10000)</v>
      </c>
      <c r="T160" t="e">
        <f>M166</f>
        <v>#DIV/0!</v>
      </c>
      <c r="U160" t="e">
        <f>M168</f>
        <v>#DIV/0!</v>
      </c>
    </row>
    <row r="161" spans="1:21" x14ac:dyDescent="0.25">
      <c r="A161" t="s">
        <v>115</v>
      </c>
      <c r="D161" s="1"/>
      <c r="E161" s="16"/>
      <c r="F161" s="24"/>
      <c r="H161" s="1">
        <f>J161-I161</f>
        <v>0</v>
      </c>
      <c r="I161" s="16"/>
      <c r="J161" s="16"/>
      <c r="L161" s="48" t="e">
        <f>_xlfn.STDEV.P(G160:G162)</f>
        <v>#DIV/0!</v>
      </c>
      <c r="O161">
        <v>2814</v>
      </c>
      <c r="R161" t="str">
        <f>A169</f>
        <v>strategy4(100000)</v>
      </c>
      <c r="T161" t="e">
        <f>M169</f>
        <v>#DIV/0!</v>
      </c>
      <c r="U161" t="e">
        <f>M171</f>
        <v>#DIV/0!</v>
      </c>
    </row>
    <row r="162" spans="1:21" x14ac:dyDescent="0.25">
      <c r="A162" t="s">
        <v>115</v>
      </c>
      <c r="D162" s="1"/>
      <c r="E162" s="18"/>
      <c r="F162" s="87"/>
      <c r="H162" s="1">
        <f t="shared" si="15"/>
        <v>0</v>
      </c>
      <c r="I162" s="16"/>
      <c r="J162" s="16"/>
      <c r="L162" s="48" t="e">
        <f>CONFIDENCE(0.05,L161,3)</f>
        <v>#DIV/0!</v>
      </c>
      <c r="M162" t="e">
        <f>L162/O162*100</f>
        <v>#DIV/0!</v>
      </c>
      <c r="O162">
        <v>2814</v>
      </c>
      <c r="Q162" s="18"/>
    </row>
    <row r="163" spans="1:21" x14ac:dyDescent="0.25">
      <c r="A163" t="s">
        <v>120</v>
      </c>
      <c r="D163" s="1"/>
      <c r="E163" s="16"/>
      <c r="F163" s="24"/>
      <c r="H163" s="1">
        <f t="shared" si="15"/>
        <v>0</v>
      </c>
      <c r="I163" s="16"/>
      <c r="J163" s="16"/>
      <c r="K163">
        <v>5</v>
      </c>
      <c r="L163" s="48" t="e">
        <f>AVERAGE(G163:G165)</f>
        <v>#DIV/0!</v>
      </c>
      <c r="M163" t="e">
        <f>((L163-O163)/O163)*100</f>
        <v>#DIV/0!</v>
      </c>
      <c r="O163">
        <v>2814</v>
      </c>
      <c r="Q163" s="18"/>
      <c r="R163" s="18"/>
      <c r="S163" s="18"/>
    </row>
    <row r="164" spans="1:21" x14ac:dyDescent="0.25">
      <c r="A164" t="s">
        <v>120</v>
      </c>
      <c r="D164" s="1"/>
      <c r="E164" s="18"/>
      <c r="F164" s="87"/>
      <c r="H164" s="1">
        <f t="shared" si="15"/>
        <v>0</v>
      </c>
      <c r="I164" s="16"/>
      <c r="J164" s="16"/>
      <c r="L164" s="48" t="e">
        <f>_xlfn.STDEV.P(G163:G165)</f>
        <v>#DIV/0!</v>
      </c>
      <c r="O164">
        <v>2814</v>
      </c>
      <c r="Q164" s="18"/>
    </row>
    <row r="165" spans="1:21" x14ac:dyDescent="0.25">
      <c r="A165" t="s">
        <v>120</v>
      </c>
      <c r="D165" s="1"/>
      <c r="E165" s="16"/>
      <c r="F165" s="24"/>
      <c r="H165" s="1">
        <f t="shared" si="15"/>
        <v>0</v>
      </c>
      <c r="I165" s="16"/>
      <c r="J165" s="16"/>
      <c r="L165" s="48" t="e">
        <f>CONFIDENCE(0.05,L164,3)</f>
        <v>#DIV/0!</v>
      </c>
      <c r="M165" t="e">
        <f>L165/O165*100</f>
        <v>#DIV/0!</v>
      </c>
      <c r="O165">
        <v>2814</v>
      </c>
      <c r="Q165" s="18"/>
    </row>
    <row r="166" spans="1:21" x14ac:dyDescent="0.25">
      <c r="A166" t="s">
        <v>129</v>
      </c>
      <c r="D166" s="1"/>
      <c r="E166" s="18"/>
      <c r="F166" s="87"/>
      <c r="H166" s="1">
        <f t="shared" si="15"/>
        <v>0</v>
      </c>
      <c r="I166" s="16"/>
      <c r="J166" s="16"/>
      <c r="K166">
        <v>4</v>
      </c>
      <c r="L166" s="48" t="e">
        <f>AVERAGE(G166:G168)</f>
        <v>#DIV/0!</v>
      </c>
      <c r="M166" t="e">
        <f>((L166-O166)/O166)*100</f>
        <v>#DIV/0!</v>
      </c>
      <c r="O166">
        <v>2814</v>
      </c>
      <c r="Q166" s="18"/>
      <c r="R166" s="18"/>
      <c r="S166" s="18"/>
    </row>
    <row r="167" spans="1:21" x14ac:dyDescent="0.25">
      <c r="A167" t="s">
        <v>129</v>
      </c>
      <c r="D167" s="1"/>
      <c r="E167" s="16"/>
      <c r="F167" s="24"/>
      <c r="H167" s="1">
        <f t="shared" si="15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21" x14ac:dyDescent="0.25">
      <c r="A168" t="s">
        <v>129</v>
      </c>
      <c r="D168" s="1"/>
      <c r="E168" s="16"/>
      <c r="F168" s="24"/>
      <c r="H168" s="1">
        <f t="shared" si="15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21" x14ac:dyDescent="0.25">
      <c r="A169" t="s">
        <v>132</v>
      </c>
      <c r="D169" s="1"/>
      <c r="E169" s="16"/>
      <c r="F169" s="24"/>
      <c r="H169" s="1">
        <f t="shared" si="15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21" x14ac:dyDescent="0.25">
      <c r="A170" t="s">
        <v>132</v>
      </c>
      <c r="D170" s="1"/>
      <c r="F170" s="24"/>
      <c r="H170" s="1">
        <f t="shared" si="15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21" x14ac:dyDescent="0.25">
      <c r="A171" t="s">
        <v>132</v>
      </c>
      <c r="D171" s="1"/>
      <c r="F171" s="24"/>
      <c r="H171" s="1">
        <f t="shared" si="15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21" x14ac:dyDescent="0.25">
      <c r="A172" t="s">
        <v>187</v>
      </c>
      <c r="D172" s="1"/>
      <c r="E172" s="16"/>
      <c r="F172" s="24"/>
      <c r="H172" s="1">
        <f t="shared" si="15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21" x14ac:dyDescent="0.25">
      <c r="A173" t="s">
        <v>187</v>
      </c>
      <c r="D173" s="1"/>
      <c r="F173" s="24"/>
      <c r="H173" s="1">
        <f t="shared" si="15"/>
        <v>0</v>
      </c>
      <c r="I173" s="16"/>
      <c r="J173" s="16"/>
      <c r="L173" s="48" t="e">
        <f>_xlfn.STDEV.P(G172:G174)</f>
        <v>#DIV/0!</v>
      </c>
      <c r="O173">
        <v>2814</v>
      </c>
      <c r="Q173" s="18"/>
    </row>
    <row r="174" spans="1:21" x14ac:dyDescent="0.25">
      <c r="A174" t="s">
        <v>187</v>
      </c>
      <c r="D174" s="1"/>
      <c r="F174" s="24"/>
      <c r="H174" s="1">
        <f t="shared" si="15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21" x14ac:dyDescent="0.25">
      <c r="A175" t="s">
        <v>188</v>
      </c>
      <c r="D175" s="1"/>
      <c r="E175" s="18"/>
      <c r="F175" s="87"/>
      <c r="H175" s="1">
        <f t="shared" si="15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21" x14ac:dyDescent="0.25">
      <c r="A176" t="s">
        <v>188</v>
      </c>
      <c r="D176" s="1"/>
      <c r="F176" s="24"/>
      <c r="H176" s="1">
        <f t="shared" si="15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188</v>
      </c>
      <c r="D177" s="1"/>
      <c r="F177" s="24"/>
      <c r="H177" s="1">
        <f t="shared" si="15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189</v>
      </c>
      <c r="D178" s="1"/>
      <c r="E178" s="16"/>
      <c r="F178" s="24"/>
      <c r="H178" s="1">
        <f t="shared" si="15"/>
        <v>0</v>
      </c>
      <c r="I178" s="16"/>
      <c r="J178" s="16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189</v>
      </c>
      <c r="D179" s="1"/>
      <c r="F179" s="24"/>
      <c r="H179" s="1">
        <f t="shared" si="15"/>
        <v>0</v>
      </c>
      <c r="L179" s="48" t="e">
        <f>_xlfn.STDEV.P(G178:G180)</f>
        <v>#DIV/0!</v>
      </c>
      <c r="O179">
        <v>2814</v>
      </c>
      <c r="Q179" s="18"/>
    </row>
    <row r="180" spans="1:19" x14ac:dyDescent="0.25">
      <c r="A180" t="s">
        <v>189</v>
      </c>
      <c r="D180" s="1"/>
      <c r="F180" s="24"/>
      <c r="H180" s="1">
        <f t="shared" si="15"/>
        <v>0</v>
      </c>
      <c r="L180" s="48" t="e">
        <f>CONFIDENCE(0.05,L179,3)</f>
        <v>#DIV/0!</v>
      </c>
      <c r="M180" t="e">
        <f>L180/O180*100</f>
        <v>#DIV/0!</v>
      </c>
      <c r="O180">
        <v>2814</v>
      </c>
      <c r="Q180" s="18"/>
    </row>
    <row r="181" spans="1:19" x14ac:dyDescent="0.25">
      <c r="A181" t="s">
        <v>190</v>
      </c>
      <c r="D181" s="1"/>
      <c r="E181" s="16"/>
      <c r="F181" s="24"/>
      <c r="H181" s="1">
        <f t="shared" si="15"/>
        <v>0</v>
      </c>
      <c r="I181" s="18"/>
      <c r="J181" s="18"/>
      <c r="L181" s="48" t="e">
        <f>AVERAGE(G181:G183)</f>
        <v>#DIV/0!</v>
      </c>
      <c r="M181" t="e">
        <f>((L181-O181)/L181)*100</f>
        <v>#DIV/0!</v>
      </c>
      <c r="O181">
        <v>2814</v>
      </c>
      <c r="Q181" s="18"/>
      <c r="R181" s="18"/>
      <c r="S181" s="18"/>
    </row>
    <row r="182" spans="1:19" x14ac:dyDescent="0.25">
      <c r="A182" t="s">
        <v>190</v>
      </c>
      <c r="D182" s="1"/>
      <c r="F182" s="24"/>
      <c r="L182" s="48" t="e">
        <f>_xlfn.STDEV.P(G181:G183)</f>
        <v>#DIV/0!</v>
      </c>
      <c r="O182">
        <v>2814</v>
      </c>
    </row>
    <row r="183" spans="1:19" x14ac:dyDescent="0.25">
      <c r="A183" t="s">
        <v>190</v>
      </c>
      <c r="D183" s="1"/>
      <c r="F183" s="24"/>
      <c r="L183" s="48" t="e">
        <f>CONFIDENCE(0.05,L182,3)</f>
        <v>#DIV/0!</v>
      </c>
      <c r="M183" t="e">
        <f>L183/O183*100</f>
        <v>#DIV/0!</v>
      </c>
      <c r="O183">
        <v>2814</v>
      </c>
    </row>
    <row r="184" spans="1:19" x14ac:dyDescent="0.25">
      <c r="F184" s="24"/>
    </row>
    <row r="185" spans="1:19" x14ac:dyDescent="0.25">
      <c r="F185" s="24"/>
    </row>
    <row r="186" spans="1:19" x14ac:dyDescent="0.25">
      <c r="F186" s="24"/>
    </row>
    <row r="187" spans="1:19" x14ac:dyDescent="0.25">
      <c r="F187" s="24"/>
    </row>
    <row r="188" spans="1:19" x14ac:dyDescent="0.25">
      <c r="F188" s="24"/>
    </row>
    <row r="189" spans="1:19" x14ac:dyDescent="0.25">
      <c r="F189" s="24"/>
    </row>
    <row r="190" spans="1:19" x14ac:dyDescent="0.25">
      <c r="F190" s="24"/>
    </row>
    <row r="191" spans="1:19" x14ac:dyDescent="0.25">
      <c r="F191" s="24"/>
    </row>
    <row r="192" spans="1:19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zoomScale="85" zoomScaleNormal="85" workbookViewId="0">
      <selection activeCell="I44" sqref="I44"/>
    </sheetView>
  </sheetViews>
  <sheetFormatPr defaultRowHeight="15" x14ac:dyDescent="0.25"/>
  <sheetData>
    <row r="1" spans="1:21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  <c r="R1" t="s">
        <v>197</v>
      </c>
    </row>
    <row r="2" spans="1:21" x14ac:dyDescent="0.25">
      <c r="A2" t="s">
        <v>101</v>
      </c>
      <c r="D2">
        <f>98*60+48</f>
        <v>5928</v>
      </c>
      <c r="E2" s="16">
        <f>G2-F2</f>
        <v>6.8611111111111289E-2</v>
      </c>
      <c r="F2" s="16">
        <v>0.99231481481481476</v>
      </c>
      <c r="G2" s="16">
        <v>1.060925925925926</v>
      </c>
      <c r="J2" s="28">
        <v>10</v>
      </c>
      <c r="K2" s="26">
        <f>339*60+38</f>
        <v>20378</v>
      </c>
      <c r="L2" s="1">
        <f>N2-M2</f>
        <v>0.23585648148148147</v>
      </c>
      <c r="M2" s="16">
        <v>0.38628472222222227</v>
      </c>
      <c r="N2" s="16">
        <v>0.62214120370370374</v>
      </c>
      <c r="O2">
        <v>13</v>
      </c>
      <c r="R2" t="s">
        <v>198</v>
      </c>
      <c r="S2" t="s">
        <v>202</v>
      </c>
      <c r="T2" t="s">
        <v>199</v>
      </c>
      <c r="U2" t="s">
        <v>203</v>
      </c>
    </row>
    <row r="3" spans="1:21" x14ac:dyDescent="0.25">
      <c r="A3" t="s">
        <v>101</v>
      </c>
      <c r="E3" s="16">
        <f t="shared" ref="E3:E49" si="0">G3-F3</f>
        <v>0</v>
      </c>
      <c r="F3" s="18"/>
      <c r="G3" s="18"/>
      <c r="J3" s="28">
        <v>100</v>
      </c>
      <c r="K3" s="26">
        <f>272*60+44</f>
        <v>16364</v>
      </c>
      <c r="L3" s="1">
        <f t="shared" ref="L3:L9" si="1">N3-M3</f>
        <v>0.18939814814814815</v>
      </c>
      <c r="M3" s="16">
        <v>0.62222222222222223</v>
      </c>
      <c r="N3" s="16">
        <v>0.81162037037037038</v>
      </c>
      <c r="O3">
        <v>9</v>
      </c>
    </row>
    <row r="4" spans="1:21" x14ac:dyDescent="0.25">
      <c r="A4" t="s">
        <v>101</v>
      </c>
      <c r="E4" s="16">
        <f t="shared" si="0"/>
        <v>0</v>
      </c>
      <c r="F4" s="16"/>
      <c r="G4" s="16"/>
      <c r="J4" s="28">
        <v>1000</v>
      </c>
      <c r="K4" s="26">
        <f>136*60+55</f>
        <v>8215</v>
      </c>
      <c r="L4" s="1">
        <f t="shared" si="1"/>
        <v>9.5081018518518579E-2</v>
      </c>
      <c r="M4" s="16">
        <v>0.81168981481481473</v>
      </c>
      <c r="N4" s="16">
        <v>0.9067708333333333</v>
      </c>
      <c r="O4">
        <v>6</v>
      </c>
    </row>
    <row r="5" spans="1:21" x14ac:dyDescent="0.25">
      <c r="A5" t="s">
        <v>105</v>
      </c>
      <c r="D5">
        <f>102*60+49</f>
        <v>6169</v>
      </c>
      <c r="E5" s="16">
        <f t="shared" si="0"/>
        <v>7.1400462962962957E-2</v>
      </c>
      <c r="F5" s="16">
        <v>6.100694444444444E-2</v>
      </c>
      <c r="G5" s="16">
        <v>0.13240740740740739</v>
      </c>
      <c r="J5" s="28">
        <v>10000</v>
      </c>
      <c r="K5" s="26">
        <f>95*60+59</f>
        <v>5759</v>
      </c>
      <c r="L5" s="1">
        <f t="shared" si="1"/>
        <v>6.6655092592592613E-2</v>
      </c>
      <c r="M5" s="16">
        <v>0.90687499999999999</v>
      </c>
      <c r="N5" s="16">
        <v>0.9735300925925926</v>
      </c>
      <c r="O5">
        <v>4</v>
      </c>
    </row>
    <row r="6" spans="1:21" x14ac:dyDescent="0.25">
      <c r="A6" t="s">
        <v>105</v>
      </c>
      <c r="E6" s="16">
        <f t="shared" si="0"/>
        <v>0</v>
      </c>
      <c r="F6" s="18"/>
      <c r="G6" s="18"/>
      <c r="J6" s="28">
        <v>100000</v>
      </c>
      <c r="K6" s="26">
        <f>111*60+28</f>
        <v>6688</v>
      </c>
      <c r="L6" s="1">
        <f t="shared" si="1"/>
        <v>7.740740740740748E-2</v>
      </c>
      <c r="M6" s="16">
        <v>0.97363425925925917</v>
      </c>
      <c r="N6" s="16">
        <v>1.0510416666666667</v>
      </c>
      <c r="O6">
        <v>2</v>
      </c>
    </row>
    <row r="7" spans="1:21" x14ac:dyDescent="0.25">
      <c r="A7" t="s">
        <v>105</v>
      </c>
      <c r="E7" s="16">
        <f t="shared" si="0"/>
        <v>0</v>
      </c>
      <c r="F7" s="16"/>
      <c r="G7" s="16"/>
      <c r="J7" s="28">
        <v>1000000</v>
      </c>
      <c r="K7" s="26">
        <f>143*60+51</f>
        <v>8631</v>
      </c>
      <c r="L7" s="1">
        <f t="shared" si="1"/>
        <v>9.9895833333333323E-2</v>
      </c>
      <c r="M7" s="16">
        <v>5.1145833333333335E-2</v>
      </c>
      <c r="N7" s="16">
        <v>0.15104166666666666</v>
      </c>
      <c r="O7">
        <v>2</v>
      </c>
    </row>
    <row r="8" spans="1:21" x14ac:dyDescent="0.25">
      <c r="A8" t="s">
        <v>110</v>
      </c>
      <c r="D8">
        <f>102*60+21</f>
        <v>6141</v>
      </c>
      <c r="E8" s="16">
        <f t="shared" si="0"/>
        <v>7.1076388888888897E-2</v>
      </c>
      <c r="F8" s="16">
        <v>0.13251157407407407</v>
      </c>
      <c r="G8" s="16">
        <v>0.20358796296296297</v>
      </c>
      <c r="J8" s="28">
        <v>10000000</v>
      </c>
      <c r="K8" s="26">
        <f>153*60+47</f>
        <v>9227</v>
      </c>
      <c r="L8" s="1">
        <f t="shared" si="1"/>
        <v>9.9849537037037028E-2</v>
      </c>
      <c r="M8" s="16">
        <v>0.15115740740740741</v>
      </c>
      <c r="N8" s="16">
        <v>0.25100694444444444</v>
      </c>
      <c r="O8">
        <v>2</v>
      </c>
    </row>
    <row r="9" spans="1:21" x14ac:dyDescent="0.25">
      <c r="A9" t="s">
        <v>110</v>
      </c>
      <c r="E9" s="16">
        <f t="shared" si="0"/>
        <v>0</v>
      </c>
      <c r="F9" s="18"/>
      <c r="G9" s="18"/>
      <c r="J9" s="28">
        <v>100000000</v>
      </c>
      <c r="K9" s="48">
        <f>144*60+10</f>
        <v>8650</v>
      </c>
      <c r="L9" s="1">
        <f t="shared" si="1"/>
        <v>0.10011574074074076</v>
      </c>
      <c r="M9" s="16">
        <v>0.25107638888888889</v>
      </c>
      <c r="N9" s="16">
        <v>0.35119212962962965</v>
      </c>
      <c r="O9">
        <v>2</v>
      </c>
      <c r="R9" t="s">
        <v>198</v>
      </c>
      <c r="S9" t="s">
        <v>201</v>
      </c>
      <c r="T9" t="s">
        <v>199</v>
      </c>
      <c r="U9" t="s">
        <v>200</v>
      </c>
    </row>
    <row r="10" spans="1:21" x14ac:dyDescent="0.25">
      <c r="A10" t="s">
        <v>110</v>
      </c>
      <c r="E10" s="16">
        <f t="shared" si="0"/>
        <v>0</v>
      </c>
      <c r="F10" s="16"/>
      <c r="G10" s="16"/>
      <c r="L10" s="48"/>
    </row>
    <row r="11" spans="1:21" x14ac:dyDescent="0.25">
      <c r="A11" t="s">
        <v>111</v>
      </c>
      <c r="D11">
        <f>278*60+1</f>
        <v>16681</v>
      </c>
      <c r="E11" s="16">
        <f t="shared" si="0"/>
        <v>0.19306712962962957</v>
      </c>
      <c r="F11" s="16">
        <v>0.31443287037037038</v>
      </c>
      <c r="G11" s="16">
        <v>0.50749999999999995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21" x14ac:dyDescent="0.25">
      <c r="A12" t="s">
        <v>111</v>
      </c>
      <c r="E12" s="16">
        <f t="shared" si="0"/>
        <v>0</v>
      </c>
      <c r="F12" s="16"/>
      <c r="G12" s="16"/>
      <c r="J12" s="28">
        <v>10</v>
      </c>
      <c r="K12" s="26">
        <f>339*60+38</f>
        <v>20378</v>
      </c>
      <c r="L12" s="1">
        <f>N12-M12</f>
        <v>0.23585648148148147</v>
      </c>
      <c r="M12" s="16">
        <v>0.38628472222222227</v>
      </c>
      <c r="N12" s="16">
        <v>0.62214120370370374</v>
      </c>
    </row>
    <row r="13" spans="1:21" x14ac:dyDescent="0.25">
      <c r="A13" t="s">
        <v>111</v>
      </c>
      <c r="E13" s="16">
        <f t="shared" si="0"/>
        <v>0</v>
      </c>
      <c r="F13" s="16"/>
      <c r="G13" s="16"/>
      <c r="J13" s="28">
        <v>100</v>
      </c>
      <c r="K13" s="26">
        <f>272*60+44</f>
        <v>16364</v>
      </c>
      <c r="L13" s="1">
        <f t="shared" ref="L13:L19" si="2">N13-M13</f>
        <v>0.18939814814814815</v>
      </c>
      <c r="M13" s="16">
        <v>0.62222222222222223</v>
      </c>
      <c r="N13" s="16">
        <v>0.81162037037037038</v>
      </c>
    </row>
    <row r="14" spans="1:21" x14ac:dyDescent="0.25">
      <c r="A14" t="s">
        <v>112</v>
      </c>
      <c r="D14">
        <f>100*60+36</f>
        <v>6036</v>
      </c>
      <c r="E14" s="16">
        <f t="shared" si="0"/>
        <v>6.9861111111111152E-2</v>
      </c>
      <c r="F14" s="16">
        <v>0.50760416666666663</v>
      </c>
      <c r="G14" s="16">
        <v>0.57746527777777779</v>
      </c>
      <c r="J14" s="28">
        <v>1000</v>
      </c>
      <c r="K14" s="26">
        <f>136*60+55</f>
        <v>8215</v>
      </c>
      <c r="L14" s="1">
        <f t="shared" si="2"/>
        <v>9.5081018518518579E-2</v>
      </c>
      <c r="M14" s="16">
        <v>0.81168981481481473</v>
      </c>
      <c r="N14" s="16">
        <v>0.9067708333333333</v>
      </c>
    </row>
    <row r="15" spans="1:21" x14ac:dyDescent="0.25">
      <c r="A15" t="s">
        <v>112</v>
      </c>
      <c r="E15" s="16">
        <f t="shared" si="0"/>
        <v>0</v>
      </c>
      <c r="F15" s="16"/>
      <c r="G15" s="16"/>
      <c r="J15" s="28">
        <v>10000</v>
      </c>
      <c r="K15" s="26">
        <f>95*60+59</f>
        <v>5759</v>
      </c>
      <c r="L15" s="1">
        <f t="shared" si="2"/>
        <v>6.6655092592592613E-2</v>
      </c>
      <c r="M15" s="16">
        <v>0.90687499999999999</v>
      </c>
      <c r="N15" s="16">
        <v>0.9735300925925926</v>
      </c>
    </row>
    <row r="16" spans="1:21" x14ac:dyDescent="0.25">
      <c r="A16" t="s">
        <v>112</v>
      </c>
      <c r="E16" s="16">
        <f t="shared" si="0"/>
        <v>0</v>
      </c>
      <c r="F16" s="16"/>
      <c r="G16" s="16"/>
      <c r="J16" s="28">
        <v>100000</v>
      </c>
      <c r="K16" s="26">
        <f>111*60+28</f>
        <v>6688</v>
      </c>
      <c r="L16" s="1">
        <f t="shared" si="2"/>
        <v>7.740740740740748E-2</v>
      </c>
      <c r="M16" s="16">
        <v>0.97363425925925917</v>
      </c>
      <c r="N16" s="16">
        <v>1.0510416666666667</v>
      </c>
    </row>
    <row r="17" spans="1:15" x14ac:dyDescent="0.25">
      <c r="A17" t="s">
        <v>113</v>
      </c>
      <c r="D17">
        <f>98*60+48</f>
        <v>5928</v>
      </c>
      <c r="E17" s="16">
        <f t="shared" si="0"/>
        <v>6.8611111111111067E-2</v>
      </c>
      <c r="F17" s="16">
        <v>0.57756944444444447</v>
      </c>
      <c r="G17" s="16">
        <v>0.64618055555555554</v>
      </c>
      <c r="J17" s="28">
        <v>1000000</v>
      </c>
      <c r="K17" s="26">
        <f>143*60+51</f>
        <v>8631</v>
      </c>
      <c r="L17" s="1">
        <f t="shared" si="2"/>
        <v>9.9895833333333323E-2</v>
      </c>
      <c r="M17" s="16">
        <v>5.1145833333333335E-2</v>
      </c>
      <c r="N17" s="16">
        <v>0.15104166666666666</v>
      </c>
    </row>
    <row r="18" spans="1:15" x14ac:dyDescent="0.25">
      <c r="A18" t="s">
        <v>113</v>
      </c>
      <c r="E18" s="16">
        <f t="shared" si="0"/>
        <v>0</v>
      </c>
      <c r="F18" s="16"/>
      <c r="G18" s="16"/>
      <c r="J18" s="28">
        <v>10000000</v>
      </c>
      <c r="K18" s="26">
        <f>153*60+47</f>
        <v>9227</v>
      </c>
      <c r="L18" s="1">
        <f t="shared" si="2"/>
        <v>9.9849537037037028E-2</v>
      </c>
      <c r="M18" s="16">
        <v>0.15115740740740741</v>
      </c>
      <c r="N18" s="16">
        <v>0.25100694444444444</v>
      </c>
    </row>
    <row r="19" spans="1:15" x14ac:dyDescent="0.25">
      <c r="A19" t="s">
        <v>113</v>
      </c>
      <c r="E19" s="16">
        <f t="shared" si="0"/>
        <v>0</v>
      </c>
      <c r="F19" s="16"/>
      <c r="G19" s="16"/>
      <c r="J19" s="28">
        <v>100000000</v>
      </c>
      <c r="K19" s="48">
        <f>144*60+10</f>
        <v>8650</v>
      </c>
      <c r="L19" s="1">
        <f t="shared" si="2"/>
        <v>0.10011574074074076</v>
      </c>
      <c r="M19" s="16">
        <v>0.25107638888888889</v>
      </c>
      <c r="N19" s="16">
        <v>0.35119212962962965</v>
      </c>
    </row>
    <row r="20" spans="1:15" x14ac:dyDescent="0.25">
      <c r="A20" t="s">
        <v>114</v>
      </c>
      <c r="D20">
        <f>100*60+15</f>
        <v>6015</v>
      </c>
      <c r="E20" s="16">
        <f t="shared" si="0"/>
        <v>6.9618055555555558E-2</v>
      </c>
      <c r="F20" s="16">
        <v>0.99743055555555549</v>
      </c>
      <c r="G20" s="16">
        <v>1.067048611111111</v>
      </c>
      <c r="L20" s="48"/>
    </row>
    <row r="21" spans="1:15" x14ac:dyDescent="0.25">
      <c r="A21" t="s">
        <v>114</v>
      </c>
      <c r="E21" s="16">
        <f t="shared" si="0"/>
        <v>0</v>
      </c>
      <c r="F21" s="16"/>
      <c r="G21" s="16"/>
      <c r="L21" s="48"/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216*60+44</f>
        <v>13004</v>
      </c>
      <c r="E23" s="16">
        <f t="shared" si="0"/>
        <v>0.15050925925925918</v>
      </c>
      <c r="F23" s="16">
        <v>0.64626157407407414</v>
      </c>
      <c r="G23" s="16">
        <v>0.79677083333333332</v>
      </c>
      <c r="J23" s="28">
        <v>10</v>
      </c>
      <c r="K23" s="48"/>
      <c r="L23" s="1">
        <f>N23-M23</f>
        <v>0</v>
      </c>
      <c r="M23" s="18"/>
      <c r="N23" s="18"/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/>
      <c r="L24" s="1">
        <f t="shared" ref="L24:L30" si="3">N24-M24</f>
        <v>0</v>
      </c>
      <c r="M24" s="18"/>
      <c r="N24" s="18"/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/>
      <c r="L25" s="1">
        <f t="shared" si="3"/>
        <v>0</v>
      </c>
      <c r="M25" s="18"/>
      <c r="N25" s="18"/>
      <c r="O25" s="48"/>
    </row>
    <row r="26" spans="1:15" x14ac:dyDescent="0.25">
      <c r="A26" s="78" t="s">
        <v>115</v>
      </c>
      <c r="B26" s="78"/>
      <c r="D26">
        <f>97*60+31</f>
        <v>5851</v>
      </c>
      <c r="E26" s="16">
        <f t="shared" si="0"/>
        <v>6.7719907407407409E-2</v>
      </c>
      <c r="F26" s="16">
        <v>0.796875</v>
      </c>
      <c r="G26" s="16">
        <v>0.86459490740740741</v>
      </c>
      <c r="J26" s="28">
        <v>10000</v>
      </c>
      <c r="K26" s="48"/>
      <c r="L26" s="1">
        <f t="shared" si="3"/>
        <v>0</v>
      </c>
      <c r="M26" s="18"/>
      <c r="N26" s="18"/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/>
      <c r="L27" s="1">
        <f t="shared" si="3"/>
        <v>0</v>
      </c>
      <c r="M27" s="18"/>
      <c r="N27" s="18"/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/>
      <c r="L28" s="1">
        <f t="shared" si="3"/>
        <v>0</v>
      </c>
      <c r="M28" s="18"/>
      <c r="N28" s="18"/>
      <c r="O28" s="48"/>
    </row>
    <row r="29" spans="1:15" ht="16.5" thickBot="1" x14ac:dyDescent="0.3">
      <c r="A29" s="78" t="s">
        <v>120</v>
      </c>
      <c r="B29" s="78"/>
      <c r="D29">
        <f>97*60+30</f>
        <v>5850</v>
      </c>
      <c r="E29" s="16">
        <f t="shared" si="0"/>
        <v>6.7708333333333259E-2</v>
      </c>
      <c r="F29" s="16">
        <v>0.86466435185185186</v>
      </c>
      <c r="G29" s="16">
        <v>0.93237268518518512</v>
      </c>
      <c r="H29" s="32"/>
      <c r="J29" s="28">
        <v>10000000</v>
      </c>
      <c r="K29" s="48"/>
      <c r="L29" s="1">
        <f t="shared" si="3"/>
        <v>0</v>
      </c>
      <c r="M29" s="54"/>
      <c r="N29" s="18"/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/>
      <c r="L30" s="1">
        <f t="shared" si="3"/>
        <v>0</v>
      </c>
      <c r="M30" s="18"/>
      <c r="N30" s="18"/>
      <c r="O30" s="48"/>
    </row>
    <row r="31" spans="1:15" x14ac:dyDescent="0.25">
      <c r="A31" s="78" t="s">
        <v>120</v>
      </c>
      <c r="B31" s="78"/>
      <c r="E31" s="16">
        <f t="shared" si="0"/>
        <v>0</v>
      </c>
      <c r="F31" s="16"/>
      <c r="G31" s="16"/>
      <c r="L31" s="48"/>
    </row>
    <row r="32" spans="1:15" x14ac:dyDescent="0.25">
      <c r="A32" s="78" t="s">
        <v>127</v>
      </c>
      <c r="B32" s="78"/>
      <c r="D32">
        <f>81*60+30</f>
        <v>4890</v>
      </c>
      <c r="E32" s="16">
        <f t="shared" si="0"/>
        <v>5.6597222222222215E-2</v>
      </c>
      <c r="F32" s="16">
        <v>0.20368055555555556</v>
      </c>
      <c r="G32" s="16">
        <v>0.26027777777777777</v>
      </c>
      <c r="L32" s="48"/>
    </row>
    <row r="33" spans="1:20" x14ac:dyDescent="0.25">
      <c r="A33" s="78" t="s">
        <v>127</v>
      </c>
      <c r="B33" s="78"/>
      <c r="E33" s="16">
        <f t="shared" si="0"/>
        <v>0</v>
      </c>
      <c r="F33" s="18"/>
      <c r="G33" s="18"/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E34" s="16">
        <f t="shared" si="0"/>
        <v>0</v>
      </c>
      <c r="F34" s="16"/>
      <c r="G34" s="16"/>
      <c r="J34" s="28">
        <v>10</v>
      </c>
      <c r="K34" s="48"/>
      <c r="L34" s="1">
        <f>N34-M34</f>
        <v>0</v>
      </c>
      <c r="M34" s="16"/>
      <c r="N34" s="16"/>
      <c r="O34" s="48"/>
      <c r="Q34" s="28">
        <v>10</v>
      </c>
      <c r="R34" s="48">
        <f>AVERAGE(K12,K23,K34)</f>
        <v>20378</v>
      </c>
      <c r="S34">
        <f>_xlfn.STDEV.P(K12,K23,K34)</f>
        <v>0</v>
      </c>
      <c r="T34" t="e">
        <f t="shared" ref="T34:T41" si="4">CONFIDENCE(0.05,S34,3)</f>
        <v>#NUM!</v>
      </c>
    </row>
    <row r="35" spans="1:20" x14ac:dyDescent="0.25">
      <c r="A35" s="78" t="s">
        <v>128</v>
      </c>
      <c r="B35" s="78"/>
      <c r="D35">
        <f>95*60+59</f>
        <v>5759</v>
      </c>
      <c r="E35" s="16">
        <f t="shared" si="0"/>
        <v>6.6655092592592557E-2</v>
      </c>
      <c r="F35" s="16">
        <v>0.4846064814814815</v>
      </c>
      <c r="G35" s="16">
        <v>0.55126157407407406</v>
      </c>
      <c r="J35" s="28">
        <v>100</v>
      </c>
      <c r="K35" s="48"/>
      <c r="L35" s="1">
        <f t="shared" ref="L35:L41" si="5">N35-M35</f>
        <v>0</v>
      </c>
      <c r="M35" s="17"/>
      <c r="N35" s="16"/>
      <c r="O35" s="48"/>
      <c r="Q35" s="28">
        <v>100</v>
      </c>
      <c r="R35">
        <f t="shared" ref="R35:R40" si="6">AVERAGE(K13,K24,K35)</f>
        <v>16364</v>
      </c>
      <c r="S35">
        <f t="shared" ref="S35:S41" si="7">_xlfn.STDEV.P(K13,K24,K35)</f>
        <v>0</v>
      </c>
      <c r="T35" t="e">
        <f t="shared" si="4"/>
        <v>#NUM!</v>
      </c>
    </row>
    <row r="36" spans="1:20" x14ac:dyDescent="0.25">
      <c r="A36" s="78" t="s">
        <v>128</v>
      </c>
      <c r="B36" s="78"/>
      <c r="E36" s="16">
        <f t="shared" si="0"/>
        <v>0</v>
      </c>
      <c r="F36" s="16"/>
      <c r="G36" s="16"/>
      <c r="J36" s="28">
        <v>1000</v>
      </c>
      <c r="K36" s="48"/>
      <c r="L36" s="1">
        <f t="shared" si="5"/>
        <v>0</v>
      </c>
      <c r="M36" s="16"/>
      <c r="N36" s="16"/>
      <c r="O36" s="48"/>
      <c r="Q36" s="28">
        <v>1000</v>
      </c>
      <c r="R36">
        <f t="shared" si="6"/>
        <v>8215</v>
      </c>
      <c r="S36">
        <f t="shared" si="7"/>
        <v>0</v>
      </c>
      <c r="T36" t="e">
        <f t="shared" si="4"/>
        <v>#NUM!</v>
      </c>
    </row>
    <row r="37" spans="1:20" x14ac:dyDescent="0.25">
      <c r="A37" s="78" t="s">
        <v>128</v>
      </c>
      <c r="B37" s="78"/>
      <c r="E37" s="16">
        <f t="shared" si="0"/>
        <v>0</v>
      </c>
      <c r="F37" s="16"/>
      <c r="G37" s="16"/>
      <c r="J37" s="28">
        <v>10000</v>
      </c>
      <c r="K37" s="48"/>
      <c r="L37" s="1">
        <f t="shared" si="5"/>
        <v>0</v>
      </c>
      <c r="M37" s="16"/>
      <c r="N37" s="16"/>
      <c r="O37" s="48"/>
      <c r="Q37" s="28">
        <v>10000</v>
      </c>
      <c r="R37">
        <f t="shared" si="6"/>
        <v>5759</v>
      </c>
      <c r="S37">
        <f t="shared" si="7"/>
        <v>0</v>
      </c>
      <c r="T37" t="e">
        <f t="shared" si="4"/>
        <v>#NUM!</v>
      </c>
    </row>
    <row r="38" spans="1:20" x14ac:dyDescent="0.25">
      <c r="A38" s="78" t="s">
        <v>129</v>
      </c>
      <c r="B38" s="78"/>
      <c r="E38" s="16">
        <f t="shared" si="0"/>
        <v>0</v>
      </c>
      <c r="F38" s="16"/>
      <c r="G38" s="16"/>
      <c r="I38" t="e">
        <f>confi</f>
        <v>#NAME?</v>
      </c>
      <c r="J38" s="28">
        <v>100000</v>
      </c>
      <c r="K38" s="48"/>
      <c r="L38" s="1">
        <f t="shared" si="5"/>
        <v>0</v>
      </c>
      <c r="M38" s="16"/>
      <c r="N38" s="16"/>
      <c r="O38" s="48"/>
      <c r="Q38" s="28">
        <v>100000</v>
      </c>
      <c r="R38">
        <f t="shared" si="6"/>
        <v>6688</v>
      </c>
      <c r="S38">
        <f t="shared" si="7"/>
        <v>0</v>
      </c>
      <c r="T38" t="e">
        <f t="shared" si="4"/>
        <v>#NUM!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5"/>
        <v>0</v>
      </c>
      <c r="M39" s="16"/>
      <c r="N39" s="16"/>
      <c r="O39" s="48"/>
      <c r="Q39" s="28">
        <v>1000000</v>
      </c>
      <c r="R39">
        <f t="shared" si="6"/>
        <v>8631</v>
      </c>
      <c r="S39">
        <f t="shared" si="7"/>
        <v>0</v>
      </c>
      <c r="T39" t="e">
        <f t="shared" si="4"/>
        <v>#NUM!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5"/>
        <v>0</v>
      </c>
      <c r="M40" s="16"/>
      <c r="N40" s="16"/>
      <c r="O40" s="48"/>
      <c r="Q40" s="28">
        <v>10000000</v>
      </c>
      <c r="R40">
        <f t="shared" si="6"/>
        <v>9227</v>
      </c>
      <c r="S40">
        <f t="shared" si="7"/>
        <v>0</v>
      </c>
      <c r="T40" t="e">
        <f t="shared" si="4"/>
        <v>#NUM!</v>
      </c>
    </row>
    <row r="41" spans="1:20" x14ac:dyDescent="0.25">
      <c r="A41" s="78" t="s">
        <v>130</v>
      </c>
      <c r="B41" s="78"/>
      <c r="D41">
        <f>77*60+43</f>
        <v>4663</v>
      </c>
      <c r="E41" s="16">
        <f t="shared" si="0"/>
        <v>5.3969907407407425E-2</v>
      </c>
      <c r="F41" s="16">
        <v>0.26037037037037036</v>
      </c>
      <c r="G41" s="16">
        <v>0.31434027777777779</v>
      </c>
      <c r="J41" s="28">
        <v>100000000</v>
      </c>
      <c r="K41" s="48"/>
      <c r="L41" s="1">
        <f t="shared" si="5"/>
        <v>0</v>
      </c>
      <c r="M41" s="16"/>
      <c r="N41" s="16"/>
      <c r="O41" s="48"/>
      <c r="Q41" s="28">
        <v>100000000</v>
      </c>
      <c r="R41">
        <f>AVERAGE(K19,K30,K41)</f>
        <v>8650</v>
      </c>
      <c r="S41">
        <f t="shared" si="7"/>
        <v>0</v>
      </c>
      <c r="T41" t="e">
        <f t="shared" si="4"/>
        <v>#NUM!</v>
      </c>
    </row>
    <row r="42" spans="1:20" x14ac:dyDescent="0.25">
      <c r="A42" s="78" t="s">
        <v>130</v>
      </c>
      <c r="B42" s="78"/>
      <c r="E42" s="16">
        <f t="shared" si="0"/>
        <v>0</v>
      </c>
      <c r="F42" s="18"/>
      <c r="G42" s="16"/>
      <c r="L42" s="48"/>
    </row>
    <row r="43" spans="1:20" x14ac:dyDescent="0.25">
      <c r="A43" s="78" t="s">
        <v>130</v>
      </c>
      <c r="B43" s="78"/>
      <c r="E43" s="16">
        <f t="shared" si="0"/>
        <v>0</v>
      </c>
      <c r="F43" s="16"/>
      <c r="G43" s="16"/>
      <c r="L43" s="48"/>
    </row>
    <row r="44" spans="1:20" x14ac:dyDescent="0.25">
      <c r="A44" s="78" t="s">
        <v>131</v>
      </c>
      <c r="B44" s="78"/>
      <c r="E44" s="16">
        <f t="shared" si="0"/>
        <v>0</v>
      </c>
      <c r="F44" s="16"/>
      <c r="G44" s="16"/>
      <c r="L44" s="48"/>
    </row>
    <row r="45" spans="1:20" ht="15.75" thickBot="1" x14ac:dyDescent="0.3">
      <c r="A45" s="78" t="s">
        <v>131</v>
      </c>
      <c r="B45" s="78"/>
      <c r="E45" s="16">
        <f t="shared" si="0"/>
        <v>0</v>
      </c>
      <c r="F45" s="16"/>
      <c r="G45" s="16"/>
      <c r="L45" s="48"/>
    </row>
    <row r="46" spans="1:20" ht="15.75" thickBot="1" x14ac:dyDescent="0.3">
      <c r="A46" s="78" t="s">
        <v>131</v>
      </c>
      <c r="B46" s="78"/>
      <c r="E46" s="16">
        <f t="shared" si="0"/>
        <v>0</v>
      </c>
      <c r="F46" s="52"/>
      <c r="G46" s="52"/>
      <c r="L46" s="48"/>
    </row>
    <row r="47" spans="1:20" x14ac:dyDescent="0.25">
      <c r="A47" s="78" t="s">
        <v>132</v>
      </c>
      <c r="B47" s="78"/>
      <c r="E47" s="16">
        <f t="shared" si="0"/>
        <v>0</v>
      </c>
      <c r="F47" s="16"/>
      <c r="G47" s="16"/>
      <c r="L47" s="48"/>
    </row>
    <row r="48" spans="1:20" ht="15.75" thickBot="1" x14ac:dyDescent="0.3">
      <c r="A48" s="78" t="s">
        <v>132</v>
      </c>
      <c r="B48" s="78"/>
      <c r="E48" s="16">
        <f t="shared" si="0"/>
        <v>0</v>
      </c>
      <c r="F48" s="16"/>
      <c r="G48" s="16"/>
      <c r="L48" s="48"/>
    </row>
    <row r="49" spans="1:12" ht="15.75" thickBot="1" x14ac:dyDescent="0.3">
      <c r="A49" s="78" t="s">
        <v>132</v>
      </c>
      <c r="B49" s="78"/>
      <c r="E49" s="16">
        <f t="shared" si="0"/>
        <v>0</v>
      </c>
      <c r="F49" s="52"/>
      <c r="G49" s="52"/>
      <c r="L49" s="48"/>
    </row>
    <row r="50" spans="1:12" x14ac:dyDescent="0.25">
      <c r="L50" s="48"/>
    </row>
    <row r="51" spans="1:12" x14ac:dyDescent="0.25">
      <c r="A51" s="32"/>
      <c r="B51">
        <f>21*60+57</f>
        <v>1317</v>
      </c>
      <c r="E51" t="s">
        <v>106</v>
      </c>
      <c r="F51">
        <f>AVERAGE(B51:B53)</f>
        <v>1339</v>
      </c>
      <c r="L51" s="48"/>
    </row>
    <row r="52" spans="1:12" x14ac:dyDescent="0.25">
      <c r="B52">
        <v>1400</v>
      </c>
      <c r="E52" t="s">
        <v>108</v>
      </c>
      <c r="F52">
        <f>_xlfn.STDEV.P(B51:B53)</f>
        <v>43.688289811649376</v>
      </c>
      <c r="L52" s="48"/>
    </row>
    <row r="53" spans="1:12" x14ac:dyDescent="0.25">
      <c r="B53">
        <v>1300</v>
      </c>
      <c r="E53" t="s">
        <v>107</v>
      </c>
      <c r="F53">
        <f>CONFIDENCE(0.05,F52,2)</f>
        <v>60.547767929261916</v>
      </c>
      <c r="L53" s="48"/>
    </row>
    <row r="54" spans="1:12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  <c r="L54" s="48"/>
    </row>
    <row r="55" spans="1:12" x14ac:dyDescent="0.25">
      <c r="A55" t="s">
        <v>101</v>
      </c>
      <c r="C55" s="48">
        <f>AVERAGE(D2:D4)</f>
        <v>5928</v>
      </c>
      <c r="D55">
        <f>_xlfn.STDEV.P(D2:D4)</f>
        <v>0</v>
      </c>
      <c r="E55" t="e">
        <f t="shared" ref="E55:E71" si="8">CONFIDENCE(0.05,D55,3)</f>
        <v>#NUM!</v>
      </c>
      <c r="F55" s="2">
        <f>(C55-C77)/C77</f>
        <v>2.9345372460496615E-2</v>
      </c>
      <c r="G55">
        <f>F55*100</f>
        <v>2.9345372460496613</v>
      </c>
      <c r="H55" s="50">
        <f>(D55)/C77</f>
        <v>0</v>
      </c>
      <c r="I55">
        <f>H55*100</f>
        <v>0</v>
      </c>
      <c r="L55" s="48"/>
    </row>
    <row r="56" spans="1:12" x14ac:dyDescent="0.25">
      <c r="A56" t="s">
        <v>105</v>
      </c>
      <c r="C56" s="48">
        <f>AVERAGE(D5:D7)</f>
        <v>6169</v>
      </c>
      <c r="D56">
        <f>_xlfn.STDEV.P(D5:D7)</f>
        <v>0</v>
      </c>
      <c r="E56" t="e">
        <f t="shared" si="8"/>
        <v>#NUM!</v>
      </c>
      <c r="F56" s="2">
        <f>(C56-C77)/C77</f>
        <v>7.1192915436707763E-2</v>
      </c>
      <c r="G56">
        <f t="shared" ref="G56:G69" si="9">F56*100</f>
        <v>7.1192915436707764</v>
      </c>
      <c r="H56" s="50">
        <f>(D56)/C77</f>
        <v>0</v>
      </c>
      <c r="I56">
        <f t="shared" ref="I56:I69" si="10">H56*100</f>
        <v>0</v>
      </c>
      <c r="L56" s="48"/>
    </row>
    <row r="57" spans="1:12" x14ac:dyDescent="0.25">
      <c r="A57" t="s">
        <v>158</v>
      </c>
      <c r="C57" s="48">
        <f>AVERAGE(D8:D10)</f>
        <v>6141</v>
      </c>
      <c r="D57">
        <f>_xlfn.STDEV.P(D8:D10)</f>
        <v>0</v>
      </c>
      <c r="E57" t="e">
        <f t="shared" si="8"/>
        <v>#NUM!</v>
      </c>
      <c r="F57" s="2">
        <f>(C57-C77)/C77</f>
        <v>6.6330960236152106E-2</v>
      </c>
      <c r="G57">
        <f t="shared" si="9"/>
        <v>6.6330960236152103</v>
      </c>
      <c r="H57" s="50">
        <f>(D57)/C77</f>
        <v>0</v>
      </c>
      <c r="I57">
        <f t="shared" si="10"/>
        <v>0</v>
      </c>
      <c r="L57" s="48"/>
    </row>
    <row r="58" spans="1:12" x14ac:dyDescent="0.25">
      <c r="A58" t="s">
        <v>159</v>
      </c>
      <c r="C58" s="48">
        <f>AVERAGE(D32:D34)</f>
        <v>4890</v>
      </c>
      <c r="D58">
        <f>_xlfn.STDEV.P(D32:D34)</f>
        <v>0</v>
      </c>
      <c r="E58" t="e">
        <f t="shared" si="8"/>
        <v>#NUM!</v>
      </c>
      <c r="F58" s="2">
        <f>(C58-C77)/C77</f>
        <v>-0.15089425247438792</v>
      </c>
      <c r="G58">
        <f t="shared" si="9"/>
        <v>-15.089425247438793</v>
      </c>
      <c r="H58" s="50">
        <f>(D58)/C77</f>
        <v>0</v>
      </c>
      <c r="I58">
        <f t="shared" si="10"/>
        <v>0</v>
      </c>
      <c r="L58" s="48"/>
    </row>
    <row r="59" spans="1:12" x14ac:dyDescent="0.25">
      <c r="A59" t="s">
        <v>160</v>
      </c>
      <c r="C59" s="48">
        <f>AVERAGE(D41:D43)</f>
        <v>4663</v>
      </c>
      <c r="D59">
        <f>_xlfn.STDEV.P(D41:D43)</f>
        <v>0</v>
      </c>
      <c r="E59" t="e">
        <f t="shared" si="8"/>
        <v>#NUM!</v>
      </c>
      <c r="F59" s="2">
        <f>(C59-C77)/C77</f>
        <v>-0.19031081785032122</v>
      </c>
      <c r="G59">
        <f t="shared" si="9"/>
        <v>-19.031081785032121</v>
      </c>
      <c r="H59" s="50">
        <f>(D59)/C77</f>
        <v>0</v>
      </c>
      <c r="I59">
        <f t="shared" si="10"/>
        <v>0</v>
      </c>
      <c r="L59" s="48"/>
    </row>
    <row r="60" spans="1:12" x14ac:dyDescent="0.25">
      <c r="A60" t="s">
        <v>161</v>
      </c>
      <c r="C60" s="48">
        <f>AVERAGE(D84:D86)</f>
        <v>4855</v>
      </c>
      <c r="D60">
        <f>_xlfn.STDEV.P(D84:D86)</f>
        <v>0</v>
      </c>
      <c r="E60" t="e">
        <f t="shared" si="8"/>
        <v>#NUM!</v>
      </c>
      <c r="F60" s="2">
        <f>(C60-C77)/C77</f>
        <v>-0.15697169647508247</v>
      </c>
      <c r="G60">
        <f t="shared" si="9"/>
        <v>-15.697169647508247</v>
      </c>
      <c r="H60" s="50">
        <f>(D60)/C77</f>
        <v>0</v>
      </c>
      <c r="I60">
        <f t="shared" si="10"/>
        <v>0</v>
      </c>
      <c r="L60" s="48"/>
    </row>
    <row r="61" spans="1:12" x14ac:dyDescent="0.25">
      <c r="A61" t="s">
        <v>162</v>
      </c>
      <c r="C61" s="48">
        <f>AVERAGE(D93:D95)</f>
        <v>4811</v>
      </c>
      <c r="D61">
        <f>_xlfn.STDEV.P(D93:D95)</f>
        <v>0</v>
      </c>
      <c r="E61" t="e">
        <f t="shared" si="8"/>
        <v>#NUM!</v>
      </c>
      <c r="F61" s="2">
        <f>(C61-C77)/C77</f>
        <v>-0.16461191179024137</v>
      </c>
      <c r="G61">
        <f t="shared" si="9"/>
        <v>-16.461191179024137</v>
      </c>
      <c r="H61" s="50">
        <f>(D61)/C77</f>
        <v>0</v>
      </c>
      <c r="I61">
        <f t="shared" si="10"/>
        <v>0</v>
      </c>
      <c r="L61" s="48"/>
    </row>
    <row r="62" spans="1:12" x14ac:dyDescent="0.25">
      <c r="A62" t="s">
        <v>111</v>
      </c>
      <c r="C62" s="48">
        <f>AVERAGE(D11:D13)</f>
        <v>16681</v>
      </c>
      <c r="D62">
        <f>_xlfn.STDEV.P(D11:D13)</f>
        <v>0</v>
      </c>
      <c r="E62" t="e">
        <f t="shared" si="8"/>
        <v>#NUM!</v>
      </c>
      <c r="F62" s="2">
        <f>(C62-C77)/C77</f>
        <v>1.8965098107310296</v>
      </c>
      <c r="G62">
        <f t="shared" si="9"/>
        <v>189.65098107310297</v>
      </c>
      <c r="H62" s="50">
        <f>(D62)/C77</f>
        <v>0</v>
      </c>
      <c r="I62">
        <f t="shared" si="10"/>
        <v>0</v>
      </c>
      <c r="L62" s="48"/>
    </row>
    <row r="63" spans="1:12" x14ac:dyDescent="0.25">
      <c r="A63" t="s">
        <v>112</v>
      </c>
      <c r="C63" s="48">
        <f>AVERAGE(D14:D16)</f>
        <v>6036</v>
      </c>
      <c r="D63">
        <f>_xlfn.STDEV.P(D14:D16)</f>
        <v>0</v>
      </c>
      <c r="E63" t="e">
        <f t="shared" si="8"/>
        <v>#NUM!</v>
      </c>
      <c r="F63" s="2">
        <f>(C63-C77)/C77</f>
        <v>4.8098628234068415E-2</v>
      </c>
      <c r="G63">
        <f t="shared" si="9"/>
        <v>4.8098628234068412</v>
      </c>
      <c r="H63" s="50">
        <f>(D63)/C77</f>
        <v>0</v>
      </c>
      <c r="I63">
        <f t="shared" si="10"/>
        <v>0</v>
      </c>
      <c r="L63" s="48"/>
    </row>
    <row r="64" spans="1:12" x14ac:dyDescent="0.25">
      <c r="A64" t="s">
        <v>163</v>
      </c>
      <c r="C64" s="48">
        <f>AVERAGE(D17:D19)</f>
        <v>5928</v>
      </c>
      <c r="D64">
        <f>_xlfn.STDEV.P(D17:D19)</f>
        <v>0</v>
      </c>
      <c r="E64" t="e">
        <f t="shared" si="8"/>
        <v>#NUM!</v>
      </c>
      <c r="F64" s="2">
        <f>(C64-C77)/C77</f>
        <v>2.9345372460496615E-2</v>
      </c>
      <c r="G64">
        <f t="shared" si="9"/>
        <v>2.9345372460496613</v>
      </c>
      <c r="H64" s="50">
        <f>(D64)/C77</f>
        <v>0</v>
      </c>
      <c r="I64">
        <f t="shared" si="10"/>
        <v>0</v>
      </c>
      <c r="L64" s="48"/>
    </row>
    <row r="65" spans="1:16" x14ac:dyDescent="0.25">
      <c r="A65" t="s">
        <v>164</v>
      </c>
      <c r="C65" s="48">
        <f>AVERAGE(D35:D37)</f>
        <v>5759</v>
      </c>
      <c r="D65">
        <f>_xlfn.STDEV.P(D35:D37)</f>
        <v>0</v>
      </c>
      <c r="E65" t="e">
        <f t="shared" si="8"/>
        <v>#NUM!</v>
      </c>
      <c r="F65" s="2">
        <f>(C65-C77)/C77</f>
        <v>0</v>
      </c>
      <c r="G65">
        <f t="shared" si="9"/>
        <v>0</v>
      </c>
      <c r="H65" s="50">
        <f>(D65)/C77</f>
        <v>0</v>
      </c>
      <c r="I65">
        <f t="shared" si="10"/>
        <v>0</v>
      </c>
      <c r="L65" s="48"/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8"/>
        <v>#DIV/0!</v>
      </c>
      <c r="F66" s="2" t="e">
        <f>(C66-C77)/C77</f>
        <v>#DIV/0!</v>
      </c>
      <c r="G66" t="e">
        <f t="shared" si="9"/>
        <v>#DIV/0!</v>
      </c>
      <c r="H66" s="50" t="e">
        <f>(D66)/C77</f>
        <v>#DIV/0!</v>
      </c>
      <c r="I66" t="e">
        <f t="shared" si="10"/>
        <v>#DIV/0!</v>
      </c>
      <c r="L66" s="48"/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8"/>
        <v>#DIV/0!</v>
      </c>
      <c r="F67" s="2" t="e">
        <f>(C67-C77)/C77</f>
        <v>#DIV/0!</v>
      </c>
      <c r="G67" t="e">
        <f t="shared" si="9"/>
        <v>#DIV/0!</v>
      </c>
      <c r="H67" s="50" t="e">
        <f>(D67)/C77</f>
        <v>#DIV/0!</v>
      </c>
      <c r="I67" t="e">
        <f t="shared" si="10"/>
        <v>#DIV/0!</v>
      </c>
      <c r="L67" s="48"/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8"/>
        <v>#DIV/0!</v>
      </c>
      <c r="F68" s="2" t="e">
        <f>(C68-C77)/C77</f>
        <v>#DIV/0!</v>
      </c>
      <c r="G68" t="e">
        <f t="shared" si="9"/>
        <v>#DIV/0!</v>
      </c>
      <c r="H68" s="50" t="e">
        <f>(D68)/C77</f>
        <v>#DIV/0!</v>
      </c>
      <c r="I68" t="e">
        <f t="shared" si="10"/>
        <v>#DIV/0!</v>
      </c>
      <c r="L68" s="48"/>
    </row>
    <row r="69" spans="1:16" x14ac:dyDescent="0.25">
      <c r="A69" t="s">
        <v>168</v>
      </c>
      <c r="C69" s="48">
        <f>AVERAGE(D20:D22)</f>
        <v>6015</v>
      </c>
      <c r="D69">
        <f>_xlfn.STDEV.P(D20:D22)</f>
        <v>0</v>
      </c>
      <c r="E69" t="e">
        <f t="shared" si="8"/>
        <v>#NUM!</v>
      </c>
      <c r="F69" s="2">
        <f>(C69-C77)/C77</f>
        <v>4.4452161833651672E-2</v>
      </c>
      <c r="G69">
        <f t="shared" si="9"/>
        <v>4.4452161833651669</v>
      </c>
      <c r="H69" s="50">
        <f>(D69)/C77</f>
        <v>0</v>
      </c>
      <c r="I69">
        <f t="shared" si="10"/>
        <v>0</v>
      </c>
      <c r="L69" s="48"/>
    </row>
    <row r="70" spans="1:16" x14ac:dyDescent="0.25">
      <c r="A70" t="s">
        <v>119</v>
      </c>
      <c r="C70" s="48">
        <f>AVERAGE(D23:D25)</f>
        <v>13004</v>
      </c>
      <c r="D70">
        <f>_xlfn.STDEV.P(D23:D25)</f>
        <v>0</v>
      </c>
      <c r="E70" t="e">
        <f t="shared" si="8"/>
        <v>#NUM!</v>
      </c>
      <c r="F70" s="2">
        <f>(C70-C77)/C77</f>
        <v>1.2580309081437751</v>
      </c>
      <c r="G70">
        <f>F70*100</f>
        <v>125.8030908143775</v>
      </c>
      <c r="H70" s="50">
        <f>(D70)/C77</f>
        <v>0</v>
      </c>
      <c r="I70">
        <f>H70*100</f>
        <v>0</v>
      </c>
      <c r="L70" s="48"/>
    </row>
    <row r="71" spans="1:16" x14ac:dyDescent="0.25">
      <c r="A71" t="s">
        <v>115</v>
      </c>
      <c r="C71" s="48">
        <f>AVERAGE(D26:D28)</f>
        <v>5851</v>
      </c>
      <c r="D71">
        <f>_xlfn.STDEV.P(D26:D28)</f>
        <v>0</v>
      </c>
      <c r="E71" t="e">
        <f t="shared" si="8"/>
        <v>#NUM!</v>
      </c>
      <c r="F71" s="2">
        <f>(C71-C77)/C77</f>
        <v>1.5974995658968569E-2</v>
      </c>
      <c r="G71">
        <f>F71*100</f>
        <v>1.5974995658968569</v>
      </c>
      <c r="H71" s="50">
        <f>(D71)/C77</f>
        <v>0</v>
      </c>
      <c r="I71">
        <f>H71*100</f>
        <v>0</v>
      </c>
      <c r="L71" s="48"/>
    </row>
    <row r="72" spans="1:16" x14ac:dyDescent="0.25">
      <c r="A72" t="s">
        <v>153</v>
      </c>
      <c r="C72" s="48">
        <f>AVERAGE(D29:D31)</f>
        <v>5850</v>
      </c>
      <c r="D72">
        <f>_xlfn.STDEV.P(D29:D31)</f>
        <v>0</v>
      </c>
      <c r="E72" t="e">
        <f>CONFIDENCE(0.05,D72,3)</f>
        <v>#NUM!</v>
      </c>
      <c r="F72" s="2">
        <f>(C72-C77)/C77</f>
        <v>1.580135440180587E-2</v>
      </c>
      <c r="G72">
        <f>F72*100</f>
        <v>1.5801354401805869</v>
      </c>
      <c r="H72" s="50">
        <f>(D72)/C77</f>
        <v>0</v>
      </c>
      <c r="I72">
        <f>H72*100</f>
        <v>0</v>
      </c>
      <c r="L72" s="48"/>
    </row>
    <row r="73" spans="1:16" x14ac:dyDescent="0.25">
      <c r="A73" t="s">
        <v>154</v>
      </c>
      <c r="C73" s="48" t="e">
        <f>AVERAGE(D38:D40)</f>
        <v>#DIV/0!</v>
      </c>
      <c r="D73" t="e">
        <f>_xlfn.STDEV.P(D38:D40)</f>
        <v>#DIV/0!</v>
      </c>
      <c r="E73" t="e">
        <f t="shared" ref="E73:E75" si="11">CONFIDENCE(0.05,D73,3)</f>
        <v>#DIV/0!</v>
      </c>
      <c r="F73" s="2" t="e">
        <f>(C73-C77)/C77</f>
        <v>#DIV/0!</v>
      </c>
      <c r="G73" t="e">
        <f t="shared" ref="G73:G75" si="12">F73*100</f>
        <v>#DIV/0!</v>
      </c>
      <c r="H73" s="50" t="e">
        <f>(D73)/C77</f>
        <v>#DIV/0!</v>
      </c>
      <c r="I73" t="e">
        <f t="shared" ref="I73:I75" si="13">H73*100</f>
        <v>#DIV/0!</v>
      </c>
      <c r="L73" s="48"/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11"/>
        <v>#DIV/0!</v>
      </c>
      <c r="F74" s="2" t="e">
        <f>(C74-C77)/C77</f>
        <v>#DIV/0!</v>
      </c>
      <c r="G74" t="e">
        <f t="shared" si="12"/>
        <v>#DIV/0!</v>
      </c>
      <c r="H74" s="50" t="e">
        <f>(D74)/C77</f>
        <v>#DIV/0!</v>
      </c>
      <c r="I74" t="e">
        <f t="shared" si="13"/>
        <v>#DIV/0!</v>
      </c>
      <c r="L74" s="48"/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11"/>
        <v>#NUM!</v>
      </c>
      <c r="F75" s="2" t="e">
        <f>(C75-C77)/C77</f>
        <v>#DIV/0!</v>
      </c>
      <c r="G75" t="e">
        <f t="shared" si="12"/>
        <v>#DIV/0!</v>
      </c>
      <c r="H75" s="50">
        <f>(D75)/C77</f>
        <v>0</v>
      </c>
      <c r="I75">
        <f t="shared" si="13"/>
        <v>0</v>
      </c>
      <c r="L75" s="48"/>
    </row>
    <row r="76" spans="1:16" x14ac:dyDescent="0.25">
      <c r="C76" s="48"/>
      <c r="F76" s="2"/>
      <c r="H76" s="50"/>
      <c r="L76" s="48"/>
    </row>
    <row r="77" spans="1:16" x14ac:dyDescent="0.25">
      <c r="A77" t="s">
        <v>122</v>
      </c>
      <c r="C77" s="26">
        <f>95*60+59</f>
        <v>5759</v>
      </c>
      <c r="F77" s="2"/>
      <c r="L77" s="48"/>
    </row>
    <row r="78" spans="1:16" x14ac:dyDescent="0.25">
      <c r="L78" s="48"/>
    </row>
    <row r="79" spans="1:16" x14ac:dyDescent="0.25">
      <c r="L79" s="48"/>
    </row>
    <row r="80" spans="1:16" x14ac:dyDescent="0.25">
      <c r="L80" s="48"/>
    </row>
    <row r="81" spans="1:12" x14ac:dyDescent="0.25">
      <c r="L81" s="48"/>
    </row>
    <row r="82" spans="1:12" x14ac:dyDescent="0.25">
      <c r="L82" s="48"/>
    </row>
    <row r="83" spans="1:12" ht="15.75" thickBot="1" x14ac:dyDescent="0.3">
      <c r="L83" s="48"/>
    </row>
    <row r="84" spans="1:12" ht="27" thickBot="1" x14ac:dyDescent="0.3">
      <c r="A84" s="55" t="s">
        <v>138</v>
      </c>
      <c r="B84" s="55"/>
      <c r="D84">
        <f>80*60+55</f>
        <v>4855</v>
      </c>
      <c r="E84" s="49">
        <f t="shared" ref="E84:E101" si="14">G84-F84</f>
        <v>5.6192129629629661E-2</v>
      </c>
      <c r="F84" s="16">
        <v>0.37254629629629626</v>
      </c>
      <c r="G84" s="16">
        <v>0.42873842592592593</v>
      </c>
      <c r="L84" s="48"/>
    </row>
    <row r="85" spans="1:12" ht="27" thickBot="1" x14ac:dyDescent="0.3">
      <c r="A85" s="55" t="s">
        <v>138</v>
      </c>
      <c r="B85" s="55"/>
      <c r="C85" s="56"/>
      <c r="D85" s="57"/>
      <c r="E85" s="49">
        <f t="shared" si="14"/>
        <v>0</v>
      </c>
      <c r="F85" s="56"/>
      <c r="G85" s="56"/>
      <c r="L85" s="48"/>
    </row>
    <row r="86" spans="1:12" ht="27" thickBot="1" x14ac:dyDescent="0.3">
      <c r="A86" s="55" t="s">
        <v>138</v>
      </c>
      <c r="B86" s="55"/>
      <c r="C86" s="56"/>
      <c r="D86" s="57"/>
      <c r="E86" s="49">
        <f t="shared" si="14"/>
        <v>0</v>
      </c>
      <c r="F86" s="56"/>
      <c r="G86" s="56"/>
      <c r="L86" s="48"/>
    </row>
    <row r="87" spans="1:12" ht="27" thickBot="1" x14ac:dyDescent="0.3">
      <c r="A87" s="55" t="s">
        <v>139</v>
      </c>
      <c r="B87" s="55"/>
      <c r="C87" s="56"/>
      <c r="D87" s="57"/>
      <c r="E87" s="49">
        <f t="shared" si="14"/>
        <v>0</v>
      </c>
      <c r="F87" s="16"/>
      <c r="G87" s="16"/>
      <c r="L87" s="48"/>
    </row>
    <row r="88" spans="1:12" ht="27" thickBot="1" x14ac:dyDescent="0.3">
      <c r="A88" s="55" t="s">
        <v>139</v>
      </c>
      <c r="B88" s="55"/>
      <c r="C88" s="56"/>
      <c r="D88" s="57"/>
      <c r="E88" s="49">
        <f t="shared" si="14"/>
        <v>0</v>
      </c>
      <c r="F88" s="56"/>
      <c r="G88" s="56"/>
      <c r="L88" s="48"/>
    </row>
    <row r="89" spans="1:12" ht="27" thickBot="1" x14ac:dyDescent="0.3">
      <c r="A89" s="55" t="s">
        <v>139</v>
      </c>
      <c r="B89" s="55"/>
      <c r="C89" s="56"/>
      <c r="D89" s="57"/>
      <c r="E89" s="49">
        <f t="shared" si="14"/>
        <v>0</v>
      </c>
      <c r="F89" s="56"/>
      <c r="G89" s="56"/>
      <c r="L89" s="48"/>
    </row>
    <row r="90" spans="1:12" ht="27" thickBot="1" x14ac:dyDescent="0.3">
      <c r="A90" s="55" t="s">
        <v>140</v>
      </c>
      <c r="B90" s="55"/>
      <c r="C90" s="55"/>
      <c r="D90" s="57"/>
      <c r="E90" s="49">
        <f t="shared" si="14"/>
        <v>0</v>
      </c>
      <c r="F90" s="55"/>
      <c r="G90" s="55"/>
      <c r="L90" s="48"/>
    </row>
    <row r="91" spans="1:12" ht="27" thickBot="1" x14ac:dyDescent="0.3">
      <c r="A91" s="55" t="s">
        <v>140</v>
      </c>
      <c r="B91" s="55"/>
      <c r="C91" s="56"/>
      <c r="D91" s="57"/>
      <c r="E91" s="49">
        <f t="shared" si="14"/>
        <v>0</v>
      </c>
      <c r="F91" s="56"/>
      <c r="G91" s="56"/>
      <c r="L91" s="48"/>
    </row>
    <row r="92" spans="1:12" ht="27" thickBot="1" x14ac:dyDescent="0.3">
      <c r="A92" s="55" t="s">
        <v>140</v>
      </c>
      <c r="B92" s="55"/>
      <c r="C92" s="56"/>
      <c r="D92" s="57"/>
      <c r="E92" s="49">
        <f t="shared" si="14"/>
        <v>0</v>
      </c>
      <c r="F92" s="56"/>
      <c r="G92" s="56"/>
      <c r="L92" s="48"/>
    </row>
    <row r="93" spans="1:12" ht="39.75" thickBot="1" x14ac:dyDescent="0.3">
      <c r="A93" s="3" t="s">
        <v>141</v>
      </c>
      <c r="B93" s="55"/>
      <c r="C93" s="56"/>
      <c r="D93" s="57">
        <f>80*60+11</f>
        <v>4811</v>
      </c>
      <c r="E93" s="49">
        <f t="shared" si="14"/>
        <v>5.5682870370370396E-2</v>
      </c>
      <c r="F93" s="16">
        <v>0.42881944444444442</v>
      </c>
      <c r="G93" s="16">
        <v>0.48450231481481482</v>
      </c>
      <c r="L93" s="48"/>
    </row>
    <row r="94" spans="1:12" ht="39.75" thickBot="1" x14ac:dyDescent="0.3">
      <c r="A94" s="3" t="s">
        <v>141</v>
      </c>
      <c r="B94" s="55"/>
      <c r="C94" s="56"/>
      <c r="D94" s="57"/>
      <c r="E94" s="49">
        <f t="shared" si="14"/>
        <v>0</v>
      </c>
      <c r="F94" s="58"/>
      <c r="G94" s="59"/>
      <c r="L94" s="48"/>
    </row>
    <row r="95" spans="1:12" ht="39.75" thickBot="1" x14ac:dyDescent="0.3">
      <c r="A95" s="3" t="s">
        <v>141</v>
      </c>
      <c r="B95" s="55"/>
      <c r="C95" s="56"/>
      <c r="D95" s="57"/>
      <c r="E95" s="49">
        <f t="shared" si="14"/>
        <v>0</v>
      </c>
      <c r="F95" s="58"/>
      <c r="G95" s="59"/>
      <c r="L95" s="48"/>
    </row>
    <row r="96" spans="1:12" ht="39.75" thickBot="1" x14ac:dyDescent="0.3">
      <c r="A96" s="3" t="s">
        <v>142</v>
      </c>
      <c r="B96" s="55"/>
      <c r="C96" s="56"/>
      <c r="D96" s="57"/>
      <c r="E96" s="49">
        <f t="shared" si="14"/>
        <v>0</v>
      </c>
      <c r="F96" s="58"/>
      <c r="G96" s="59"/>
      <c r="L96" s="48"/>
    </row>
    <row r="97" spans="1:12" ht="39.75" thickBot="1" x14ac:dyDescent="0.3">
      <c r="A97" s="3" t="s">
        <v>142</v>
      </c>
      <c r="B97" s="55"/>
      <c r="C97" s="56"/>
      <c r="D97" s="57"/>
      <c r="E97" s="49">
        <f t="shared" si="14"/>
        <v>0</v>
      </c>
      <c r="F97" s="58"/>
      <c r="G97" s="59"/>
      <c r="L97" s="48"/>
    </row>
    <row r="98" spans="1:12" ht="39.75" thickBot="1" x14ac:dyDescent="0.3">
      <c r="A98" s="3" t="s">
        <v>142</v>
      </c>
      <c r="B98" s="55"/>
      <c r="C98" s="56"/>
      <c r="D98" s="57"/>
      <c r="E98" s="49">
        <f t="shared" si="14"/>
        <v>0</v>
      </c>
      <c r="F98" s="58"/>
      <c r="G98" s="59"/>
      <c r="L98" s="48"/>
    </row>
    <row r="99" spans="1:12" ht="39.75" thickBot="1" x14ac:dyDescent="0.3">
      <c r="A99" s="3" t="s">
        <v>143</v>
      </c>
      <c r="B99" s="55"/>
      <c r="C99" s="55"/>
      <c r="D99" s="57"/>
      <c r="E99" s="49">
        <f t="shared" si="14"/>
        <v>0</v>
      </c>
      <c r="F99" s="58"/>
      <c r="G99" s="18"/>
      <c r="L99" s="48"/>
    </row>
    <row r="100" spans="1:12" ht="39.75" thickBot="1" x14ac:dyDescent="0.3">
      <c r="A100" s="3" t="s">
        <v>143</v>
      </c>
      <c r="B100" s="55"/>
      <c r="C100" s="56"/>
      <c r="D100" s="57"/>
      <c r="E100" s="49">
        <f t="shared" si="14"/>
        <v>0</v>
      </c>
      <c r="F100" s="54"/>
      <c r="G100" s="54"/>
      <c r="L100" s="48"/>
    </row>
    <row r="101" spans="1:12" ht="39.75" thickBot="1" x14ac:dyDescent="0.3">
      <c r="A101" s="3" t="s">
        <v>143</v>
      </c>
      <c r="B101" s="55"/>
      <c r="C101" s="56"/>
      <c r="D101" s="57"/>
      <c r="E101" s="49">
        <f t="shared" si="14"/>
        <v>0</v>
      </c>
      <c r="F101" s="54"/>
      <c r="G101" s="54"/>
      <c r="L101" s="48"/>
    </row>
    <row r="102" spans="1:12" x14ac:dyDescent="0.25">
      <c r="L102" s="48"/>
    </row>
    <row r="103" spans="1:12" x14ac:dyDescent="0.25">
      <c r="L103" s="48"/>
    </row>
    <row r="104" spans="1:12" x14ac:dyDescent="0.25">
      <c r="L104" s="48"/>
    </row>
    <row r="105" spans="1:12" x14ac:dyDescent="0.25">
      <c r="L105" s="48"/>
    </row>
    <row r="106" spans="1:12" x14ac:dyDescent="0.25">
      <c r="L106" s="48"/>
    </row>
    <row r="107" spans="1:12" x14ac:dyDescent="0.25">
      <c r="L107" s="48"/>
    </row>
    <row r="108" spans="1:12" x14ac:dyDescent="0.25">
      <c r="L108" s="48"/>
    </row>
    <row r="109" spans="1:12" x14ac:dyDescent="0.25">
      <c r="A109" t="s">
        <v>167</v>
      </c>
      <c r="D109">
        <f>80*60+28</f>
        <v>4828</v>
      </c>
      <c r="E109" s="16">
        <f t="shared" ref="E109:E114" si="15">G109-F109</f>
        <v>5.5879629629629612E-2</v>
      </c>
      <c r="F109" s="16">
        <v>6.7152777777777783E-2</v>
      </c>
      <c r="G109" s="16">
        <v>0.1230324074074074</v>
      </c>
      <c r="L109" s="48"/>
    </row>
    <row r="110" spans="1:12" x14ac:dyDescent="0.25">
      <c r="A110" t="s">
        <v>167</v>
      </c>
      <c r="E110" s="16">
        <f t="shared" si="15"/>
        <v>0</v>
      </c>
      <c r="F110" s="18"/>
      <c r="G110" s="18"/>
      <c r="L110" s="48"/>
    </row>
    <row r="111" spans="1:12" x14ac:dyDescent="0.25">
      <c r="A111" t="s">
        <v>167</v>
      </c>
      <c r="E111" s="16">
        <f t="shared" si="15"/>
        <v>0</v>
      </c>
      <c r="F111" s="16"/>
      <c r="G111" s="16"/>
      <c r="L111" s="48"/>
    </row>
    <row r="112" spans="1:12" x14ac:dyDescent="0.25">
      <c r="A112" t="s">
        <v>166</v>
      </c>
      <c r="D112">
        <f>80*60+28</f>
        <v>4828</v>
      </c>
      <c r="E112" s="16">
        <f>G112-F112</f>
        <v>5.6064814814814734E-2</v>
      </c>
      <c r="F112" s="16">
        <v>0.55134259259259266</v>
      </c>
      <c r="G112" s="16">
        <v>0.6074074074074074</v>
      </c>
      <c r="L112" s="48"/>
    </row>
    <row r="113" spans="1:12" x14ac:dyDescent="0.25">
      <c r="A113" t="s">
        <v>166</v>
      </c>
      <c r="E113" s="16">
        <f t="shared" si="15"/>
        <v>0</v>
      </c>
      <c r="F113" s="16"/>
      <c r="G113" s="16"/>
      <c r="L113" s="48"/>
    </row>
    <row r="114" spans="1:12" x14ac:dyDescent="0.25">
      <c r="A114" t="s">
        <v>166</v>
      </c>
      <c r="E114" s="16">
        <f t="shared" si="15"/>
        <v>0</v>
      </c>
      <c r="F114" s="16"/>
      <c r="G114" s="51"/>
      <c r="L114" s="48"/>
    </row>
    <row r="115" spans="1:12" x14ac:dyDescent="0.25">
      <c r="L115" s="48"/>
    </row>
    <row r="116" spans="1:12" x14ac:dyDescent="0.25">
      <c r="L116" s="48"/>
    </row>
    <row r="117" spans="1:12" x14ac:dyDescent="0.25">
      <c r="L117" s="48"/>
    </row>
    <row r="118" spans="1:12" x14ac:dyDescent="0.25">
      <c r="L118" s="48"/>
    </row>
    <row r="119" spans="1:12" x14ac:dyDescent="0.25">
      <c r="L119" s="48"/>
    </row>
    <row r="120" spans="1:12" x14ac:dyDescent="0.25">
      <c r="L120" s="48"/>
    </row>
    <row r="121" spans="1:12" x14ac:dyDescent="0.25">
      <c r="L121" s="48"/>
    </row>
    <row r="122" spans="1:12" x14ac:dyDescent="0.25">
      <c r="L122" s="48"/>
    </row>
    <row r="123" spans="1:12" x14ac:dyDescent="0.25">
      <c r="L123" s="48"/>
    </row>
    <row r="124" spans="1:12" x14ac:dyDescent="0.25">
      <c r="L124" s="48"/>
    </row>
    <row r="125" spans="1:12" x14ac:dyDescent="0.25">
      <c r="L125" s="48"/>
    </row>
    <row r="126" spans="1:12" x14ac:dyDescent="0.25">
      <c r="L126" s="48"/>
    </row>
    <row r="127" spans="1:12" x14ac:dyDescent="0.25">
      <c r="A127" t="s">
        <v>168</v>
      </c>
      <c r="C127" s="48">
        <v>6015</v>
      </c>
      <c r="D127">
        <v>0</v>
      </c>
      <c r="E127" t="e">
        <v>#NUM!</v>
      </c>
      <c r="F127" s="2">
        <v>4.4452161833651672E-2</v>
      </c>
      <c r="G127">
        <v>4.4452161833651669</v>
      </c>
      <c r="H127" s="50">
        <v>0</v>
      </c>
      <c r="I127">
        <v>0</v>
      </c>
      <c r="L127" s="48"/>
    </row>
    <row r="128" spans="1:12" x14ac:dyDescent="0.25">
      <c r="A128" t="s">
        <v>167</v>
      </c>
      <c r="C128">
        <f>AVERAGE(D109:D111)</f>
        <v>4828</v>
      </c>
      <c r="D128">
        <f>_xlfn.STDEV.P(D109:D111)</f>
        <v>0</v>
      </c>
      <c r="E128" t="e">
        <f t="shared" ref="E128:E129" si="16">CONFIDENCE(0.05,D128,3)</f>
        <v>#NUM!</v>
      </c>
      <c r="F128" s="2">
        <f>(C128-C131)/C131</f>
        <v>-0.16166001041847544</v>
      </c>
      <c r="G128">
        <f>F128*100</f>
        <v>-16.166001041847544</v>
      </c>
      <c r="H128" s="50">
        <f>(D128)/C131</f>
        <v>0</v>
      </c>
      <c r="I128">
        <f>H128*100</f>
        <v>0</v>
      </c>
      <c r="L128" s="48"/>
    </row>
    <row r="129" spans="1:12" x14ac:dyDescent="0.25">
      <c r="A129" t="s">
        <v>166</v>
      </c>
      <c r="C129">
        <f>AVERAGE(D112:D114)</f>
        <v>4828</v>
      </c>
      <c r="D129">
        <f>_xlfn.STDEV.P(D112:D114)</f>
        <v>0</v>
      </c>
      <c r="E129" t="e">
        <f t="shared" si="16"/>
        <v>#NUM!</v>
      </c>
      <c r="F129" s="2">
        <f>(C129-C131)/C131</f>
        <v>-0.16166001041847544</v>
      </c>
      <c r="G129">
        <f>F129*100</f>
        <v>-16.166001041847544</v>
      </c>
      <c r="H129" s="50">
        <f>(D129)/C131</f>
        <v>0</v>
      </c>
      <c r="I129">
        <f>H129*100</f>
        <v>0</v>
      </c>
      <c r="L129" s="48"/>
    </row>
    <row r="130" spans="1:12" x14ac:dyDescent="0.25">
      <c r="L130" s="48"/>
    </row>
    <row r="131" spans="1:12" x14ac:dyDescent="0.25">
      <c r="A131" t="s">
        <v>122</v>
      </c>
      <c r="C131" s="26">
        <f>95*60+59</f>
        <v>5759</v>
      </c>
      <c r="L131" s="48"/>
    </row>
    <row r="132" spans="1:12" x14ac:dyDescent="0.25">
      <c r="L132" s="48"/>
    </row>
    <row r="133" spans="1:12" x14ac:dyDescent="0.25">
      <c r="L133" s="48"/>
    </row>
    <row r="134" spans="1:12" x14ac:dyDescent="0.25">
      <c r="L134" s="48"/>
    </row>
    <row r="135" spans="1:12" x14ac:dyDescent="0.25">
      <c r="L135" s="48"/>
    </row>
    <row r="136" spans="1:12" x14ac:dyDescent="0.25">
      <c r="A136" t="s">
        <v>191</v>
      </c>
      <c r="L136" s="48"/>
    </row>
    <row r="137" spans="1:12" x14ac:dyDescent="0.25">
      <c r="L137" s="48"/>
    </row>
    <row r="138" spans="1:12" x14ac:dyDescent="0.25">
      <c r="L138" s="48"/>
    </row>
    <row r="139" spans="1:12" x14ac:dyDescent="0.25">
      <c r="L139" s="48"/>
    </row>
    <row r="140" spans="1:12" x14ac:dyDescent="0.25">
      <c r="L140" s="4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10" workbookViewId="0">
      <selection activeCell="V37" sqref="V37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220</v>
      </c>
      <c r="S13">
        <v>50</v>
      </c>
      <c r="U13" s="1" t="e">
        <f>Q13-V13</f>
        <v>#VALUE!</v>
      </c>
      <c r="V13" s="16">
        <v>0.64180555555555552</v>
      </c>
      <c r="W13" s="16">
        <v>0.64354166666666668</v>
      </c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198</v>
      </c>
      <c r="S14">
        <v>45</v>
      </c>
      <c r="U14" s="1">
        <f t="shared" ref="U14:U18" si="0">W14-V14</f>
        <v>7.7546296296282513E-4</v>
      </c>
      <c r="V14" s="16">
        <v>0.64465277777777785</v>
      </c>
      <c r="W14" s="16">
        <v>0.64542824074074068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176</v>
      </c>
      <c r="S15">
        <v>40</v>
      </c>
      <c r="U15" s="1">
        <f t="shared" si="0"/>
        <v>2.1527777777776702E-3</v>
      </c>
      <c r="V15" s="16">
        <v>0.63107638888888895</v>
      </c>
      <c r="W15" s="16">
        <v>0.63322916666666662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154</v>
      </c>
      <c r="S16">
        <v>35</v>
      </c>
      <c r="U16" s="1">
        <f t="shared" si="0"/>
        <v>2.7777777777777679E-3</v>
      </c>
      <c r="V16" s="16">
        <v>0.62133101851851846</v>
      </c>
      <c r="W16" s="16">
        <v>0.62410879629629623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132</v>
      </c>
      <c r="S17">
        <v>30</v>
      </c>
      <c r="U17" s="1">
        <f t="shared" si="0"/>
        <v>2.673611111111085E-3</v>
      </c>
      <c r="V17" s="16">
        <v>0.63339120370370372</v>
      </c>
      <c r="W17" s="16">
        <v>0.63606481481481481</v>
      </c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110</v>
      </c>
      <c r="S18">
        <v>25</v>
      </c>
      <c r="U18" s="1">
        <f t="shared" si="0"/>
        <v>4.6643518518518778E-3</v>
      </c>
      <c r="V18" s="16">
        <v>0.65438657407407408</v>
      </c>
      <c r="W18" s="16">
        <v>0.65905092592592596</v>
      </c>
      <c r="AB18" s="24"/>
    </row>
    <row r="19" spans="1:31" x14ac:dyDescent="0.25">
      <c r="R19">
        <v>88</v>
      </c>
      <c r="S19">
        <v>20</v>
      </c>
      <c r="T19" s="38"/>
      <c r="U19" s="112"/>
      <c r="V19" s="38"/>
      <c r="W19" s="38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220</v>
      </c>
      <c r="S21">
        <v>50</v>
      </c>
      <c r="U21" s="1" t="s">
        <v>222</v>
      </c>
      <c r="V21" s="16"/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198</v>
      </c>
      <c r="S22">
        <v>45</v>
      </c>
      <c r="U22" s="1"/>
      <c r="V22" s="18"/>
      <c r="W22" s="18"/>
      <c r="X22" s="60"/>
      <c r="Y22" s="1">
        <f t="shared" ref="Y22:Y27" si="3"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176</v>
      </c>
      <c r="S23">
        <v>40</v>
      </c>
      <c r="U23" s="1"/>
      <c r="V23" s="16"/>
      <c r="W23" s="16"/>
      <c r="Y23" s="1">
        <f t="shared" si="3"/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ht="15.75" thickBot="1" x14ac:dyDescent="0.3">
      <c r="A24" s="7">
        <v>9</v>
      </c>
      <c r="B24" s="64">
        <f>AVERAGE(T13,R13,AB13)</f>
        <v>220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218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 s="64"/>
      <c r="O24" s="47"/>
      <c r="P24" s="65"/>
      <c r="R24">
        <v>154</v>
      </c>
      <c r="S24">
        <v>35</v>
      </c>
      <c r="U24" s="1"/>
      <c r="V24" s="18"/>
      <c r="W24" s="18"/>
      <c r="X24" s="24"/>
      <c r="Y24" s="1">
        <f t="shared" si="3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 t="e">
        <f t="shared" ref="E25:E27" si="8">AVERAGE(T22,X22,AB22)</f>
        <v>#DIV/0!</v>
      </c>
      <c r="F25" s="47" t="e">
        <f t="shared" ref="F25:F27" si="9">_xlfn.STDEV.P(T22,X22,AB22)</f>
        <v>#DIV/0!</v>
      </c>
      <c r="G25" s="65" t="e">
        <f t="shared" ref="G25:G27" si="10">_xlfn.CONFIDENCE.NORM(0.05,F25,3)</f>
        <v>#DIV/0!</v>
      </c>
      <c r="H25" s="69">
        <f>AVERAGE(T38,X38,AB38)</f>
        <v>217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 s="64"/>
      <c r="O25" s="47"/>
      <c r="P25" s="65"/>
      <c r="R25">
        <v>132</v>
      </c>
      <c r="S25" s="32">
        <v>30</v>
      </c>
      <c r="U25" s="1"/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 t="e">
        <f t="shared" si="8"/>
        <v>#DIV/0!</v>
      </c>
      <c r="F26" s="47" t="e">
        <f t="shared" si="9"/>
        <v>#DIV/0!</v>
      </c>
      <c r="G26" s="65" t="e">
        <f t="shared" si="10"/>
        <v>#DIV/0!</v>
      </c>
      <c r="H26" s="74"/>
      <c r="I26" s="75"/>
      <c r="J26" s="76"/>
      <c r="K26" s="64"/>
      <c r="L26" s="47"/>
      <c r="M26" s="65"/>
      <c r="N26" s="64"/>
      <c r="O26" s="47"/>
      <c r="P26" s="65"/>
      <c r="R26">
        <v>110</v>
      </c>
      <c r="S26" s="32">
        <v>25</v>
      </c>
      <c r="U26" s="1"/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 t="e">
        <f t="shared" si="8"/>
        <v>#DIV/0!</v>
      </c>
      <c r="F27" s="47" t="e">
        <f t="shared" si="9"/>
        <v>#DIV/0!</v>
      </c>
      <c r="G27" s="65" t="e">
        <f t="shared" si="10"/>
        <v>#DIV/0!</v>
      </c>
      <c r="H27" s="74"/>
      <c r="I27" s="75"/>
      <c r="J27" s="76"/>
      <c r="K27" s="64"/>
      <c r="L27" s="47"/>
      <c r="M27" s="65"/>
      <c r="N27" s="64"/>
      <c r="O27" s="47"/>
      <c r="P27" s="65"/>
      <c r="R27">
        <v>88</v>
      </c>
      <c r="S27" s="32">
        <v>20</v>
      </c>
      <c r="U27" s="1"/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  <c r="U28" s="1"/>
      <c r="AB28" s="24"/>
    </row>
    <row r="29" spans="1:31" x14ac:dyDescent="0.25">
      <c r="U29" s="1"/>
      <c r="V29" s="60"/>
      <c r="AB29" s="24"/>
    </row>
    <row r="30" spans="1:31" x14ac:dyDescent="0.25">
      <c r="U30" s="1"/>
      <c r="AB30" s="24"/>
    </row>
    <row r="31" spans="1:31" x14ac:dyDescent="0.25">
      <c r="U31" s="1"/>
      <c r="AB31" s="24"/>
    </row>
    <row r="32" spans="1:31" x14ac:dyDescent="0.25"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f>440*S46/100</f>
        <v>220</v>
      </c>
      <c r="S37">
        <v>50</v>
      </c>
      <c r="T37">
        <v>218</v>
      </c>
      <c r="U37" s="1">
        <f>W37-V37</f>
        <v>2.5231481481480245E-3</v>
      </c>
      <c r="V37" s="16">
        <v>0.766087962962963</v>
      </c>
      <c r="W37" s="16">
        <v>0.76861111111111102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f>440*S47/100</f>
        <v>198</v>
      </c>
      <c r="S38">
        <v>45</v>
      </c>
      <c r="T38">
        <v>217</v>
      </c>
      <c r="U38" s="1">
        <f t="shared" ref="U38:U43" si="11">W38-V38</f>
        <v>2.5115740740740966E-3</v>
      </c>
      <c r="V38" s="16">
        <v>0.76874999999999993</v>
      </c>
      <c r="W38" s="16">
        <v>0.77126157407407403</v>
      </c>
      <c r="Y38" s="1">
        <f t="shared" ref="Y38" si="12">AA38-Z38</f>
        <v>0</v>
      </c>
      <c r="Z38" s="16"/>
      <c r="AA38" s="16"/>
      <c r="AB38" s="24"/>
      <c r="AC38" s="1">
        <f t="shared" ref="AC38" si="13">AE38-AD38</f>
        <v>0</v>
      </c>
      <c r="AD38" s="16"/>
      <c r="AE38" s="16"/>
    </row>
    <row r="39" spans="17:31" x14ac:dyDescent="0.25">
      <c r="R39">
        <f>440*S48/100</f>
        <v>176</v>
      </c>
      <c r="S39">
        <v>40</v>
      </c>
      <c r="T39">
        <v>222</v>
      </c>
      <c r="U39" s="1">
        <f t="shared" si="11"/>
        <v>2.569444444444291E-3</v>
      </c>
      <c r="V39" s="16">
        <v>0.77137731481481486</v>
      </c>
      <c r="W39" s="16">
        <v>0.77394675925925915</v>
      </c>
      <c r="AB39" s="24"/>
    </row>
    <row r="40" spans="17:31" x14ac:dyDescent="0.25">
      <c r="R40">
        <f>440*S49/100</f>
        <v>154</v>
      </c>
      <c r="S40">
        <v>35</v>
      </c>
      <c r="T40">
        <v>211</v>
      </c>
      <c r="U40" s="1">
        <f t="shared" si="11"/>
        <v>2.4421296296297523E-3</v>
      </c>
      <c r="V40" s="16">
        <v>0.77406249999999999</v>
      </c>
      <c r="W40" s="16">
        <v>0.77650462962962974</v>
      </c>
      <c r="AB40" s="24"/>
    </row>
    <row r="41" spans="17:31" x14ac:dyDescent="0.25">
      <c r="R41">
        <f>440*S50/100</f>
        <v>132</v>
      </c>
      <c r="S41">
        <v>30</v>
      </c>
      <c r="U41" s="1">
        <f t="shared" si="11"/>
        <v>3.6921296296295036E-3</v>
      </c>
      <c r="V41" s="16">
        <v>0.77608796296296301</v>
      </c>
      <c r="W41" s="16">
        <v>0.77978009259259251</v>
      </c>
      <c r="AB41" s="24"/>
    </row>
    <row r="42" spans="17:31" x14ac:dyDescent="0.25">
      <c r="S42">
        <v>25</v>
      </c>
      <c r="U42" s="1">
        <f t="shared" si="11"/>
        <v>-0.77991898148148142</v>
      </c>
      <c r="V42" s="16">
        <v>0.77991898148148142</v>
      </c>
      <c r="AB42" s="24"/>
    </row>
    <row r="43" spans="17:31" x14ac:dyDescent="0.25">
      <c r="S43">
        <v>20</v>
      </c>
      <c r="U43" s="1">
        <f t="shared" si="11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220</v>
      </c>
      <c r="R46" t="s">
        <v>218</v>
      </c>
      <c r="S46">
        <v>50</v>
      </c>
      <c r="T46">
        <v>132</v>
      </c>
      <c r="U46" s="1">
        <f>W46-V46</f>
        <v>1.5277777777777946E-3</v>
      </c>
      <c r="V46" s="18">
        <v>0.80646990740740743</v>
      </c>
      <c r="W46" s="18">
        <v>0.80799768518518522</v>
      </c>
      <c r="Z46" s="16">
        <v>0.82835648148148155</v>
      </c>
      <c r="AA46" s="16">
        <v>0.8299537037037038</v>
      </c>
    </row>
    <row r="47" spans="17:31" x14ac:dyDescent="0.25">
      <c r="Q47">
        <v>198</v>
      </c>
      <c r="S47">
        <v>45</v>
      </c>
      <c r="U47" s="1">
        <f t="shared" ref="U47:U50" si="14">W47-V47</f>
        <v>0</v>
      </c>
    </row>
    <row r="48" spans="17:31" x14ac:dyDescent="0.25">
      <c r="Q48">
        <v>176</v>
      </c>
      <c r="S48">
        <v>40</v>
      </c>
      <c r="T48">
        <f>16*60+21</f>
        <v>981</v>
      </c>
      <c r="U48" s="1">
        <f t="shared" si="14"/>
        <v>1.1354166666666554E-2</v>
      </c>
      <c r="V48" s="16">
        <v>0.8300347222222223</v>
      </c>
      <c r="W48" s="16">
        <v>0.84138888888888885</v>
      </c>
    </row>
    <row r="49" spans="17:23" x14ac:dyDescent="0.25">
      <c r="Q49">
        <v>154</v>
      </c>
      <c r="S49">
        <v>35</v>
      </c>
      <c r="T49">
        <f>136*60+38</f>
        <v>8198</v>
      </c>
      <c r="U49" s="1">
        <f t="shared" si="14"/>
        <v>9.4884259259259252E-2</v>
      </c>
      <c r="V49" s="16">
        <v>0.84146990740740746</v>
      </c>
      <c r="W49" s="16">
        <v>0.93635416666666671</v>
      </c>
    </row>
    <row r="50" spans="17:23" x14ac:dyDescent="0.25">
      <c r="Q50">
        <v>132</v>
      </c>
      <c r="S50">
        <v>30</v>
      </c>
      <c r="U50" s="1">
        <f t="shared" si="14"/>
        <v>-0.9364351851851852</v>
      </c>
      <c r="V50" s="16">
        <v>0.9364351851851852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T53" sqref="T53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100</v>
      </c>
      <c r="S13">
        <v>50</v>
      </c>
      <c r="U13" s="1" t="e">
        <f>Q13-V13</f>
        <v>#VALUE!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90</v>
      </c>
      <c r="S14">
        <v>45</v>
      </c>
      <c r="T14">
        <v>120</v>
      </c>
      <c r="U14" s="1">
        <f t="shared" ref="U14:U18" si="0">W14-V14</f>
        <v>1.388888888888884E-3</v>
      </c>
      <c r="V14" s="16">
        <v>0.68635416666666671</v>
      </c>
      <c r="W14" s="16">
        <v>0.68774305555555559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80</v>
      </c>
      <c r="S15">
        <v>40</v>
      </c>
      <c r="T15">
        <v>250</v>
      </c>
      <c r="U15" s="1">
        <f t="shared" si="0"/>
        <v>2.8935185185184897E-3</v>
      </c>
      <c r="V15" s="16">
        <v>0.68791666666666673</v>
      </c>
      <c r="W15" s="16">
        <v>0.69081018518518522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70</v>
      </c>
      <c r="S16">
        <v>35</v>
      </c>
      <c r="T16">
        <v>347</v>
      </c>
      <c r="U16" s="1">
        <f t="shared" si="0"/>
        <v>4.0162037037037024E-3</v>
      </c>
      <c r="V16" s="16">
        <v>0.69103009259259263</v>
      </c>
      <c r="W16" s="16">
        <v>0.69504629629629633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60</v>
      </c>
      <c r="S17">
        <v>30</v>
      </c>
      <c r="U17" s="1" t="e">
        <f t="shared" si="0"/>
        <v>#VALUE!</v>
      </c>
      <c r="V17" s="113" t="s">
        <v>227</v>
      </c>
      <c r="W17" s="113"/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50</v>
      </c>
      <c r="S18">
        <v>25</v>
      </c>
      <c r="U18" s="1">
        <f t="shared" si="0"/>
        <v>0</v>
      </c>
      <c r="V18" s="16"/>
      <c r="W18" s="16"/>
      <c r="AB18" s="24"/>
    </row>
    <row r="19" spans="1:31" x14ac:dyDescent="0.25">
      <c r="R19">
        <v>40</v>
      </c>
      <c r="S19">
        <v>20</v>
      </c>
      <c r="T19" s="31"/>
      <c r="U19" s="114"/>
      <c r="V19" s="31"/>
      <c r="W19" s="31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100</v>
      </c>
      <c r="S21">
        <v>50</v>
      </c>
      <c r="U21" s="1">
        <f t="shared" ref="U21:U28" si="3">W21-V21</f>
        <v>-0.65384259259259259</v>
      </c>
      <c r="V21" s="16">
        <v>0.65384259259259259</v>
      </c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90</v>
      </c>
      <c r="S22">
        <v>45</v>
      </c>
      <c r="T22">
        <v>203</v>
      </c>
      <c r="U22" s="1">
        <f t="shared" si="3"/>
        <v>2.3495370370369972E-3</v>
      </c>
      <c r="V22" s="16">
        <v>0.65606481481481482</v>
      </c>
      <c r="W22" s="16">
        <v>0.65841435185185182</v>
      </c>
      <c r="X22" s="60"/>
      <c r="Y22" s="1">
        <f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80</v>
      </c>
      <c r="S23">
        <v>40</v>
      </c>
      <c r="T23">
        <v>218</v>
      </c>
      <c r="U23" s="1">
        <f t="shared" si="3"/>
        <v>2.5231481481481355E-3</v>
      </c>
      <c r="V23" s="16">
        <v>0.65850694444444446</v>
      </c>
      <c r="W23" s="16">
        <v>0.6610300925925926</v>
      </c>
      <c r="Y23" s="1">
        <f t="shared" ref="Y23:Y27" si="5">AA23-Z23</f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x14ac:dyDescent="0.25">
      <c r="A24">
        <v>50</v>
      </c>
      <c r="B24">
        <v>119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214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>
        <v>127</v>
      </c>
      <c r="O24" s="47"/>
      <c r="P24" s="65"/>
      <c r="R24">
        <v>70</v>
      </c>
      <c r="S24">
        <v>35</v>
      </c>
      <c r="T24">
        <v>216</v>
      </c>
      <c r="U24" s="1">
        <f t="shared" si="3"/>
        <v>2.4999999999999467E-3</v>
      </c>
      <c r="V24" s="16">
        <v>0.66116898148148151</v>
      </c>
      <c r="W24" s="16">
        <v>0.66366898148148146</v>
      </c>
      <c r="X24" s="24"/>
      <c r="Y24" s="1">
        <f t="shared" si="5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x14ac:dyDescent="0.25">
      <c r="A25">
        <v>45</v>
      </c>
      <c r="B25">
        <v>120</v>
      </c>
      <c r="C25" s="47">
        <f t="shared" ref="C25:C26" si="6">_xlfn.STDEV.P(T14,X14,AB14)</f>
        <v>0</v>
      </c>
      <c r="D25" s="65" t="e">
        <f t="shared" ref="D25:D26" si="7">_xlfn.CONFIDENCE.NORM(0.05,C25,3)</f>
        <v>#NUM!</v>
      </c>
      <c r="E25" s="69">
        <f t="shared" ref="E25:E31" si="8">AVERAGE(T22,X22,AB22)</f>
        <v>203</v>
      </c>
      <c r="F25" s="47">
        <f t="shared" ref="F25:F27" si="9">_xlfn.STDEV.P(T22,X22,AB22)</f>
        <v>0</v>
      </c>
      <c r="G25" s="65" t="e">
        <f t="shared" ref="G25:G27" si="10">_xlfn.CONFIDENCE.NORM(0.05,F25,3)</f>
        <v>#NUM!</v>
      </c>
      <c r="H25" s="69">
        <f>AVERAGE(T38,X38,AB38)</f>
        <v>205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>
        <v>137</v>
      </c>
      <c r="O25" s="47"/>
      <c r="P25" s="65"/>
      <c r="R25">
        <v>60</v>
      </c>
      <c r="S25" s="32">
        <v>30</v>
      </c>
      <c r="T25">
        <v>201</v>
      </c>
      <c r="U25" s="1">
        <f t="shared" si="3"/>
        <v>2.3263888888889195E-3</v>
      </c>
      <c r="V25" s="16">
        <v>0.66380787037037037</v>
      </c>
      <c r="W25" s="16">
        <v>0.66613425925925929</v>
      </c>
      <c r="X25" s="60"/>
      <c r="Y25" s="1">
        <f t="shared" si="5"/>
        <v>0</v>
      </c>
      <c r="AB25" s="24"/>
      <c r="AC25" s="1">
        <f t="shared" si="4"/>
        <v>0</v>
      </c>
    </row>
    <row r="26" spans="1:31" x14ac:dyDescent="0.25">
      <c r="A26">
        <v>40</v>
      </c>
      <c r="B26">
        <v>250</v>
      </c>
      <c r="C26" s="47">
        <f t="shared" si="6"/>
        <v>0</v>
      </c>
      <c r="D26" s="65" t="e">
        <f t="shared" si="7"/>
        <v>#NUM!</v>
      </c>
      <c r="E26" s="69">
        <f t="shared" si="8"/>
        <v>218</v>
      </c>
      <c r="F26" s="47">
        <f t="shared" si="9"/>
        <v>0</v>
      </c>
      <c r="G26" s="65" t="e">
        <f t="shared" si="10"/>
        <v>#NUM!</v>
      </c>
      <c r="H26" s="69">
        <f t="shared" ref="H26:H30" si="11">AVERAGE(T39,X39,AB39)</f>
        <v>217</v>
      </c>
      <c r="I26" s="104"/>
      <c r="J26" s="105"/>
      <c r="K26" s="64"/>
      <c r="L26" s="47"/>
      <c r="M26" s="65"/>
      <c r="N26">
        <v>172</v>
      </c>
      <c r="O26" s="47"/>
      <c r="P26" s="65"/>
      <c r="R26">
        <v>50</v>
      </c>
      <c r="S26" s="32">
        <v>25</v>
      </c>
      <c r="T26">
        <v>182</v>
      </c>
      <c r="U26" s="1">
        <f t="shared" si="3"/>
        <v>2.2222222222222365E-3</v>
      </c>
      <c r="V26" s="16">
        <v>0.66626157407407405</v>
      </c>
      <c r="W26" s="16">
        <v>0.66848379629629628</v>
      </c>
      <c r="X26" s="60"/>
      <c r="Y26" s="1">
        <f>AA26-Z26</f>
        <v>0</v>
      </c>
      <c r="AB26" s="24"/>
      <c r="AC26" s="1">
        <f>AE26-AD26</f>
        <v>0</v>
      </c>
    </row>
    <row r="27" spans="1:31" x14ac:dyDescent="0.25">
      <c r="A27">
        <v>35</v>
      </c>
      <c r="B27">
        <v>347</v>
      </c>
      <c r="C27" s="47"/>
      <c r="D27" s="65"/>
      <c r="E27" s="69">
        <f t="shared" si="8"/>
        <v>216</v>
      </c>
      <c r="F27" s="47">
        <f t="shared" si="9"/>
        <v>0</v>
      </c>
      <c r="G27" s="65" t="e">
        <f t="shared" si="10"/>
        <v>#NUM!</v>
      </c>
      <c r="H27" s="69">
        <f t="shared" si="11"/>
        <v>221</v>
      </c>
      <c r="I27" s="104"/>
      <c r="J27" s="105"/>
      <c r="K27" s="64"/>
      <c r="L27" s="47"/>
      <c r="M27" s="65"/>
      <c r="N27">
        <v>255</v>
      </c>
      <c r="O27" s="47"/>
      <c r="P27" s="65"/>
      <c r="R27">
        <v>40</v>
      </c>
      <c r="S27" s="32">
        <v>20</v>
      </c>
      <c r="T27">
        <v>223</v>
      </c>
      <c r="U27" s="1">
        <f t="shared" si="3"/>
        <v>2.5810185185184409E-3</v>
      </c>
      <c r="V27" s="16">
        <v>0.66862268518518519</v>
      </c>
      <c r="W27" s="16">
        <v>0.67120370370370364</v>
      </c>
      <c r="X27" s="60"/>
      <c r="Y27" s="1">
        <f t="shared" si="5"/>
        <v>0</v>
      </c>
      <c r="AB27" s="24"/>
      <c r="AC27" s="1">
        <f t="shared" si="4"/>
        <v>0</v>
      </c>
    </row>
    <row r="28" spans="1:31" ht="15.75" thickBot="1" x14ac:dyDescent="0.3">
      <c r="A28">
        <v>30</v>
      </c>
      <c r="B28" s="77"/>
      <c r="C28" s="119"/>
      <c r="D28" s="118"/>
      <c r="E28" s="69">
        <f t="shared" si="8"/>
        <v>201</v>
      </c>
      <c r="F28" s="71"/>
      <c r="G28" s="72"/>
      <c r="H28" s="69">
        <f t="shared" si="11"/>
        <v>234</v>
      </c>
      <c r="I28" s="116"/>
      <c r="J28" s="117"/>
      <c r="K28" s="66"/>
      <c r="L28" s="67"/>
      <c r="M28" s="68"/>
      <c r="N28">
        <f>16*60+47</f>
        <v>1007</v>
      </c>
      <c r="O28" s="67"/>
      <c r="P28" s="68"/>
      <c r="R28">
        <v>30</v>
      </c>
      <c r="S28" s="32">
        <v>15</v>
      </c>
      <c r="T28">
        <f>60*9+38</f>
        <v>578</v>
      </c>
      <c r="U28" s="1">
        <f t="shared" si="3"/>
        <v>6.6898148148147873E-3</v>
      </c>
      <c r="V28" s="16">
        <v>0.67134259259259255</v>
      </c>
      <c r="W28" s="16">
        <v>0.67803240740740733</v>
      </c>
      <c r="AB28" s="24"/>
    </row>
    <row r="29" spans="1:31" x14ac:dyDescent="0.25">
      <c r="A29">
        <v>25</v>
      </c>
      <c r="E29" s="69">
        <f t="shared" si="8"/>
        <v>182</v>
      </c>
      <c r="H29" s="115" t="e">
        <f t="shared" si="11"/>
        <v>#DIV/0!</v>
      </c>
      <c r="N29">
        <f>83*60+58</f>
        <v>5038</v>
      </c>
      <c r="U29" s="1"/>
      <c r="V29" s="60"/>
      <c r="AB29" s="24"/>
    </row>
    <row r="30" spans="1:31" x14ac:dyDescent="0.25">
      <c r="A30">
        <v>20</v>
      </c>
      <c r="B30" s="31"/>
      <c r="E30" s="69">
        <f t="shared" si="8"/>
        <v>223</v>
      </c>
      <c r="H30" s="115" t="e">
        <f t="shared" si="11"/>
        <v>#DIV/0!</v>
      </c>
      <c r="N30">
        <f>8*60*60+56*60</f>
        <v>32160</v>
      </c>
      <c r="U30" s="1"/>
      <c r="AB30" s="24"/>
    </row>
    <row r="31" spans="1:31" x14ac:dyDescent="0.25">
      <c r="A31">
        <v>15</v>
      </c>
      <c r="E31" s="69">
        <f t="shared" si="8"/>
        <v>578</v>
      </c>
      <c r="U31" s="1"/>
      <c r="AB31" s="24"/>
    </row>
    <row r="32" spans="1:31" x14ac:dyDescent="0.25">
      <c r="E32" s="69"/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v>100</v>
      </c>
      <c r="S37">
        <v>50</v>
      </c>
      <c r="T37">
        <v>214</v>
      </c>
      <c r="U37" s="1">
        <f>W37-V37</f>
        <v>2.476851851851869E-3</v>
      </c>
      <c r="V37" s="16">
        <v>0.80743055555555554</v>
      </c>
      <c r="W37" s="16">
        <v>0.80990740740740741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v>90</v>
      </c>
      <c r="S38">
        <v>45</v>
      </c>
      <c r="T38">
        <v>205</v>
      </c>
      <c r="U38" s="1">
        <f t="shared" ref="U38:U43" si="12">W38-V38</f>
        <v>2.372685185185297E-3</v>
      </c>
      <c r="V38" s="16">
        <v>0.81001157407407398</v>
      </c>
      <c r="W38" s="16">
        <v>0.81238425925925928</v>
      </c>
      <c r="Y38" s="1">
        <f t="shared" ref="Y38" si="13">AA38-Z38</f>
        <v>0</v>
      </c>
      <c r="Z38" s="16"/>
      <c r="AA38" s="16"/>
      <c r="AB38" s="24"/>
      <c r="AC38" s="1">
        <f t="shared" ref="AC38" si="14">AE38-AD38</f>
        <v>0</v>
      </c>
      <c r="AD38" s="16"/>
      <c r="AE38" s="16"/>
    </row>
    <row r="39" spans="17:31" x14ac:dyDescent="0.25">
      <c r="R39">
        <v>80</v>
      </c>
      <c r="S39">
        <v>40</v>
      </c>
      <c r="T39">
        <v>217</v>
      </c>
      <c r="U39" s="1">
        <f t="shared" si="12"/>
        <v>2.5115740740740966E-3</v>
      </c>
      <c r="V39" s="16">
        <v>0.8125</v>
      </c>
      <c r="W39" s="16">
        <v>0.8150115740740741</v>
      </c>
      <c r="AB39" s="24"/>
    </row>
    <row r="40" spans="17:31" x14ac:dyDescent="0.25">
      <c r="R40">
        <v>70</v>
      </c>
      <c r="S40">
        <v>35</v>
      </c>
      <c r="T40">
        <v>221</v>
      </c>
      <c r="U40" s="1">
        <f t="shared" si="12"/>
        <v>2.4421296296296413E-3</v>
      </c>
      <c r="V40" s="16">
        <v>0.81513888888888886</v>
      </c>
      <c r="W40" s="16">
        <v>0.8175810185185185</v>
      </c>
      <c r="AB40" s="24"/>
    </row>
    <row r="41" spans="17:31" x14ac:dyDescent="0.25">
      <c r="R41">
        <v>60</v>
      </c>
      <c r="S41">
        <v>30</v>
      </c>
      <c r="T41">
        <v>234</v>
      </c>
      <c r="U41" s="1">
        <f t="shared" si="12"/>
        <v>2.7083333333333126E-3</v>
      </c>
      <c r="V41" s="16">
        <v>0.81770833333333337</v>
      </c>
      <c r="W41" s="16">
        <v>0.82041666666666668</v>
      </c>
      <c r="AB41" s="24"/>
    </row>
    <row r="42" spans="17:31" x14ac:dyDescent="0.25">
      <c r="R42">
        <v>50</v>
      </c>
      <c r="S42">
        <v>25</v>
      </c>
      <c r="T42" s="38"/>
      <c r="U42" s="112">
        <f t="shared" si="12"/>
        <v>0</v>
      </c>
      <c r="V42" s="113"/>
      <c r="W42" s="38"/>
      <c r="AB42" s="24"/>
    </row>
    <row r="43" spans="17:31" x14ac:dyDescent="0.25">
      <c r="R43">
        <v>40</v>
      </c>
      <c r="S43">
        <v>20</v>
      </c>
      <c r="U43" s="1">
        <f t="shared" si="12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100</v>
      </c>
      <c r="R46" t="s">
        <v>218</v>
      </c>
      <c r="S46">
        <v>50</v>
      </c>
      <c r="T46">
        <v>127</v>
      </c>
      <c r="U46" s="1">
        <f>W46-V46</f>
        <v>1.4699074074074892E-3</v>
      </c>
      <c r="V46" s="16">
        <v>0.98954861111111114</v>
      </c>
      <c r="W46" s="16">
        <v>0.99101851851851863</v>
      </c>
      <c r="Z46" s="16">
        <v>0.99436342592592597</v>
      </c>
      <c r="AA46" s="16">
        <v>0.99586805555555558</v>
      </c>
    </row>
    <row r="47" spans="17:31" x14ac:dyDescent="0.25">
      <c r="Q47">
        <v>90</v>
      </c>
      <c r="S47">
        <v>45</v>
      </c>
      <c r="T47">
        <v>137</v>
      </c>
      <c r="U47" s="1">
        <f t="shared" ref="U47:U52" si="15">W47-V47</f>
        <v>1.5856481481481E-3</v>
      </c>
      <c r="V47" s="16">
        <v>0.9911226851851852</v>
      </c>
      <c r="W47" s="16">
        <v>0.9927083333333333</v>
      </c>
      <c r="Z47" s="16">
        <v>0.99594907407407407</v>
      </c>
      <c r="AA47" s="16">
        <v>0.99752314814814813</v>
      </c>
    </row>
    <row r="48" spans="17:31" x14ac:dyDescent="0.25">
      <c r="Q48">
        <v>80</v>
      </c>
      <c r="S48">
        <v>40</v>
      </c>
      <c r="T48">
        <v>172</v>
      </c>
      <c r="U48" s="1">
        <f t="shared" si="15"/>
        <v>1.9907407407406819E-3</v>
      </c>
      <c r="V48" s="16">
        <v>0.99761574074074078</v>
      </c>
      <c r="W48" s="16">
        <v>0.99960648148148146</v>
      </c>
    </row>
    <row r="49" spans="2:24" x14ac:dyDescent="0.25">
      <c r="Q49">
        <v>70</v>
      </c>
      <c r="S49">
        <v>35</v>
      </c>
      <c r="T49">
        <v>255</v>
      </c>
      <c r="U49" s="1">
        <f t="shared" si="15"/>
        <v>1.002951388888889</v>
      </c>
      <c r="V49" s="16">
        <v>0.9996990740740741</v>
      </c>
      <c r="W49" s="24">
        <v>2.0026504629629631</v>
      </c>
    </row>
    <row r="50" spans="2:24" x14ac:dyDescent="0.25">
      <c r="Q50">
        <v>60</v>
      </c>
      <c r="S50">
        <v>30</v>
      </c>
      <c r="T50">
        <f>16*60+47</f>
        <v>1007</v>
      </c>
      <c r="U50" s="1">
        <f t="shared" si="15"/>
        <v>1.165509259259259E-2</v>
      </c>
      <c r="V50" s="16">
        <v>2.7314814814814819E-3</v>
      </c>
      <c r="W50" s="16">
        <v>1.4386574074074072E-2</v>
      </c>
    </row>
    <row r="51" spans="2:24" x14ac:dyDescent="0.25">
      <c r="Q51">
        <v>50</v>
      </c>
      <c r="S51">
        <v>25</v>
      </c>
      <c r="T51">
        <f>83*60+58</f>
        <v>5038</v>
      </c>
      <c r="U51" s="1">
        <f t="shared" si="15"/>
        <v>5.8310185185185173E-2</v>
      </c>
      <c r="V51" s="16">
        <v>1.4456018518518519E-2</v>
      </c>
      <c r="W51" s="16">
        <v>7.2766203703703694E-2</v>
      </c>
    </row>
    <row r="52" spans="2:24" x14ac:dyDescent="0.25">
      <c r="Q52">
        <v>40</v>
      </c>
      <c r="S52">
        <v>20</v>
      </c>
      <c r="T52">
        <f>17*60*60+45*60</f>
        <v>63900</v>
      </c>
      <c r="U52" s="1">
        <f t="shared" si="15"/>
        <v>0.74009259259259264</v>
      </c>
      <c r="V52" s="16">
        <v>7.2847222222222216E-2</v>
      </c>
      <c r="W52" s="18">
        <v>0.81293981481481481</v>
      </c>
      <c r="X52" t="s">
        <v>223</v>
      </c>
    </row>
    <row r="62" spans="2:24" ht="15.75" thickBot="1" x14ac:dyDescent="0.3"/>
    <row r="63" spans="2:24" x14ac:dyDescent="0.25">
      <c r="C63" s="61" t="s">
        <v>226</v>
      </c>
      <c r="E63" s="61" t="s">
        <v>224</v>
      </c>
      <c r="H63" s="61" t="s">
        <v>225</v>
      </c>
    </row>
    <row r="64" spans="2:24" x14ac:dyDescent="0.25">
      <c r="B64">
        <v>50</v>
      </c>
      <c r="C64">
        <v>100</v>
      </c>
      <c r="E64">
        <v>127</v>
      </c>
      <c r="H64">
        <v>132</v>
      </c>
    </row>
    <row r="65" spans="2:8" x14ac:dyDescent="0.25">
      <c r="B65">
        <v>45</v>
      </c>
      <c r="C65">
        <v>101</v>
      </c>
      <c r="E65">
        <v>137</v>
      </c>
    </row>
    <row r="66" spans="2:8" x14ac:dyDescent="0.25">
      <c r="B66">
        <v>40</v>
      </c>
      <c r="C66">
        <v>103</v>
      </c>
      <c r="E66">
        <v>172</v>
      </c>
      <c r="H66">
        <f>16*60+21</f>
        <v>981</v>
      </c>
    </row>
    <row r="67" spans="2:8" x14ac:dyDescent="0.25">
      <c r="B67">
        <v>35</v>
      </c>
      <c r="C67" s="106">
        <v>122</v>
      </c>
      <c r="E67">
        <v>255</v>
      </c>
      <c r="H67">
        <f>136*60+38</f>
        <v>8198</v>
      </c>
    </row>
    <row r="68" spans="2:8" x14ac:dyDescent="0.25">
      <c r="B68">
        <v>30</v>
      </c>
      <c r="C68" s="106">
        <v>123</v>
      </c>
      <c r="E68">
        <f>16*60+47</f>
        <v>1007</v>
      </c>
    </row>
    <row r="69" spans="2:8" x14ac:dyDescent="0.25">
      <c r="B69">
        <v>25</v>
      </c>
      <c r="C69" s="106">
        <v>219</v>
      </c>
      <c r="E69">
        <f>83*60+58</f>
        <v>5038</v>
      </c>
    </row>
    <row r="70" spans="2:8" x14ac:dyDescent="0.25">
      <c r="B70">
        <v>20</v>
      </c>
      <c r="C70" s="106">
        <v>402</v>
      </c>
      <c r="E70">
        <f>8*60*60+56*60</f>
        <v>32160</v>
      </c>
    </row>
    <row r="71" spans="2:8" x14ac:dyDescent="0.25">
      <c r="B71">
        <v>15</v>
      </c>
      <c r="C71" s="106">
        <v>1087</v>
      </c>
    </row>
    <row r="72" spans="2:8" x14ac:dyDescent="0.25">
      <c r="C72" s="106">
        <v>4612</v>
      </c>
    </row>
    <row r="73" spans="2:8" x14ac:dyDescent="0.25">
      <c r="C73" s="106">
        <v>17897.5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K35" sqref="K35"/>
    </sheetView>
  </sheetViews>
  <sheetFormatPr defaultRowHeight="15" x14ac:dyDescent="0.25"/>
  <sheetData>
    <row r="3" spans="1:5" x14ac:dyDescent="0.25">
      <c r="A3" t="s">
        <v>231</v>
      </c>
    </row>
    <row r="4" spans="1:5" x14ac:dyDescent="0.25">
      <c r="B4" t="s">
        <v>229</v>
      </c>
    </row>
    <row r="5" spans="1:5" x14ac:dyDescent="0.25">
      <c r="A5">
        <v>1</v>
      </c>
      <c r="B5">
        <f>306*60+3</f>
        <v>18363</v>
      </c>
      <c r="C5" s="16">
        <f>E5-D5</f>
        <v>0.21253472222222225</v>
      </c>
      <c r="D5" s="16">
        <v>0.86303240740740739</v>
      </c>
      <c r="E5" s="16">
        <v>1.0755671296296296</v>
      </c>
    </row>
    <row r="6" spans="1:5" x14ac:dyDescent="0.25">
      <c r="A6">
        <v>2</v>
      </c>
      <c r="B6">
        <f>285*60+26</f>
        <v>17126</v>
      </c>
      <c r="C6" s="16">
        <f>E6-D6</f>
        <v>0.19821759259259258</v>
      </c>
      <c r="D6" s="16">
        <v>7.5648148148148145E-2</v>
      </c>
      <c r="E6" s="16">
        <v>0.27386574074074072</v>
      </c>
    </row>
    <row r="7" spans="1:5" x14ac:dyDescent="0.25">
      <c r="A7">
        <v>4</v>
      </c>
      <c r="B7">
        <f>263*60+19</f>
        <v>15799</v>
      </c>
      <c r="C7" s="16">
        <f t="shared" ref="C7:C10" si="0">E7-D7</f>
        <v>0.18285879629629631</v>
      </c>
      <c r="D7" s="16">
        <v>0.2739699074074074</v>
      </c>
      <c r="E7" s="16">
        <v>0.45682870370370371</v>
      </c>
    </row>
    <row r="8" spans="1:5" x14ac:dyDescent="0.25">
      <c r="A8">
        <v>8</v>
      </c>
      <c r="B8">
        <f>226*60+10</f>
        <v>13570</v>
      </c>
      <c r="C8" s="16">
        <f t="shared" si="0"/>
        <v>0.15706018518518522</v>
      </c>
      <c r="D8" s="16">
        <v>0.45694444444444443</v>
      </c>
      <c r="E8" s="16">
        <v>0.61400462962962965</v>
      </c>
    </row>
    <row r="9" spans="1:5" x14ac:dyDescent="0.25">
      <c r="A9">
        <v>12</v>
      </c>
      <c r="B9">
        <f>161*60+40</f>
        <v>9700</v>
      </c>
      <c r="C9" s="16">
        <f t="shared" si="0"/>
        <v>0.11226851851851838</v>
      </c>
      <c r="D9" s="16">
        <v>0.61414351851851856</v>
      </c>
      <c r="E9" s="16">
        <v>0.72641203703703694</v>
      </c>
    </row>
    <row r="10" spans="1:5" x14ac:dyDescent="0.25">
      <c r="A10">
        <v>17</v>
      </c>
      <c r="C10" s="16">
        <f t="shared" si="0"/>
        <v>9.5462962962962861E-2</v>
      </c>
      <c r="D10" s="16">
        <v>0.72651620370370373</v>
      </c>
      <c r="E10" s="18">
        <v>0.82197916666666659</v>
      </c>
    </row>
    <row r="13" spans="1:5" x14ac:dyDescent="0.25">
      <c r="A13" t="s">
        <v>228</v>
      </c>
      <c r="B13" t="s">
        <v>230</v>
      </c>
    </row>
    <row r="14" spans="1:5" x14ac:dyDescent="0.25">
      <c r="A14">
        <v>1</v>
      </c>
      <c r="C14" s="16">
        <f t="shared" ref="C14:C19" si="1">E14-D14</f>
        <v>0.11196759259259259</v>
      </c>
      <c r="D14" s="18">
        <v>0.95222222222222219</v>
      </c>
      <c r="E14" s="18">
        <v>1.0641898148148148</v>
      </c>
    </row>
    <row r="15" spans="1:5" x14ac:dyDescent="0.25">
      <c r="A15">
        <v>2</v>
      </c>
      <c r="C15" s="16">
        <f t="shared" si="1"/>
        <v>7.3541666666666672E-2</v>
      </c>
      <c r="D15" s="18">
        <v>6.430555555555556E-2</v>
      </c>
      <c r="E15" s="18">
        <v>0.13784722222222223</v>
      </c>
    </row>
    <row r="16" spans="1:5" x14ac:dyDescent="0.25">
      <c r="A16">
        <v>4</v>
      </c>
      <c r="C16" s="16">
        <f t="shared" si="1"/>
        <v>4.0196759259259252E-2</v>
      </c>
      <c r="D16" s="18">
        <v>0.13792824074074075</v>
      </c>
      <c r="E16" s="18">
        <v>0.17812500000000001</v>
      </c>
    </row>
    <row r="17" spans="1:5" x14ac:dyDescent="0.25">
      <c r="A17">
        <v>8</v>
      </c>
      <c r="C17" s="16">
        <f t="shared" si="1"/>
        <v>2.0914351851851865E-2</v>
      </c>
      <c r="D17" s="18">
        <v>0.1782060185185185</v>
      </c>
      <c r="E17" s="18">
        <v>0.19912037037037036</v>
      </c>
    </row>
    <row r="18" spans="1:5" x14ac:dyDescent="0.25">
      <c r="A18">
        <v>12</v>
      </c>
      <c r="C18" s="16">
        <f t="shared" si="1"/>
        <v>1.5937499999999966E-2</v>
      </c>
      <c r="D18" s="18">
        <v>0.19920138888888891</v>
      </c>
      <c r="E18" s="18">
        <v>0.21513888888888888</v>
      </c>
    </row>
    <row r="19" spans="1:5" x14ac:dyDescent="0.25">
      <c r="A19">
        <v>17</v>
      </c>
      <c r="C19" s="16">
        <f t="shared" si="1"/>
        <v>1.3043981481481504E-2</v>
      </c>
      <c r="D19" s="18">
        <v>0.2152199074074074</v>
      </c>
      <c r="E19" s="18">
        <v>0.22826388888888891</v>
      </c>
    </row>
    <row r="25" spans="1:5" x14ac:dyDescent="0.25">
      <c r="A25" t="s">
        <v>232</v>
      </c>
      <c r="B25" t="s">
        <v>233</v>
      </c>
    </row>
    <row r="26" spans="1:5" x14ac:dyDescent="0.25">
      <c r="A26">
        <v>1</v>
      </c>
      <c r="C26" s="16">
        <f t="shared" ref="C26:C31" si="2">E26-D26</f>
        <v>6.0370370370370352E-2</v>
      </c>
      <c r="D26" s="18">
        <v>0.29640046296296296</v>
      </c>
      <c r="E26" s="18">
        <v>0.35677083333333331</v>
      </c>
    </row>
    <row r="27" spans="1:5" x14ac:dyDescent="0.25">
      <c r="A27">
        <v>2</v>
      </c>
      <c r="C27" s="16">
        <f t="shared" si="2"/>
        <v>5.7881944444444444E-2</v>
      </c>
      <c r="D27" s="18">
        <v>0.35684027777777777</v>
      </c>
      <c r="E27" s="18">
        <v>0.41472222222222221</v>
      </c>
    </row>
    <row r="28" spans="1:5" x14ac:dyDescent="0.25">
      <c r="A28">
        <v>4</v>
      </c>
      <c r="C28" s="16">
        <f t="shared" si="2"/>
        <v>4.6597222222222234E-2</v>
      </c>
      <c r="D28" s="18">
        <v>0.41479166666666667</v>
      </c>
      <c r="E28" s="18">
        <v>0.4613888888888889</v>
      </c>
    </row>
    <row r="29" spans="1:5" x14ac:dyDescent="0.25">
      <c r="A29">
        <v>8</v>
      </c>
      <c r="C29" s="16">
        <f t="shared" si="2"/>
        <v>2.9120370370370408E-2</v>
      </c>
      <c r="D29" s="18">
        <v>0.46148148148148144</v>
      </c>
      <c r="E29" s="18">
        <v>0.49060185185185184</v>
      </c>
    </row>
    <row r="30" spans="1:5" x14ac:dyDescent="0.25">
      <c r="A30">
        <v>12</v>
      </c>
      <c r="C30" s="16">
        <f t="shared" si="2"/>
        <v>1.9097222222222154E-2</v>
      </c>
      <c r="D30" s="18">
        <v>0.49069444444444449</v>
      </c>
      <c r="E30" s="18">
        <v>0.50979166666666664</v>
      </c>
    </row>
    <row r="31" spans="1:5" x14ac:dyDescent="0.25">
      <c r="A31">
        <v>17</v>
      </c>
      <c r="C31" s="16">
        <f t="shared" si="2"/>
        <v>1.5659722222222117E-2</v>
      </c>
      <c r="D31" s="18">
        <v>0.50987268518518525</v>
      </c>
      <c r="E31" s="18">
        <v>0.52553240740740736</v>
      </c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K5" sqref="K5"/>
    </sheetView>
  </sheetViews>
  <sheetFormatPr defaultRowHeight="15" x14ac:dyDescent="0.25"/>
  <cols>
    <col min="5" max="5" width="9.7109375" style="1" bestFit="1" customWidth="1"/>
  </cols>
  <sheetData>
    <row r="2" spans="2:11" x14ac:dyDescent="0.25">
      <c r="B2" t="s">
        <v>234</v>
      </c>
    </row>
    <row r="3" spans="2:11" x14ac:dyDescent="0.25">
      <c r="B3" t="s">
        <v>235</v>
      </c>
      <c r="C3">
        <v>10</v>
      </c>
      <c r="E3" s="1">
        <f>G3-F3</f>
        <v>7.8946759259259203E-2</v>
      </c>
      <c r="F3" s="18">
        <v>0.56837962962962962</v>
      </c>
      <c r="G3" s="18">
        <v>0.64732638888888883</v>
      </c>
      <c r="I3" s="1">
        <f>K3-J3</f>
        <v>7.8344907407407405E-2</v>
      </c>
      <c r="J3" s="18">
        <v>0.55023148148148149</v>
      </c>
      <c r="K3" s="18">
        <v>0.62857638888888889</v>
      </c>
    </row>
    <row r="4" spans="2:11" x14ac:dyDescent="0.25">
      <c r="C4">
        <v>100</v>
      </c>
      <c r="E4" s="1">
        <f t="shared" ref="E4:E7" si="0">G4-F4</f>
        <v>0.17429398148148145</v>
      </c>
      <c r="F4" s="18">
        <v>0.64741898148148147</v>
      </c>
      <c r="G4" s="18">
        <v>0.82171296296296292</v>
      </c>
      <c r="I4" s="1">
        <f t="shared" ref="I4:I7" si="1">K4-J4</f>
        <v>0.22134259259259248</v>
      </c>
      <c r="J4" s="18">
        <v>0.62866898148148154</v>
      </c>
      <c r="K4" s="18">
        <v>0.85001157407407402</v>
      </c>
    </row>
    <row r="5" spans="2:11" x14ac:dyDescent="0.25">
      <c r="C5">
        <v>1000</v>
      </c>
      <c r="E5" s="1">
        <f t="shared" si="0"/>
        <v>0.11484953703703704</v>
      </c>
      <c r="F5" s="18">
        <v>0.8218981481481481</v>
      </c>
      <c r="G5" s="18">
        <v>0.93674768518518514</v>
      </c>
      <c r="I5" s="1">
        <f t="shared" si="1"/>
        <v>0</v>
      </c>
    </row>
    <row r="6" spans="2:11" x14ac:dyDescent="0.25">
      <c r="C6">
        <v>10000</v>
      </c>
      <c r="E6" s="1">
        <f t="shared" si="0"/>
        <v>0.12023148148148144</v>
      </c>
      <c r="F6" s="18">
        <v>0.93685185185185194</v>
      </c>
      <c r="G6" s="18">
        <v>1.0570833333333334</v>
      </c>
      <c r="I6" s="1">
        <f t="shared" si="1"/>
        <v>0</v>
      </c>
    </row>
    <row r="7" spans="2:11" x14ac:dyDescent="0.25">
      <c r="C7">
        <v>100000</v>
      </c>
      <c r="E7" s="1">
        <f t="shared" si="0"/>
        <v>0.11038194444444444</v>
      </c>
      <c r="F7" s="18">
        <v>5.7175925925925929E-2</v>
      </c>
      <c r="G7" s="18">
        <v>0.16755787037037037</v>
      </c>
      <c r="I7" s="1">
        <f t="shared" si="1"/>
        <v>0</v>
      </c>
    </row>
    <row r="11" spans="2:11" x14ac:dyDescent="0.25">
      <c r="B11" t="s">
        <v>236</v>
      </c>
      <c r="C11">
        <v>10</v>
      </c>
    </row>
    <row r="12" spans="2:11" x14ac:dyDescent="0.25">
      <c r="C12">
        <v>100</v>
      </c>
    </row>
    <row r="13" spans="2:11" x14ac:dyDescent="0.25">
      <c r="C13">
        <v>1000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F10"/>
    </sheetView>
  </sheetViews>
  <sheetFormatPr defaultRowHeight="15" x14ac:dyDescent="0.25"/>
  <sheetData>
    <row r="1" spans="1:6" x14ac:dyDescent="0.25">
      <c r="A1" t="s">
        <v>9</v>
      </c>
    </row>
    <row r="2" spans="1:6" ht="15.75" thickBot="1" x14ac:dyDescent="0.3"/>
    <row r="3" spans="1:6" ht="57.75" thickBot="1" x14ac:dyDescent="0.3">
      <c r="A3" s="7" t="s">
        <v>7</v>
      </c>
      <c r="B3" s="7" t="s">
        <v>28</v>
      </c>
      <c r="C3" s="7" t="s">
        <v>11</v>
      </c>
      <c r="D3" s="7" t="s">
        <v>8</v>
      </c>
      <c r="E3" s="23" t="s">
        <v>40</v>
      </c>
      <c r="F3" s="23" t="s">
        <v>29</v>
      </c>
    </row>
    <row r="4" spans="1:6" ht="15.75" thickBot="1" x14ac:dyDescent="0.3">
      <c r="A4" s="7">
        <v>9</v>
      </c>
      <c r="B4" s="7">
        <v>113</v>
      </c>
      <c r="C4" s="7">
        <v>1</v>
      </c>
      <c r="D4" s="7"/>
      <c r="E4" s="23">
        <v>167</v>
      </c>
      <c r="F4" t="s">
        <v>39</v>
      </c>
    </row>
    <row r="5" spans="1:6" ht="15.75" thickBot="1" x14ac:dyDescent="0.3">
      <c r="A5" s="7">
        <v>8</v>
      </c>
      <c r="B5" s="8">
        <v>121</v>
      </c>
      <c r="C5" s="7">
        <v>1</v>
      </c>
      <c r="D5" s="8"/>
      <c r="E5">
        <v>189</v>
      </c>
    </row>
    <row r="6" spans="1:6" ht="15.75" thickBot="1" x14ac:dyDescent="0.3">
      <c r="A6" s="7">
        <v>7</v>
      </c>
      <c r="B6" s="7">
        <v>247</v>
      </c>
      <c r="C6" s="8">
        <v>7</v>
      </c>
      <c r="D6" s="8">
        <v>79288</v>
      </c>
      <c r="E6">
        <v>645</v>
      </c>
    </row>
    <row r="7" spans="1:6" ht="15.75" thickBot="1" x14ac:dyDescent="0.3">
      <c r="A7" s="7">
        <v>6</v>
      </c>
      <c r="B7" s="8">
        <v>1213</v>
      </c>
      <c r="C7" s="7">
        <v>155</v>
      </c>
      <c r="D7" s="8"/>
      <c r="E7">
        <f>86*60</f>
        <v>5160</v>
      </c>
    </row>
    <row r="8" spans="1:6" ht="15.75" thickBot="1" x14ac:dyDescent="0.3">
      <c r="A8" s="7">
        <v>5</v>
      </c>
      <c r="B8" s="12">
        <v>5102</v>
      </c>
      <c r="C8" s="8">
        <v>15022</v>
      </c>
      <c r="D8" s="8"/>
      <c r="E8">
        <f>868*60</f>
        <v>52080</v>
      </c>
    </row>
    <row r="9" spans="1:6" ht="15.75" thickBot="1" x14ac:dyDescent="0.3">
      <c r="A9" s="10">
        <v>4</v>
      </c>
      <c r="B9" s="13">
        <v>12270</v>
      </c>
      <c r="C9" s="11"/>
      <c r="D9" s="8"/>
      <c r="E9">
        <f>1381/40*100*60</f>
        <v>207150</v>
      </c>
    </row>
    <row r="10" spans="1:6" x14ac:dyDescent="0.25">
      <c r="A10" s="21">
        <v>3</v>
      </c>
      <c r="B10" s="22">
        <v>13024</v>
      </c>
      <c r="D10" t="s">
        <v>22</v>
      </c>
    </row>
    <row r="16" spans="1:6" x14ac:dyDescent="0.25">
      <c r="D16">
        <f>100000/60/60</f>
        <v>27.777777777777779</v>
      </c>
    </row>
    <row r="23" spans="2:2" x14ac:dyDescent="0.25">
      <c r="B23">
        <f>4*60*60</f>
        <v>14400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Normal="100" workbookViewId="0">
      <selection activeCell="E11" sqref="E11"/>
    </sheetView>
  </sheetViews>
  <sheetFormatPr defaultRowHeight="15" x14ac:dyDescent="0.25"/>
  <cols>
    <col min="2" max="2" width="20.5703125" bestFit="1" customWidth="1"/>
    <col min="3" max="3" width="20.7109375" bestFit="1" customWidth="1"/>
  </cols>
  <sheetData>
    <row r="1" spans="1:6" x14ac:dyDescent="0.25">
      <c r="A1" t="s">
        <v>6</v>
      </c>
    </row>
    <row r="2" spans="1:6" x14ac:dyDescent="0.25">
      <c r="A2" t="s">
        <v>4</v>
      </c>
      <c r="B2" t="s">
        <v>28</v>
      </c>
      <c r="C2" t="s">
        <v>11</v>
      </c>
      <c r="D2" t="s">
        <v>10</v>
      </c>
      <c r="E2" s="9" t="s">
        <v>41</v>
      </c>
      <c r="F2" t="s">
        <v>40</v>
      </c>
    </row>
    <row r="3" spans="1:6" x14ac:dyDescent="0.25">
      <c r="A3">
        <v>24</v>
      </c>
      <c r="B3">
        <v>114</v>
      </c>
      <c r="C3">
        <v>3</v>
      </c>
      <c r="D3">
        <v>201</v>
      </c>
      <c r="E3">
        <v>161</v>
      </c>
      <c r="F3" s="24">
        <v>131</v>
      </c>
    </row>
    <row r="4" spans="1:6" x14ac:dyDescent="0.25">
      <c r="A4">
        <v>23</v>
      </c>
      <c r="B4">
        <v>115</v>
      </c>
      <c r="C4">
        <v>3</v>
      </c>
      <c r="D4">
        <v>308</v>
      </c>
      <c r="E4">
        <v>220</v>
      </c>
      <c r="F4" s="24">
        <v>143</v>
      </c>
    </row>
    <row r="5" spans="1:6" x14ac:dyDescent="0.25">
      <c r="A5">
        <v>22</v>
      </c>
      <c r="B5">
        <v>277</v>
      </c>
      <c r="C5">
        <v>3</v>
      </c>
      <c r="D5">
        <v>490</v>
      </c>
      <c r="F5" s="24">
        <v>145</v>
      </c>
    </row>
    <row r="6" spans="1:6" x14ac:dyDescent="0.25">
      <c r="A6">
        <v>21</v>
      </c>
      <c r="B6">
        <v>300</v>
      </c>
      <c r="C6">
        <v>4</v>
      </c>
      <c r="D6">
        <v>2471</v>
      </c>
      <c r="F6" s="24">
        <v>165</v>
      </c>
    </row>
    <row r="7" spans="1:6" x14ac:dyDescent="0.25">
      <c r="A7">
        <v>20</v>
      </c>
      <c r="B7">
        <v>351</v>
      </c>
      <c r="C7">
        <v>34</v>
      </c>
      <c r="D7">
        <v>19081</v>
      </c>
      <c r="F7" s="24">
        <v>240</v>
      </c>
    </row>
    <row r="8" spans="1:6" x14ac:dyDescent="0.25">
      <c r="A8">
        <v>19</v>
      </c>
      <c r="B8">
        <v>541</v>
      </c>
      <c r="C8">
        <v>543</v>
      </c>
      <c r="F8" s="24">
        <v>624</v>
      </c>
    </row>
    <row r="9" spans="1:6" x14ac:dyDescent="0.25">
      <c r="A9">
        <v>18</v>
      </c>
      <c r="B9">
        <v>1970</v>
      </c>
      <c r="F9" s="24">
        <f>59*60</f>
        <v>3540</v>
      </c>
    </row>
    <row r="10" spans="1:6" x14ac:dyDescent="0.25">
      <c r="A10">
        <v>17</v>
      </c>
      <c r="B10">
        <v>12295</v>
      </c>
      <c r="F10" s="24">
        <f>4*60*60+37*60+41</f>
        <v>16661</v>
      </c>
    </row>
    <row r="11" spans="1:6" x14ac:dyDescent="0.25">
      <c r="A11">
        <v>16</v>
      </c>
    </row>
    <row r="12" spans="1:6" x14ac:dyDescent="0.25">
      <c r="A12">
        <v>15</v>
      </c>
    </row>
    <row r="13" spans="1:6" x14ac:dyDescent="0.25">
      <c r="A13">
        <v>14</v>
      </c>
      <c r="B13">
        <v>40395</v>
      </c>
    </row>
    <row r="14" spans="1:6" x14ac:dyDescent="0.25">
      <c r="A14">
        <v>13</v>
      </c>
      <c r="B14">
        <v>76751</v>
      </c>
    </row>
    <row r="17" spans="1:7" x14ac:dyDescent="0.25">
      <c r="C17" s="9" t="s">
        <v>24</v>
      </c>
    </row>
    <row r="22" spans="1:7" x14ac:dyDescent="0.25">
      <c r="A22" t="s">
        <v>38</v>
      </c>
      <c r="B22" t="s">
        <v>31</v>
      </c>
      <c r="C22" t="s">
        <v>32</v>
      </c>
      <c r="D22" t="s">
        <v>42</v>
      </c>
      <c r="E22" t="s">
        <v>43</v>
      </c>
      <c r="F22" t="s">
        <v>44</v>
      </c>
    </row>
    <row r="23" spans="1:7" x14ac:dyDescent="0.25">
      <c r="A23">
        <v>24</v>
      </c>
      <c r="B23" s="16">
        <v>0.13972222222222222</v>
      </c>
      <c r="C23" s="16">
        <v>0.1411226851851852</v>
      </c>
      <c r="D23" s="16">
        <f>C23-B23</f>
        <v>1.4004629629629783E-3</v>
      </c>
      <c r="E23" s="1">
        <v>10.000115740740741</v>
      </c>
      <c r="F23" s="16">
        <f>D23+E23</f>
        <v>10.001516203703703</v>
      </c>
      <c r="G23" s="24">
        <v>131</v>
      </c>
    </row>
    <row r="24" spans="1:7" x14ac:dyDescent="0.25">
      <c r="A24">
        <v>23</v>
      </c>
      <c r="B24" s="16">
        <v>0.14122685185185185</v>
      </c>
      <c r="C24" s="16">
        <v>0.14276620370370371</v>
      </c>
      <c r="D24" s="16">
        <f t="shared" ref="D24:D29" si="0">C24-B24</f>
        <v>1.5393518518518612E-3</v>
      </c>
      <c r="E24" s="1">
        <v>10.000115740740741</v>
      </c>
      <c r="F24" s="16">
        <f t="shared" ref="F24:F30" si="1">D24+E24</f>
        <v>10.001655092592593</v>
      </c>
      <c r="G24" s="24">
        <v>143</v>
      </c>
    </row>
    <row r="25" spans="1:7" x14ac:dyDescent="0.25">
      <c r="A25">
        <v>22</v>
      </c>
      <c r="B25" s="16">
        <v>0.14288194444444444</v>
      </c>
      <c r="C25" s="16">
        <v>0.1444212962962963</v>
      </c>
      <c r="D25" s="16">
        <f t="shared" si="0"/>
        <v>1.5393518518518612E-3</v>
      </c>
      <c r="E25" s="1">
        <v>10.000138888888889</v>
      </c>
      <c r="F25" s="16">
        <f t="shared" si="1"/>
        <v>10.001678240740741</v>
      </c>
      <c r="G25" s="24">
        <v>145</v>
      </c>
    </row>
    <row r="26" spans="1:7" x14ac:dyDescent="0.25">
      <c r="A26">
        <v>21</v>
      </c>
      <c r="B26" s="16">
        <v>0.14456018518518518</v>
      </c>
      <c r="C26" s="16">
        <v>0.14631944444444445</v>
      </c>
      <c r="D26" s="16">
        <f t="shared" si="0"/>
        <v>1.759259259259266E-3</v>
      </c>
      <c r="E26" s="1">
        <v>10.000150462962964</v>
      </c>
      <c r="F26" s="16">
        <f t="shared" si="1"/>
        <v>10.001909722222223</v>
      </c>
      <c r="G26" s="24">
        <v>165</v>
      </c>
    </row>
    <row r="27" spans="1:7" x14ac:dyDescent="0.25">
      <c r="A27">
        <v>20</v>
      </c>
      <c r="B27" s="16">
        <v>0.14646990740740742</v>
      </c>
      <c r="C27" s="16">
        <v>0.14909722222222221</v>
      </c>
      <c r="D27" s="16">
        <f t="shared" si="0"/>
        <v>2.6273148148147907E-3</v>
      </c>
      <c r="E27" s="1">
        <v>10.000150462962964</v>
      </c>
      <c r="F27" s="16">
        <f t="shared" si="1"/>
        <v>10.002777777777778</v>
      </c>
      <c r="G27" s="24">
        <v>240</v>
      </c>
    </row>
    <row r="28" spans="1:7" x14ac:dyDescent="0.25">
      <c r="A28">
        <v>19</v>
      </c>
      <c r="B28" s="16">
        <v>0.15408564814814815</v>
      </c>
      <c r="C28" s="16">
        <v>0.16113425925925925</v>
      </c>
      <c r="D28" s="16">
        <f t="shared" si="0"/>
        <v>7.0486111111111027E-3</v>
      </c>
      <c r="E28" s="1">
        <v>10.00017361111111</v>
      </c>
      <c r="F28" s="16">
        <f t="shared" si="1"/>
        <v>10.007222222222222</v>
      </c>
      <c r="G28" s="24">
        <v>624</v>
      </c>
    </row>
    <row r="29" spans="1:7" x14ac:dyDescent="0.25">
      <c r="A29">
        <v>18</v>
      </c>
      <c r="B29" s="16">
        <v>0.16130787037037037</v>
      </c>
      <c r="C29" s="16">
        <v>0.19625000000000001</v>
      </c>
      <c r="D29" s="16">
        <f t="shared" si="0"/>
        <v>3.4942129629629642E-2</v>
      </c>
      <c r="E29" s="1">
        <v>10.00017361111111</v>
      </c>
      <c r="F29" s="16">
        <f t="shared" si="1"/>
        <v>10.035115740740739</v>
      </c>
      <c r="G29" s="24">
        <f>59*60</f>
        <v>3540</v>
      </c>
    </row>
    <row r="30" spans="1:7" x14ac:dyDescent="0.25">
      <c r="A30">
        <v>17</v>
      </c>
      <c r="B30" s="16">
        <v>0.19637731481481482</v>
      </c>
      <c r="C30" s="16">
        <v>0.38898148148148143</v>
      </c>
      <c r="D30" s="16">
        <f>C30-B30</f>
        <v>0.1926041666666666</v>
      </c>
      <c r="E30" s="1">
        <v>10.000231481481482</v>
      </c>
      <c r="F30" s="16">
        <f t="shared" si="1"/>
        <v>10.192835648148149</v>
      </c>
      <c r="G30" s="24">
        <f>4*60*60+37*60+41</f>
        <v>16661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zoomScale="85" zoomScaleNormal="85" workbookViewId="0">
      <selection activeCell="R41" sqref="R41"/>
    </sheetView>
  </sheetViews>
  <sheetFormatPr defaultRowHeight="15" x14ac:dyDescent="0.25"/>
  <sheetData>
    <row r="2" spans="3:11" x14ac:dyDescent="0.25">
      <c r="C2" t="s">
        <v>25</v>
      </c>
      <c r="D2" t="s">
        <v>26</v>
      </c>
      <c r="F2" t="s">
        <v>27</v>
      </c>
    </row>
    <row r="3" spans="3:11" x14ac:dyDescent="0.25">
      <c r="C3">
        <v>1</v>
      </c>
      <c r="D3">
        <v>11040</v>
      </c>
      <c r="G3" s="16">
        <f t="shared" ref="G3:G7" si="0">F3-E3</f>
        <v>0</v>
      </c>
    </row>
    <row r="4" spans="3:11" x14ac:dyDescent="0.25">
      <c r="C4">
        <v>2</v>
      </c>
      <c r="D4">
        <v>5683</v>
      </c>
      <c r="E4" s="16"/>
      <c r="F4" s="17"/>
      <c r="G4" s="16">
        <v>6.5775462962962966E-2</v>
      </c>
      <c r="J4" s="16"/>
      <c r="K4" s="16"/>
    </row>
    <row r="5" spans="3:11" x14ac:dyDescent="0.25">
      <c r="C5">
        <v>3</v>
      </c>
      <c r="D5">
        <v>3914</v>
      </c>
      <c r="E5" s="16">
        <v>4.4861111111111109E-2</v>
      </c>
      <c r="F5" s="16">
        <v>9.0162037037037027E-2</v>
      </c>
      <c r="G5" s="16">
        <f t="shared" si="0"/>
        <v>4.5300925925925918E-2</v>
      </c>
    </row>
    <row r="6" spans="3:11" x14ac:dyDescent="0.25">
      <c r="C6">
        <v>4</v>
      </c>
      <c r="D6">
        <v>3032</v>
      </c>
      <c r="E6" s="16">
        <v>9.07175925925926E-2</v>
      </c>
      <c r="F6" s="16">
        <v>0.12581018518518519</v>
      </c>
      <c r="G6" s="16">
        <f t="shared" si="0"/>
        <v>3.5092592592592592E-2</v>
      </c>
    </row>
    <row r="7" spans="3:11" x14ac:dyDescent="0.25">
      <c r="C7">
        <v>5</v>
      </c>
      <c r="D7">
        <v>2483</v>
      </c>
      <c r="E7" s="16">
        <v>0.12653935185185186</v>
      </c>
      <c r="F7" s="16">
        <v>0.15527777777777776</v>
      </c>
      <c r="G7" s="16">
        <f t="shared" si="0"/>
        <v>2.8738425925925903E-2</v>
      </c>
    </row>
    <row r="8" spans="3:11" x14ac:dyDescent="0.25">
      <c r="C8">
        <v>6</v>
      </c>
      <c r="D8">
        <v>2476</v>
      </c>
      <c r="G8" s="16">
        <f t="shared" ref="G8:G18" si="1">F8-E8</f>
        <v>0</v>
      </c>
    </row>
    <row r="9" spans="3:11" x14ac:dyDescent="0.25">
      <c r="C9">
        <v>7</v>
      </c>
      <c r="D9">
        <v>2101</v>
      </c>
      <c r="E9" s="16">
        <v>0.15581018518518519</v>
      </c>
      <c r="F9" s="18">
        <v>0.18012731481481481</v>
      </c>
      <c r="G9" s="16">
        <f t="shared" si="1"/>
        <v>2.4317129629629619E-2</v>
      </c>
    </row>
    <row r="10" spans="3:11" x14ac:dyDescent="0.25">
      <c r="C10">
        <v>8</v>
      </c>
      <c r="D10">
        <v>1920</v>
      </c>
      <c r="E10" s="18">
        <v>0.18091435185185187</v>
      </c>
      <c r="F10" s="18">
        <v>0.20197916666666668</v>
      </c>
      <c r="G10" s="16">
        <f t="shared" si="1"/>
        <v>2.1064814814814814E-2</v>
      </c>
    </row>
    <row r="11" spans="3:11" x14ac:dyDescent="0.25">
      <c r="C11">
        <v>9</v>
      </c>
      <c r="D11">
        <v>1548</v>
      </c>
      <c r="E11" s="17">
        <v>0.94883101851851848</v>
      </c>
      <c r="F11" s="16">
        <v>0.96674768518518517</v>
      </c>
      <c r="G11" s="16">
        <f t="shared" si="1"/>
        <v>1.7916666666666692E-2</v>
      </c>
    </row>
    <row r="12" spans="3:11" x14ac:dyDescent="0.25">
      <c r="C12">
        <v>10</v>
      </c>
      <c r="D12">
        <v>1409</v>
      </c>
      <c r="E12" s="18">
        <v>0.20274305555555558</v>
      </c>
      <c r="F12" s="16">
        <v>0.21905092592592593</v>
      </c>
      <c r="G12" s="16">
        <f t="shared" si="1"/>
        <v>1.6307870370370348E-2</v>
      </c>
    </row>
    <row r="13" spans="3:11" x14ac:dyDescent="0.25">
      <c r="C13">
        <v>11</v>
      </c>
      <c r="D13">
        <v>1348</v>
      </c>
      <c r="E13" s="17">
        <v>0.21957175925925929</v>
      </c>
      <c r="F13" s="16">
        <v>0.23517361111111112</v>
      </c>
      <c r="G13" s="16">
        <f t="shared" si="1"/>
        <v>1.5601851851851839E-2</v>
      </c>
    </row>
    <row r="14" spans="3:11" x14ac:dyDescent="0.25">
      <c r="C14">
        <v>12</v>
      </c>
      <c r="D14">
        <v>1376</v>
      </c>
      <c r="E14" s="16">
        <v>0.87644675925925919</v>
      </c>
      <c r="F14" s="16">
        <v>0.89237268518518509</v>
      </c>
      <c r="G14" s="16">
        <f t="shared" si="1"/>
        <v>1.5925925925925899E-2</v>
      </c>
    </row>
    <row r="15" spans="3:11" x14ac:dyDescent="0.25">
      <c r="C15">
        <v>13</v>
      </c>
      <c r="D15">
        <v>1196</v>
      </c>
      <c r="E15" s="16">
        <v>0.23574074074074072</v>
      </c>
      <c r="F15" s="16">
        <v>0.24958333333333335</v>
      </c>
      <c r="G15" s="16">
        <f t="shared" si="1"/>
        <v>1.3842592592592629E-2</v>
      </c>
    </row>
    <row r="16" spans="3:11" x14ac:dyDescent="0.25">
      <c r="C16">
        <v>14</v>
      </c>
      <c r="D16">
        <v>1309</v>
      </c>
      <c r="E16" s="16">
        <v>0.2502314814814815</v>
      </c>
      <c r="F16" s="16">
        <v>0.26561342592592591</v>
      </c>
      <c r="G16" s="16">
        <f t="shared" si="1"/>
        <v>1.5381944444444406E-2</v>
      </c>
    </row>
    <row r="17" spans="3:7" x14ac:dyDescent="0.25">
      <c r="C17">
        <v>15</v>
      </c>
      <c r="D17">
        <v>1311</v>
      </c>
      <c r="E17" s="16">
        <v>0.92697916666666658</v>
      </c>
      <c r="F17" s="16">
        <v>0.94215277777777784</v>
      </c>
      <c r="G17" s="16">
        <f t="shared" si="1"/>
        <v>1.5173611111111263E-2</v>
      </c>
    </row>
    <row r="18" spans="3:7" x14ac:dyDescent="0.25">
      <c r="C18">
        <v>16</v>
      </c>
      <c r="D18">
        <v>1521</v>
      </c>
      <c r="E18" s="16">
        <v>0.26626157407407408</v>
      </c>
      <c r="F18" s="16">
        <v>0.28386574074074072</v>
      </c>
      <c r="G18" s="16">
        <f t="shared" si="1"/>
        <v>1.7604166666666643E-2</v>
      </c>
    </row>
    <row r="19" spans="3:7" x14ac:dyDescent="0.25">
      <c r="C19">
        <v>17</v>
      </c>
      <c r="D19">
        <v>1350</v>
      </c>
      <c r="E19" s="16">
        <v>0.28452546296296294</v>
      </c>
      <c r="F19" s="16">
        <v>0.30015046296296294</v>
      </c>
      <c r="G19" s="16">
        <f t="shared" ref="G19:G21" si="2">F19-E19</f>
        <v>1.5625E-2</v>
      </c>
    </row>
    <row r="20" spans="3:7" x14ac:dyDescent="0.25">
      <c r="C20">
        <v>18</v>
      </c>
      <c r="D20">
        <v>1309</v>
      </c>
      <c r="E20" s="16">
        <v>0.89527777777777784</v>
      </c>
      <c r="F20" s="16">
        <v>0.91042824074074069</v>
      </c>
      <c r="G20" s="16">
        <f t="shared" si="2"/>
        <v>1.5150462962962852E-2</v>
      </c>
    </row>
    <row r="21" spans="3:7" x14ac:dyDescent="0.25">
      <c r="C21">
        <v>24</v>
      </c>
      <c r="D21">
        <v>1200</v>
      </c>
      <c r="E21" s="16">
        <v>0.91131944444444446</v>
      </c>
      <c r="F21" s="16">
        <v>0.9252083333333333</v>
      </c>
      <c r="G21" s="16">
        <f t="shared" si="2"/>
        <v>1.388888888888884E-2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4" sqref="B4:E11"/>
    </sheetView>
  </sheetViews>
  <sheetFormatPr defaultRowHeight="15" x14ac:dyDescent="0.25"/>
  <cols>
    <col min="2" max="2" width="13.855468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 s="28">
        <v>10</v>
      </c>
      <c r="C4" s="25">
        <v>3.0451388888888889E-2</v>
      </c>
      <c r="D4" s="26">
        <f>43*60+51</f>
        <v>2631</v>
      </c>
      <c r="E4" s="27">
        <v>32</v>
      </c>
    </row>
    <row r="5" spans="2:5" x14ac:dyDescent="0.25">
      <c r="B5" s="28">
        <v>100</v>
      </c>
      <c r="C5" s="25">
        <v>3.1539351851851853E-2</v>
      </c>
      <c r="D5" s="26">
        <f>45*60+25</f>
        <v>2725</v>
      </c>
      <c r="E5" s="27">
        <v>30</v>
      </c>
    </row>
    <row r="6" spans="2:5" x14ac:dyDescent="0.25">
      <c r="B6" s="28">
        <v>1000</v>
      </c>
      <c r="C6" s="25">
        <v>2.988425925925926E-2</v>
      </c>
      <c r="D6" s="26">
        <f>43*60+2</f>
        <v>2582</v>
      </c>
      <c r="E6">
        <v>28</v>
      </c>
    </row>
    <row r="7" spans="2:5" x14ac:dyDescent="0.25">
      <c r="B7" s="28">
        <v>10000</v>
      </c>
      <c r="C7" s="25">
        <v>2.8854166666666667E-2</v>
      </c>
      <c r="D7" s="26">
        <f>41*60+33</f>
        <v>2493</v>
      </c>
      <c r="E7">
        <v>26</v>
      </c>
    </row>
    <row r="8" spans="2:5" x14ac:dyDescent="0.25">
      <c r="B8" s="28">
        <v>100000</v>
      </c>
      <c r="C8" s="25">
        <v>3.2442129629629633E-2</v>
      </c>
      <c r="D8" s="26">
        <f>46*60+43</f>
        <v>2803</v>
      </c>
      <c r="E8">
        <v>22</v>
      </c>
    </row>
    <row r="9" spans="2:5" x14ac:dyDescent="0.25">
      <c r="B9" s="28">
        <v>1000000</v>
      </c>
      <c r="C9" s="25">
        <v>2.8206018518518519E-2</v>
      </c>
      <c r="D9" s="26">
        <f>40*60+37</f>
        <v>2437</v>
      </c>
      <c r="E9">
        <v>8</v>
      </c>
    </row>
    <row r="10" spans="2:5" x14ac:dyDescent="0.25">
      <c r="B10" s="28">
        <v>10000000</v>
      </c>
      <c r="C10" s="25">
        <v>4.8668981481481487E-2</v>
      </c>
      <c r="D10" s="26">
        <f>70*60+5</f>
        <v>4205</v>
      </c>
      <c r="E10">
        <v>2</v>
      </c>
    </row>
    <row r="11" spans="2:5" x14ac:dyDescent="0.25">
      <c r="B11" s="28">
        <v>100000000</v>
      </c>
      <c r="C11" s="25">
        <v>8.1770833333333334E-2</v>
      </c>
      <c r="D11" s="26">
        <f>117*60+45</f>
        <v>7065</v>
      </c>
      <c r="E11">
        <v>1</v>
      </c>
    </row>
    <row r="12" spans="2:5" x14ac:dyDescent="0.25">
      <c r="D12" s="2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4" sqref="B4:E10"/>
    </sheetView>
  </sheetViews>
  <sheetFormatPr defaultRowHeight="15" x14ac:dyDescent="0.25"/>
  <cols>
    <col min="3" max="3" width="14.71093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>
        <v>10</v>
      </c>
      <c r="C4" s="25">
        <v>7.2858796296296297E-2</v>
      </c>
      <c r="D4" s="26">
        <f>104*60+55</f>
        <v>6295</v>
      </c>
      <c r="E4">
        <v>11</v>
      </c>
    </row>
    <row r="5" spans="2:5" x14ac:dyDescent="0.25">
      <c r="B5">
        <v>100</v>
      </c>
      <c r="C5" s="25">
        <v>7.1701388888888884E-2</v>
      </c>
      <c r="D5" s="26">
        <f>103*60+15</f>
        <v>6195</v>
      </c>
      <c r="E5">
        <v>9</v>
      </c>
    </row>
    <row r="6" spans="2:5" x14ac:dyDescent="0.25">
      <c r="B6">
        <v>1000</v>
      </c>
      <c r="C6" s="25">
        <v>7.1412037037037038E-2</v>
      </c>
      <c r="D6" s="26">
        <f>102*60+50</f>
        <v>6170</v>
      </c>
      <c r="E6">
        <v>6</v>
      </c>
    </row>
    <row r="7" spans="2:5" x14ac:dyDescent="0.25">
      <c r="B7">
        <v>10000</v>
      </c>
      <c r="C7" s="25">
        <v>5.5995370370370369E-2</v>
      </c>
      <c r="D7" s="26">
        <f>80*60+38</f>
        <v>4838</v>
      </c>
      <c r="E7">
        <v>3</v>
      </c>
    </row>
    <row r="8" spans="2:5" x14ac:dyDescent="0.25">
      <c r="B8">
        <v>100000</v>
      </c>
      <c r="C8" s="25">
        <v>6.8240740740740741E-2</v>
      </c>
      <c r="D8" s="26">
        <f>98*60+16</f>
        <v>5896</v>
      </c>
      <c r="E8">
        <v>2</v>
      </c>
    </row>
    <row r="9" spans="2:5" x14ac:dyDescent="0.25">
      <c r="B9">
        <v>1000000</v>
      </c>
      <c r="C9" s="25">
        <v>8.2326388888888893E-2</v>
      </c>
      <c r="D9" s="26">
        <f>118*60+33</f>
        <v>7113</v>
      </c>
      <c r="E9">
        <v>2</v>
      </c>
    </row>
    <row r="10" spans="2:5" x14ac:dyDescent="0.25">
      <c r="B10">
        <v>10000000</v>
      </c>
      <c r="C10" s="25">
        <v>8.4282407407407403E-2</v>
      </c>
      <c r="D10" s="26">
        <f>121*60+22</f>
        <v>7282</v>
      </c>
      <c r="E10">
        <v>2</v>
      </c>
    </row>
    <row r="11" spans="2:5" x14ac:dyDescent="0.25">
      <c r="B11">
        <v>100000000</v>
      </c>
      <c r="E11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13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(C33-C23)/C33*100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82</v>
      </c>
      <c r="J23">
        <f>94*60+49</f>
        <v>5689</v>
      </c>
      <c r="K23">
        <f>(J33-J23)/J33*100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f>1680+32</f>
        <v>1712</v>
      </c>
      <c r="D24" s="31">
        <f>(C33-C24)/C33*100</f>
        <v>29.749692244562986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83</v>
      </c>
      <c r="J24">
        <f>85*60+21</f>
        <v>5121</v>
      </c>
      <c r="K24" s="39">
        <f>(J33-J24)/J33*100</f>
        <v>-5.8495245969408849</v>
      </c>
      <c r="M24" s="30"/>
      <c r="R24" s="18">
        <v>0.94048611111111102</v>
      </c>
    </row>
    <row r="25" spans="1:19" x14ac:dyDescent="0.25">
      <c r="B25" s="29" t="s">
        <v>93</v>
      </c>
      <c r="C25">
        <f>28*60+12</f>
        <v>1692</v>
      </c>
      <c r="D25" s="37">
        <f>(C33-C25)/C33*100</f>
        <v>30.570373409930241</v>
      </c>
      <c r="I25" s="29" t="s">
        <v>93</v>
      </c>
      <c r="J25">
        <f>85*60+11</f>
        <v>5111</v>
      </c>
      <c r="K25" s="37">
        <f>(J33-J25)/J33*100</f>
        <v>-5.6428276147168246</v>
      </c>
    </row>
    <row r="26" spans="1:19" x14ac:dyDescent="0.25">
      <c r="B26" s="29" t="s">
        <v>84</v>
      </c>
      <c r="C26" s="29">
        <v>1920</v>
      </c>
      <c r="D26">
        <f>(C33-C26)/C33*100</f>
        <v>21.214608124743535</v>
      </c>
      <c r="E26" s="29"/>
      <c r="F26" s="29"/>
      <c r="I26" s="29" t="s">
        <v>84</v>
      </c>
      <c r="J26">
        <f>93*60+46</f>
        <v>5626</v>
      </c>
      <c r="K26">
        <f>(J33-J26)/J33*100</f>
        <v>-16.287722199255892</v>
      </c>
      <c r="M26" s="30"/>
    </row>
    <row r="27" spans="1:19" x14ac:dyDescent="0.25">
      <c r="B27" s="29" t="s">
        <v>85</v>
      </c>
      <c r="C27" s="29">
        <v>1621</v>
      </c>
      <c r="D27" s="37">
        <f>(C33-C27)/C33*100</f>
        <v>33.483791546984001</v>
      </c>
      <c r="E27" s="29"/>
      <c r="F27" s="29"/>
      <c r="I27" s="29" t="s">
        <v>85</v>
      </c>
      <c r="J27">
        <f>85*60+47</f>
        <v>5147</v>
      </c>
      <c r="K27" s="37">
        <f>(J33-J27)/J33*100</f>
        <v>-6.3869367507234394</v>
      </c>
      <c r="L27" s="41"/>
      <c r="M27" s="30" t="s">
        <v>94</v>
      </c>
    </row>
    <row r="28" spans="1:19" x14ac:dyDescent="0.25">
      <c r="B28" s="29" t="s">
        <v>92</v>
      </c>
      <c r="C28" s="29">
        <v>1922</v>
      </c>
      <c r="D28">
        <f>(C33-C28)/C33*100</f>
        <v>21.132540008206814</v>
      </c>
      <c r="F28" s="29"/>
      <c r="I28" s="29" t="s">
        <v>92</v>
      </c>
      <c r="J28">
        <f>81*60</f>
        <v>4860</v>
      </c>
      <c r="K28" s="38">
        <f>(J33-J28)/J33*100</f>
        <v>-0.45473336089293093</v>
      </c>
    </row>
    <row r="29" spans="1:19" x14ac:dyDescent="0.25">
      <c r="B29" s="29" t="s">
        <v>88</v>
      </c>
      <c r="C29" s="29">
        <f>44*60</f>
        <v>2640</v>
      </c>
      <c r="D29">
        <f>-(C33-C29)/C33*100</f>
        <v>8.3299138284776362</v>
      </c>
      <c r="E29" s="29" t="s">
        <v>79</v>
      </c>
      <c r="F29" s="29"/>
      <c r="I29" s="29" t="s">
        <v>88</v>
      </c>
      <c r="J29">
        <f>86*60+52</f>
        <v>5212</v>
      </c>
      <c r="K29">
        <f>(J33-J29)/J33*100</f>
        <v>-7.7304671351798264</v>
      </c>
      <c r="M29" s="30"/>
      <c r="N29" s="26"/>
    </row>
    <row r="30" spans="1:19" x14ac:dyDescent="0.25">
      <c r="B30" s="29" t="s">
        <v>86</v>
      </c>
      <c r="C30" s="29">
        <v>2520</v>
      </c>
      <c r="D30">
        <f>-(C33-C30)/C33*100</f>
        <v>3.4058268362741075</v>
      </c>
      <c r="E30" s="29" t="s">
        <v>79</v>
      </c>
      <c r="I30" s="29" t="s">
        <v>86</v>
      </c>
      <c r="J30" s="29">
        <f>93*60</f>
        <v>5580</v>
      </c>
      <c r="K30">
        <f>(J33-J30)/J33*100</f>
        <v>-15.336916081025217</v>
      </c>
      <c r="M30" s="30"/>
    </row>
    <row r="31" spans="1:19" x14ac:dyDescent="0.25">
      <c r="B31" s="29" t="s">
        <v>87</v>
      </c>
      <c r="C31" s="29">
        <v>1694</v>
      </c>
      <c r="D31" s="37">
        <f>(C33-C31)/C33*100</f>
        <v>30.488305293393513</v>
      </c>
      <c r="I31" s="29" t="s">
        <v>87</v>
      </c>
      <c r="J31" s="29">
        <f>86*60</f>
        <v>5160</v>
      </c>
      <c r="K31" s="37">
        <f>(J33-J31)/J33*100</f>
        <v>-6.6556428276147166</v>
      </c>
    </row>
    <row r="32" spans="1:19" x14ac:dyDescent="0.25">
      <c r="B32" s="29" t="s">
        <v>91</v>
      </c>
      <c r="C32">
        <v>1740</v>
      </c>
      <c r="D32">
        <f>(C33-C32)/C33*100</f>
        <v>28.600738613048833</v>
      </c>
      <c r="I32" s="29" t="s">
        <v>91</v>
      </c>
      <c r="J32">
        <f>82*60+48</f>
        <v>4968</v>
      </c>
      <c r="K32" s="40">
        <f>(J33-J32)/J33*100</f>
        <v>-2.6870607689127737</v>
      </c>
      <c r="L32" s="41"/>
    </row>
    <row r="33" spans="2:11" x14ac:dyDescent="0.25">
      <c r="B33" s="29" t="s">
        <v>81</v>
      </c>
      <c r="C33" s="33">
        <f>40*60+37</f>
        <v>2437</v>
      </c>
      <c r="D33">
        <f>(C33-C33)/C33*100</f>
        <v>0</v>
      </c>
      <c r="I33" s="29" t="s">
        <v>81</v>
      </c>
      <c r="J33" s="26">
        <f>80*60+38</f>
        <v>4838</v>
      </c>
      <c r="K33">
        <f>(J33-J33)/J33*100</f>
        <v>0</v>
      </c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  <row r="66" spans="2:5" x14ac:dyDescent="0.25">
      <c r="B66" s="29" t="s">
        <v>82</v>
      </c>
      <c r="C66" s="29">
        <f>30*60</f>
        <v>1800</v>
      </c>
      <c r="D66">
        <f>(C73-C66)/C73*100</f>
        <v>26.138695116947062</v>
      </c>
      <c r="E66" s="29"/>
    </row>
    <row r="67" spans="2:5" x14ac:dyDescent="0.25">
      <c r="B67" s="29" t="s">
        <v>83</v>
      </c>
      <c r="C67" s="29">
        <v>1680</v>
      </c>
      <c r="D67">
        <f>(C73-C67)/C73*100</f>
        <v>31.062782109150593</v>
      </c>
      <c r="E67" s="29"/>
    </row>
    <row r="68" spans="2:5" x14ac:dyDescent="0.25">
      <c r="B68" s="29" t="s">
        <v>84</v>
      </c>
      <c r="C68" s="29">
        <v>1920</v>
      </c>
      <c r="D68">
        <f>(C73-C68)/C73*100</f>
        <v>21.214608124743535</v>
      </c>
      <c r="E68" s="29"/>
    </row>
    <row r="69" spans="2:5" x14ac:dyDescent="0.25">
      <c r="B69" s="29" t="s">
        <v>85</v>
      </c>
      <c r="C69" s="29">
        <v>1680</v>
      </c>
      <c r="D69">
        <f>(C73-C69)/C73*100</f>
        <v>31.062782109150593</v>
      </c>
      <c r="E69" s="29"/>
    </row>
    <row r="70" spans="2:5" x14ac:dyDescent="0.25">
      <c r="B70" s="29" t="s">
        <v>88</v>
      </c>
      <c r="C70" s="29">
        <f>44*60</f>
        <v>2640</v>
      </c>
      <c r="D70">
        <f>-(C73-C70)/C73*100</f>
        <v>8.3299138284776362</v>
      </c>
      <c r="E70" s="29" t="s">
        <v>79</v>
      </c>
    </row>
    <row r="71" spans="2:5" x14ac:dyDescent="0.25">
      <c r="B71" s="29" t="s">
        <v>86</v>
      </c>
      <c r="C71" s="29">
        <v>2520</v>
      </c>
      <c r="D71">
        <f>-(C73-C71)/C73*100</f>
        <v>3.4058268362741075</v>
      </c>
      <c r="E71" s="29" t="s">
        <v>79</v>
      </c>
    </row>
    <row r="72" spans="2:5" x14ac:dyDescent="0.25">
      <c r="B72" s="29" t="s">
        <v>87</v>
      </c>
      <c r="C72" s="29">
        <v>1694</v>
      </c>
      <c r="D72">
        <f>(C73-C72)/C73*100</f>
        <v>30.488305293393513</v>
      </c>
    </row>
    <row r="73" spans="2:5" x14ac:dyDescent="0.25">
      <c r="B73" s="29" t="s">
        <v>81</v>
      </c>
      <c r="C73" s="33">
        <f>40*60+37</f>
        <v>2437</v>
      </c>
      <c r="D73">
        <f>(C73-C73)/C73*100</f>
        <v>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B33" sqref="B33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19" spans="1:19" x14ac:dyDescent="0.25">
      <c r="A19" s="29" t="s">
        <v>72</v>
      </c>
      <c r="B19" s="29" t="s">
        <v>92</v>
      </c>
      <c r="C19" s="29">
        <v>10</v>
      </c>
      <c r="D19" s="29">
        <v>1000</v>
      </c>
      <c r="E19" s="29">
        <v>32</v>
      </c>
      <c r="F19" s="29">
        <f>E19*60+2</f>
        <v>1922</v>
      </c>
      <c r="H19" s="29" t="s">
        <v>72</v>
      </c>
      <c r="I19" s="29" t="s">
        <v>92</v>
      </c>
      <c r="J19" s="29">
        <v>10</v>
      </c>
      <c r="K19" s="29">
        <v>1000</v>
      </c>
      <c r="L19">
        <v>81</v>
      </c>
      <c r="M19">
        <f>81*60</f>
        <v>4860</v>
      </c>
    </row>
    <row r="20" spans="1:19" x14ac:dyDescent="0.25">
      <c r="A20" s="29" t="s">
        <v>46</v>
      </c>
      <c r="B20" s="29" t="s">
        <v>91</v>
      </c>
      <c r="C20" s="29">
        <v>10</v>
      </c>
      <c r="D20" s="29">
        <v>1000</v>
      </c>
      <c r="E20" s="29">
        <v>29</v>
      </c>
      <c r="F20" s="29">
        <f>E20*60</f>
        <v>1740</v>
      </c>
      <c r="H20" s="29" t="s">
        <v>46</v>
      </c>
      <c r="I20" s="29" t="s">
        <v>91</v>
      </c>
      <c r="J20" s="29">
        <v>10</v>
      </c>
      <c r="K20" s="29">
        <v>1000</v>
      </c>
      <c r="L20" t="s">
        <v>89</v>
      </c>
      <c r="M20">
        <f>82*60</f>
        <v>4920</v>
      </c>
    </row>
    <row r="21" spans="1:19" x14ac:dyDescent="0.25">
      <c r="A21" s="29" t="s">
        <v>61</v>
      </c>
      <c r="B21" s="29" t="s">
        <v>93</v>
      </c>
      <c r="C21" s="29">
        <v>10</v>
      </c>
      <c r="D21" s="29">
        <v>1000</v>
      </c>
      <c r="E21" t="s">
        <v>90</v>
      </c>
      <c r="F21">
        <f>28*60+12</f>
        <v>1692</v>
      </c>
      <c r="H21" s="29" t="s">
        <v>61</v>
      </c>
      <c r="I21" s="29" t="s">
        <v>93</v>
      </c>
      <c r="J21" s="29">
        <v>10</v>
      </c>
      <c r="K21" s="29">
        <v>1000</v>
      </c>
      <c r="L21">
        <v>84</v>
      </c>
      <c r="M21">
        <f>85*60+11</f>
        <v>5111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(C30-C23)/C30*100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77</v>
      </c>
      <c r="J23">
        <f>94*60+49</f>
        <v>5689</v>
      </c>
      <c r="K23">
        <f>(J30-J23)/J30*100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v>1680</v>
      </c>
      <c r="D24">
        <f>(C30-C24)/C30*100</f>
        <v>31.062782109150593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76</v>
      </c>
      <c r="J24">
        <f>86*60+21</f>
        <v>5181</v>
      </c>
      <c r="K24">
        <f>(J30-J24)/J30*100</f>
        <v>-7.0897064902852414</v>
      </c>
      <c r="M24" s="30"/>
      <c r="R24" s="18">
        <v>0.94048611111111102</v>
      </c>
    </row>
    <row r="25" spans="1:19" x14ac:dyDescent="0.25">
      <c r="B25" s="29" t="s">
        <v>84</v>
      </c>
      <c r="C25" s="29">
        <v>1920</v>
      </c>
      <c r="D25">
        <f>(C30-C25)/C30*100</f>
        <v>21.214608124743535</v>
      </c>
      <c r="E25" s="29"/>
      <c r="F25" s="29"/>
      <c r="I25" s="29" t="s">
        <v>75</v>
      </c>
      <c r="J25">
        <f>93*60+46</f>
        <v>5626</v>
      </c>
      <c r="K25">
        <f>(J30-J25)/J30*100</f>
        <v>-16.287722199255892</v>
      </c>
      <c r="M25" s="30"/>
    </row>
    <row r="26" spans="1:19" x14ac:dyDescent="0.25">
      <c r="B26" s="29" t="s">
        <v>85</v>
      </c>
      <c r="C26" s="29">
        <v>1680</v>
      </c>
      <c r="D26">
        <f>(C30-C26)/C30*100</f>
        <v>31.062782109150593</v>
      </c>
      <c r="E26" s="29"/>
      <c r="F26" s="29"/>
      <c r="I26" s="29" t="s">
        <v>74</v>
      </c>
      <c r="J26">
        <f>86*60+37</f>
        <v>5197</v>
      </c>
      <c r="K26">
        <f>(J30-J26)/J30*100</f>
        <v>-7.4204216618437373</v>
      </c>
      <c r="M26" s="30"/>
    </row>
    <row r="27" spans="1:19" x14ac:dyDescent="0.25">
      <c r="B27" s="29" t="s">
        <v>88</v>
      </c>
      <c r="C27" s="29">
        <f>44*60</f>
        <v>2640</v>
      </c>
      <c r="D27">
        <f>-(C30-C27)/C30*100</f>
        <v>8.3299138284776362</v>
      </c>
      <c r="E27" s="29" t="s">
        <v>79</v>
      </c>
      <c r="F27" s="29"/>
      <c r="I27" s="29" t="s">
        <v>71</v>
      </c>
      <c r="J27">
        <f>86*60+52</f>
        <v>5212</v>
      </c>
      <c r="K27">
        <f>(J30-J27)/J30*100</f>
        <v>-7.7304671351798264</v>
      </c>
      <c r="M27" s="30"/>
    </row>
    <row r="28" spans="1:19" x14ac:dyDescent="0.25">
      <c r="B28" s="29" t="s">
        <v>86</v>
      </c>
      <c r="C28" s="29">
        <v>2520</v>
      </c>
      <c r="D28">
        <f>-(C30-C28)/C30*100</f>
        <v>3.4058268362741075</v>
      </c>
      <c r="E28" s="29" t="s">
        <v>79</v>
      </c>
      <c r="F28" s="29"/>
      <c r="I28" s="29" t="s">
        <v>78</v>
      </c>
      <c r="J28" s="29">
        <f>93*60</f>
        <v>5580</v>
      </c>
      <c r="K28">
        <f>(J30-J28)/J30*100</f>
        <v>-15.336916081025217</v>
      </c>
      <c r="M28" s="30"/>
    </row>
    <row r="29" spans="1:19" x14ac:dyDescent="0.25">
      <c r="B29" s="29" t="s">
        <v>87</v>
      </c>
      <c r="C29" s="29">
        <v>1694</v>
      </c>
      <c r="D29">
        <f>(C30-C29)/C30*100</f>
        <v>30.488305293393513</v>
      </c>
      <c r="I29" s="29" t="s">
        <v>73</v>
      </c>
      <c r="J29" s="29">
        <f>86*60</f>
        <v>5160</v>
      </c>
      <c r="K29">
        <f>(J30-J29)/J30*100</f>
        <v>-6.6556428276147166</v>
      </c>
      <c r="N29" s="26"/>
    </row>
    <row r="30" spans="1:19" x14ac:dyDescent="0.25">
      <c r="B30" s="29" t="s">
        <v>81</v>
      </c>
      <c r="C30" s="33">
        <f>40*60+37</f>
        <v>2437</v>
      </c>
      <c r="D30">
        <f>(C30-C30)/C30*100</f>
        <v>0</v>
      </c>
      <c r="I30" s="29" t="s">
        <v>65</v>
      </c>
      <c r="J30" s="26">
        <f>80*60+38</f>
        <v>4838</v>
      </c>
      <c r="K30">
        <f>(J30-J30)/J30*100</f>
        <v>0</v>
      </c>
    </row>
    <row r="31" spans="1:19" x14ac:dyDescent="0.25">
      <c r="C31" s="31"/>
    </row>
    <row r="32" spans="1:19" x14ac:dyDescent="0.25">
      <c r="C32" s="31"/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Foglio1</vt:lpstr>
      <vt:lpstr>Foglio2</vt:lpstr>
      <vt:lpstr>Foglio3</vt:lpstr>
      <vt:lpstr>Foglio4</vt:lpstr>
      <vt:lpstr>Foglio5</vt:lpstr>
      <vt:lpstr>PEMS_threshold_fisso</vt:lpstr>
      <vt:lpstr>Breast_treshold_fisso</vt:lpstr>
      <vt:lpstr>PEMS_strategies (2)</vt:lpstr>
      <vt:lpstr>PEMS_strategies</vt:lpstr>
      <vt:lpstr>breast_new_minsup_5</vt:lpstr>
      <vt:lpstr>breast_news</vt:lpstr>
      <vt:lpstr>pems_new</vt:lpstr>
      <vt:lpstr>breast_confidence interval</vt:lpstr>
      <vt:lpstr>pems_confidence interval</vt:lpstr>
      <vt:lpstr>breast_confidence interval_back</vt:lpstr>
      <vt:lpstr>confronto_breast</vt:lpstr>
      <vt:lpstr>confronto_pems</vt:lpstr>
      <vt:lpstr>confronto_pems_2</vt:lpstr>
      <vt:lpstr>confronto_breast_2</vt:lpstr>
      <vt:lpstr>pems_new16aprile</vt:lpstr>
      <vt:lpstr>breast_new16aprile</vt:lpstr>
      <vt:lpstr>confronto_pems_all</vt:lpstr>
      <vt:lpstr>confronto_pems_200</vt:lpstr>
      <vt:lpstr>scalabilità</vt:lpstr>
      <vt:lpstr>Foglio6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cp:lastPrinted>2016-03-15T10:41:10Z</cp:lastPrinted>
  <dcterms:created xsi:type="dcterms:W3CDTF">2015-07-12T06:43:37Z</dcterms:created>
  <dcterms:modified xsi:type="dcterms:W3CDTF">2016-05-02T07:23:14Z</dcterms:modified>
</cp:coreProperties>
</file>