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list" sheetId="1" r:id="rId4"/>
    <sheet state="visible" name="Piviot Tables" sheetId="2" r:id="rId5"/>
    <sheet state="visible" name="Collection By Genre" sheetId="3" r:id="rId6"/>
    <sheet state="visible" name="Collection By Shop" sheetId="4" r:id="rId7"/>
    <sheet state="visible" name="Collection By Decade" sheetId="5" r:id="rId8"/>
    <sheet state="visible" name="Collection By Year" sheetId="6" r:id="rId9"/>
    <sheet state="visible" name="Other Data Fuckery" sheetId="7" r:id="rId10"/>
  </sheets>
  <definedNames/>
  <calcPr/>
  <pivotCaches>
    <pivotCache cacheId="0" r:id="rId11"/>
  </pivotCaches>
  <extLst>
    <ext uri="GoogleSheetsCustomDataVersion2">
      <go:sheetsCustomData xmlns:go="http://customooxmlschemas.google.com/" r:id="rId12" roundtripDataChecksum="dKGOrV9QOeLlPDODep8D6NNAeYbeGtvVShIq/RpLcXw="/>
    </ext>
  </extLst>
</workbook>
</file>

<file path=xl/sharedStrings.xml><?xml version="1.0" encoding="utf-8"?>
<sst xmlns="http://schemas.openxmlformats.org/spreadsheetml/2006/main" count="2446" uniqueCount="678">
  <si>
    <t>ID Number</t>
  </si>
  <si>
    <t>Artist</t>
  </si>
  <si>
    <t>Album Title</t>
  </si>
  <si>
    <t>Original Release</t>
  </si>
  <si>
    <t>Year Issued</t>
  </si>
  <si>
    <t>Record Company</t>
  </si>
  <si>
    <t>Genre</t>
  </si>
  <si>
    <t>SubGenre</t>
  </si>
  <si>
    <t>Store Purchased</t>
  </si>
  <si>
    <t>Matt or Kieran?</t>
  </si>
  <si>
    <t>Notes</t>
  </si>
  <si>
    <t>Decade</t>
  </si>
  <si>
    <t>Academy Is (The)</t>
  </si>
  <si>
    <t>Almost Here</t>
  </si>
  <si>
    <t>Fueled By Ramen</t>
  </si>
  <si>
    <t>Rock</t>
  </si>
  <si>
    <t>Emo</t>
  </si>
  <si>
    <t>Reddit</t>
  </si>
  <si>
    <t>Matt</t>
  </si>
  <si>
    <t>Adam and the Metal Hawks</t>
  </si>
  <si>
    <t>Hurry Up And Wait</t>
  </si>
  <si>
    <t>Metal Department</t>
  </si>
  <si>
    <t>Indie Rock</t>
  </si>
  <si>
    <t>Show Merch</t>
  </si>
  <si>
    <t>Kieran</t>
  </si>
  <si>
    <t>Autographed At Show</t>
  </si>
  <si>
    <t>Adderley, Cannonball</t>
  </si>
  <si>
    <t>Somethin' Else</t>
  </si>
  <si>
    <t>Blue Note</t>
  </si>
  <si>
    <t>Jazz</t>
  </si>
  <si>
    <t>Hard Bop</t>
  </si>
  <si>
    <t>Comeback Vinyl</t>
  </si>
  <si>
    <t>Aerosmith</t>
  </si>
  <si>
    <t>Toys In The Attic</t>
  </si>
  <si>
    <t>CBS, Inc</t>
  </si>
  <si>
    <t>Classic Rock</t>
  </si>
  <si>
    <t>Motorsoule Vintage</t>
  </si>
  <si>
    <t>Record Count</t>
  </si>
  <si>
    <t>Against Me!</t>
  </si>
  <si>
    <t>Searching For a Former Clarity</t>
  </si>
  <si>
    <t>Fat Wreck Chords</t>
  </si>
  <si>
    <t>Punk</t>
  </si>
  <si>
    <t>Vinyl Tap</t>
  </si>
  <si>
    <t>Aly &amp; AJ</t>
  </si>
  <si>
    <t>A Touch Of The Beat Gets You Up On Your Feet And Out And Then Into The Sun</t>
  </si>
  <si>
    <t>Aly &amp; AJ Music</t>
  </si>
  <si>
    <t>Pop</t>
  </si>
  <si>
    <t>post-teen pop</t>
  </si>
  <si>
    <t>With Love From</t>
  </si>
  <si>
    <t>Total</t>
  </si>
  <si>
    <t>American Football</t>
  </si>
  <si>
    <t>American Football (LP2)</t>
  </si>
  <si>
    <t>Polyvinyl</t>
  </si>
  <si>
    <t>Grimeys</t>
  </si>
  <si>
    <t>Armor For Sleep</t>
  </si>
  <si>
    <t>What To Do When You Are Dead</t>
  </si>
  <si>
    <t>Equal Vision Records</t>
  </si>
  <si>
    <t>Artist Merch</t>
  </si>
  <si>
    <t>Dream to Make Believe</t>
  </si>
  <si>
    <t>B-52's (the)</t>
  </si>
  <si>
    <t>Whammy!</t>
  </si>
  <si>
    <t>Warner Brothers Records</t>
  </si>
  <si>
    <t>Zolo</t>
  </si>
  <si>
    <t>Criminal Records</t>
  </si>
  <si>
    <t>B-52s (The)</t>
  </si>
  <si>
    <t>Wild Planet</t>
  </si>
  <si>
    <t>The B-52s</t>
  </si>
  <si>
    <t>Backstreet Boys</t>
  </si>
  <si>
    <t>A Very Backstreet Christmas</t>
  </si>
  <si>
    <t>K-BAHN</t>
  </si>
  <si>
    <t>Christmas</t>
  </si>
  <si>
    <t>Boyband</t>
  </si>
  <si>
    <t>Target</t>
  </si>
  <si>
    <t>Barbie</t>
  </si>
  <si>
    <t>Barbie: The Album</t>
  </si>
  <si>
    <t>Soundtrack</t>
  </si>
  <si>
    <t>Beach Boys (The)</t>
  </si>
  <si>
    <t>The Christmas Album</t>
  </si>
  <si>
    <t>Capitol Records</t>
  </si>
  <si>
    <t>Sunshine Pop</t>
  </si>
  <si>
    <t>German Import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</si>
  <si>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</si>
  <si>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Sgt Peppers Lonely Hearts Club Band</t>
  </si>
  <si>
    <t>Gift</t>
  </si>
  <si>
    <t>Have two copies of this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</si>
  <si>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</si>
  <si>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Magical Mystery Tour</t>
  </si>
  <si>
    <t>Media Slave</t>
  </si>
  <si>
    <t>Pretty Beat Up</t>
  </si>
  <si>
    <t>Bea64AHaSdk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</si>
  <si>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</si>
  <si>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 xml:space="preserve">A Hard Day's Night - Soundtrack </t>
  </si>
  <si>
    <t>United Artists Records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</si>
  <si>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</si>
  <si>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Beatles For Sale</t>
  </si>
  <si>
    <t>EMI</t>
  </si>
  <si>
    <t>Phonoluxe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</si>
  <si>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</si>
  <si>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Meet The Beatles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</si>
  <si>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</si>
  <si>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Yesterday And Today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</si>
  <si>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</si>
  <si>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Abby Road</t>
  </si>
  <si>
    <t>Apple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</si>
  <si>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</si>
  <si>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Rubber Soul</t>
  </si>
  <si>
    <t>Vintage Dealer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</si>
  <si>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</si>
  <si>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Revolver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</si>
  <si>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</si>
  <si>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A Hard Day's Night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</si>
  <si>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</si>
  <si>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Help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</si>
  <si>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</si>
  <si>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Let It Be</t>
  </si>
  <si>
    <r>
      <rPr>
        <rFont val="Calibri"/>
        <color theme="1"/>
      </rPr>
      <t xml:space="preserve">Beatles </t>
    </r>
    <r>
      <rPr>
        <rFont val="Calibri"/>
        <color theme="1"/>
      </rPr>
      <t>(The)</t>
    </r>
  </si>
  <si>
    <t>White Album (The)</t>
  </si>
  <si>
    <t>Beethoven</t>
  </si>
  <si>
    <t>Symphony No 9</t>
  </si>
  <si>
    <t>Vox Productions</t>
  </si>
  <si>
    <t>Classical</t>
  </si>
  <si>
    <t>Early Romantic Era</t>
  </si>
  <si>
    <t>Bill &amp; Ted</t>
  </si>
  <si>
    <t>Bill &amp; Ted Face The Music</t>
  </si>
  <si>
    <t>MGM</t>
  </si>
  <si>
    <t>Black Pumas</t>
  </si>
  <si>
    <t>ATO Records</t>
  </si>
  <si>
    <t>R&amp;B</t>
  </si>
  <si>
    <t>Retro Soul</t>
  </si>
  <si>
    <t>Blakey, Art</t>
  </si>
  <si>
    <t>Soul Finger</t>
  </si>
  <si>
    <t>Limelight</t>
  </si>
  <si>
    <t>Bebop</t>
  </si>
  <si>
    <t>Promo Copy</t>
  </si>
  <si>
    <t>Free For All</t>
  </si>
  <si>
    <t>Moasic</t>
  </si>
  <si>
    <t>Moanin'</t>
  </si>
  <si>
    <t>Not Now Records</t>
  </si>
  <si>
    <t>Cheapo Records</t>
  </si>
  <si>
    <t>Bleachers</t>
  </si>
  <si>
    <t>Dirty Hit</t>
  </si>
  <si>
    <t>Indie Pop</t>
  </si>
  <si>
    <t>Blues Brothers</t>
  </si>
  <si>
    <t>Briefcase Full Of Blues</t>
  </si>
  <si>
    <t>Atlantic</t>
  </si>
  <si>
    <t>Blues</t>
  </si>
  <si>
    <t>Blues Rock</t>
  </si>
  <si>
    <t>Bowie, David</t>
  </si>
  <si>
    <t>Let's Dance</t>
  </si>
  <si>
    <t>Parlophone</t>
  </si>
  <si>
    <t>Glam Rock</t>
  </si>
  <si>
    <t>Record Store Day 2018</t>
  </si>
  <si>
    <t>Aladdin Sane</t>
  </si>
  <si>
    <t>RCA</t>
  </si>
  <si>
    <t>Analog Your Life</t>
  </si>
  <si>
    <t>Young Americans</t>
  </si>
  <si>
    <t>The Rise &amp; Fall Of Ziggy Stardust And The Spiders From Mars</t>
  </si>
  <si>
    <t>Changes One</t>
  </si>
  <si>
    <t>Braith, George</t>
  </si>
  <si>
    <t>Extension</t>
  </si>
  <si>
    <t>Brand New</t>
  </si>
  <si>
    <t>Deja Entendu</t>
  </si>
  <si>
    <t>Triple Crown Records</t>
  </si>
  <si>
    <t>Bridges, Leon</t>
  </si>
  <si>
    <t>Coming Home</t>
  </si>
  <si>
    <t>Columbia Records</t>
  </si>
  <si>
    <t>Soul</t>
  </si>
  <si>
    <t>Bright Eyes</t>
  </si>
  <si>
    <t xml:space="preserve"> I'm Wide Awake, It's Morning</t>
  </si>
  <si>
    <t>Deep Oceans</t>
  </si>
  <si>
    <t>Folk</t>
  </si>
  <si>
    <t>Stop and Holler</t>
  </si>
  <si>
    <t>Luna Record Shop</t>
  </si>
  <si>
    <t>Broadway Cast</t>
  </si>
  <si>
    <t>Mean Girls</t>
  </si>
  <si>
    <t>Purchased At First Run Show</t>
  </si>
  <si>
    <t>Brubeck, Dave</t>
  </si>
  <si>
    <t>Dave Digs Disney</t>
  </si>
  <si>
    <t>Time Out</t>
  </si>
  <si>
    <t>Jazz Wax Record</t>
  </si>
  <si>
    <t>Electric Fetus</t>
  </si>
  <si>
    <t>Burrell, Kenny</t>
  </si>
  <si>
    <t>Midnight Blue</t>
  </si>
  <si>
    <t>Carlin, George</t>
  </si>
  <si>
    <t>On The Road</t>
  </si>
  <si>
    <t>Little David Records</t>
  </si>
  <si>
    <t>Comedy</t>
  </si>
  <si>
    <t>Promo Version</t>
  </si>
  <si>
    <t>Take-Offs &amp; Put-Ons</t>
  </si>
  <si>
    <t>Class Clown</t>
  </si>
  <si>
    <t>Occupation: Fool</t>
  </si>
  <si>
    <t>Cartel</t>
  </si>
  <si>
    <t>The Ransom EP</t>
  </si>
  <si>
    <t>The Militia Group</t>
  </si>
  <si>
    <t>Pop Punk</t>
  </si>
  <si>
    <t>Chicks (The)</t>
  </si>
  <si>
    <t>Gaslighter</t>
  </si>
  <si>
    <t>Country</t>
  </si>
  <si>
    <t>Childers, Tyler</t>
  </si>
  <si>
    <t>Rustin' In The Rain</t>
  </si>
  <si>
    <t>Hickman Holler Records</t>
  </si>
  <si>
    <t>Outlaw Country</t>
  </si>
  <si>
    <t>Chipmunks (The)</t>
  </si>
  <si>
    <t>A Chipmunk Christmas</t>
  </si>
  <si>
    <t>Childrens</t>
  </si>
  <si>
    <t>Coheed and Cambria</t>
  </si>
  <si>
    <t>In Keeping Secrets Of Silent Earth: 3</t>
  </si>
  <si>
    <t>Alt Rock</t>
  </si>
  <si>
    <t>Unknown</t>
  </si>
  <si>
    <t>Coltrane, John</t>
  </si>
  <si>
    <t>Giant Steps</t>
  </si>
  <si>
    <t>A Love Supreme</t>
  </si>
  <si>
    <t>Impulse</t>
  </si>
  <si>
    <t>Copeland</t>
  </si>
  <si>
    <t>You Are My Sunshine</t>
  </si>
  <si>
    <t>Tooth &amp; Nail Records</t>
  </si>
  <si>
    <t>Artist Website</t>
  </si>
  <si>
    <t>Eat, Sleep, Repeat</t>
  </si>
  <si>
    <t>Beneath Medicine Tree</t>
  </si>
  <si>
    <t>In Motion</t>
  </si>
  <si>
    <t>Cream</t>
  </si>
  <si>
    <t>Whels of Fire</t>
  </si>
  <si>
    <t>RSO Recodings, Inc</t>
  </si>
  <si>
    <t>Drastic Plastics</t>
  </si>
  <si>
    <t>Culture Club</t>
  </si>
  <si>
    <t>Runaway Train (Single)</t>
  </si>
  <si>
    <t>BMG</t>
  </si>
  <si>
    <t>New Wave</t>
  </si>
  <si>
    <t>Great Escape</t>
  </si>
  <si>
    <t>Picture Disk</t>
  </si>
  <si>
    <t>Dashboard Confessional</t>
  </si>
  <si>
    <t>The Places You Have Come To Fear The Most</t>
  </si>
  <si>
    <t>Hidden Note Records</t>
  </si>
  <si>
    <t>Indie</t>
  </si>
  <si>
    <t>The Swiss Army Romance</t>
  </si>
  <si>
    <t>Davis, Miles</t>
  </si>
  <si>
    <t>Bitches Brew</t>
  </si>
  <si>
    <t>A Night In Tunisia</t>
  </si>
  <si>
    <t>Yes to Jazz</t>
  </si>
  <si>
    <t>Kind Of Blue</t>
  </si>
  <si>
    <t>Milestones</t>
  </si>
  <si>
    <t>Someday My Prince Will Come</t>
  </si>
  <si>
    <t>Death Cab For Cutie</t>
  </si>
  <si>
    <t>Transatlanticism</t>
  </si>
  <si>
    <t>Barsuk Records</t>
  </si>
  <si>
    <t>Plans</t>
  </si>
  <si>
    <t>Decemberists (The)</t>
  </si>
  <si>
    <t>The King Is Dead</t>
  </si>
  <si>
    <t>Dire Straits</t>
  </si>
  <si>
    <t>Brothers In Arms</t>
  </si>
  <si>
    <t>Hearts of Vinyl</t>
  </si>
  <si>
    <t>Disney</t>
  </si>
  <si>
    <t>Mickey Mouse Disco</t>
  </si>
  <si>
    <t>Disneyland Records</t>
  </si>
  <si>
    <t>Disco</t>
  </si>
  <si>
    <t>Mickey's Christmas Carol</t>
  </si>
  <si>
    <t>Fun With Music</t>
  </si>
  <si>
    <t>Cinderella</t>
  </si>
  <si>
    <t>It's A Small World</t>
  </si>
  <si>
    <t>Merriest Songs</t>
  </si>
  <si>
    <t>Songs From Bedknobs and Broomsticks</t>
  </si>
  <si>
    <t>A Christmas Adventure In Disneyland</t>
  </si>
  <si>
    <t>Christmas Carols From All Of Us To All Of You</t>
  </si>
  <si>
    <t>Jazz Loves Disney</t>
  </si>
  <si>
    <t>Universal</t>
  </si>
  <si>
    <t>Amazon</t>
  </si>
  <si>
    <t>Lofi Minnie: Focus</t>
  </si>
  <si>
    <t>Walt Disney Records</t>
  </si>
  <si>
    <t>Lo-Fi</t>
  </si>
  <si>
    <t>Disney 100</t>
  </si>
  <si>
    <t>Doctor Who</t>
  </si>
  <si>
    <t>Doctor Who: The Tomb Of The Cybermen</t>
  </si>
  <si>
    <t>BBC</t>
  </si>
  <si>
    <t>Doctor Who: City of Death</t>
  </si>
  <si>
    <t>Early November (The)</t>
  </si>
  <si>
    <t>For All Of This</t>
  </si>
  <si>
    <t>Drive-Thru Records</t>
  </si>
  <si>
    <t>Edgar Winter Group (The)</t>
  </si>
  <si>
    <t>They Only Come Out At Night</t>
  </si>
  <si>
    <t>Epic</t>
  </si>
  <si>
    <t>Emery</t>
  </si>
  <si>
    <t>The Weak's End - Live at Neumos</t>
  </si>
  <si>
    <t>Emery Music</t>
  </si>
  <si>
    <t>The Question - Live</t>
  </si>
  <si>
    <t>Emeryland</t>
  </si>
  <si>
    <t>Indiedigs</t>
  </si>
  <si>
    <t>Evans, Bill</t>
  </si>
  <si>
    <t>Portraits In Jazz</t>
  </si>
  <si>
    <t>Riverside</t>
  </si>
  <si>
    <t>Fall Out Boy</t>
  </si>
  <si>
    <t>Take This To Your Grave</t>
  </si>
  <si>
    <t>FBR 25th anniversary pressing</t>
  </si>
  <si>
    <t>So Much (For) Stardust</t>
  </si>
  <si>
    <t>Limited Endition Gold Vinyl</t>
  </si>
  <si>
    <t>Father John Misty</t>
  </si>
  <si>
    <t>Fear Fun</t>
  </si>
  <si>
    <t>Sub Pop Records</t>
  </si>
  <si>
    <t>I Love You Honeybear</t>
  </si>
  <si>
    <t>Pure Comedy</t>
  </si>
  <si>
    <t>God's Favorite Customer</t>
  </si>
  <si>
    <t>Chloe</t>
  </si>
  <si>
    <t>Flaming Groovies</t>
  </si>
  <si>
    <t>Crazy Macy (Single)</t>
  </si>
  <si>
    <t>Burger Records</t>
  </si>
  <si>
    <t>Power Pop</t>
  </si>
  <si>
    <t>McKays</t>
  </si>
  <si>
    <t>Fleet Foxes</t>
  </si>
  <si>
    <t>Stomp &amp; Holler</t>
  </si>
  <si>
    <t>Shore</t>
  </si>
  <si>
    <t>Anti</t>
  </si>
  <si>
    <t>Fleetwood Mac</t>
  </si>
  <si>
    <t>Rumors</t>
  </si>
  <si>
    <t>Record Store Day 2009 Version</t>
  </si>
  <si>
    <t>Foo Fighters</t>
  </si>
  <si>
    <t>One By One</t>
  </si>
  <si>
    <t>Roswell Records</t>
  </si>
  <si>
    <t>Medicine At Midnight</t>
  </si>
  <si>
    <t>Format (The)</t>
  </si>
  <si>
    <t>Interventions &amp; Lullibies</t>
  </si>
  <si>
    <t>Elecktra Records</t>
  </si>
  <si>
    <t>Garner, Erroll</t>
  </si>
  <si>
    <t>Concert By The Sea</t>
  </si>
  <si>
    <t>Get Up Kids (The)</t>
  </si>
  <si>
    <t>Guilt Show</t>
  </si>
  <si>
    <t>Vagrant Records</t>
  </si>
  <si>
    <t>Getz, Stan</t>
  </si>
  <si>
    <t>Getz/Gilberto</t>
  </si>
  <si>
    <t>Verve Records</t>
  </si>
  <si>
    <t>Giacchinio, Michael</t>
  </si>
  <si>
    <t>Rouge One</t>
  </si>
  <si>
    <t>Gordon, Dexter</t>
  </si>
  <si>
    <t>Go</t>
  </si>
  <si>
    <t>A Swingin' Affair</t>
  </si>
  <si>
    <t>Green Day</t>
  </si>
  <si>
    <t>Saviors</t>
  </si>
  <si>
    <t>Reprise Records</t>
  </si>
  <si>
    <t>Green, Grant</t>
  </si>
  <si>
    <t>Feelin' The Spirit</t>
  </si>
  <si>
    <t>Green Street</t>
  </si>
  <si>
    <t>Street of Dreams</t>
  </si>
  <si>
    <t>Born To The Blue</t>
  </si>
  <si>
    <t>Grant's First Stand</t>
  </si>
  <si>
    <t>Green Is Beautiful</t>
  </si>
  <si>
    <t>I Want To Hold Your Hand</t>
  </si>
  <si>
    <t>Idle Moments</t>
  </si>
  <si>
    <t>Guaraldi, Vince</t>
  </si>
  <si>
    <t>A Charlie Brown Christmas</t>
  </si>
  <si>
    <t>Craft Recordings</t>
  </si>
  <si>
    <t>Halestorm</t>
  </si>
  <si>
    <t>Buzz (Single</t>
  </si>
  <si>
    <t>Metal</t>
  </si>
  <si>
    <t>Hancock, Herbie</t>
  </si>
  <si>
    <t>Takin' Off</t>
  </si>
  <si>
    <t>Maiden Voyage</t>
  </si>
  <si>
    <t>Empyrean Isles</t>
  </si>
  <si>
    <t>Harrison, George</t>
  </si>
  <si>
    <t>All Things Must Pass</t>
  </si>
  <si>
    <t>Apple/EMI</t>
  </si>
  <si>
    <t>Best Buy</t>
  </si>
  <si>
    <t>50th Anniversary Edition</t>
  </si>
  <si>
    <t>Henderson, Joe</t>
  </si>
  <si>
    <t>Page One</t>
  </si>
  <si>
    <t>Hendrix, Jimi</t>
  </si>
  <si>
    <t>Electric Ladyland</t>
  </si>
  <si>
    <t>Sony</t>
  </si>
  <si>
    <t>Howlin' Wolf</t>
  </si>
  <si>
    <t>Moanin' In The Moonlight</t>
  </si>
  <si>
    <t>Blues Joint</t>
  </si>
  <si>
    <t>Isbell, Jason</t>
  </si>
  <si>
    <t>Something More Than Free</t>
  </si>
  <si>
    <t>Southeastern Records</t>
  </si>
  <si>
    <t>Americana</t>
  </si>
  <si>
    <t>Sirens Of The Ditch</t>
  </si>
  <si>
    <t>New West Records</t>
  </si>
  <si>
    <t>Southeastern</t>
  </si>
  <si>
    <t>Isbell, Jason &amp; The 400 Unit</t>
  </si>
  <si>
    <t>Here We Rest</t>
  </si>
  <si>
    <t>Reunions</t>
  </si>
  <si>
    <t>The Nashville Sound</t>
  </si>
  <si>
    <t>Weathervanes</t>
  </si>
  <si>
    <t>Jack's Mannequin</t>
  </si>
  <si>
    <t>Everything In Transit</t>
  </si>
  <si>
    <t>Jackson, Milt</t>
  </si>
  <si>
    <t>Blue Note 1509</t>
  </si>
  <si>
    <t>Jayhawks (The)</t>
  </si>
  <si>
    <t>Paging Mr. Proust</t>
  </si>
  <si>
    <t>Sham</t>
  </si>
  <si>
    <t>Jepsen, Carly Rae</t>
  </si>
  <si>
    <t>Tug Of War</t>
  </si>
  <si>
    <t>604 Records</t>
  </si>
  <si>
    <t>Dance Pop</t>
  </si>
  <si>
    <t>Jimmy Eat World</t>
  </si>
  <si>
    <t>Bleed American</t>
  </si>
  <si>
    <t>Geffen Records</t>
  </si>
  <si>
    <t>John, Elton</t>
  </si>
  <si>
    <t>breaking hearts</t>
  </si>
  <si>
    <t>Kacey Musgraves</t>
  </si>
  <si>
    <t>Deeper Well</t>
  </si>
  <si>
    <t>MCA Nashville</t>
  </si>
  <si>
    <t>Led Zeppelin</t>
  </si>
  <si>
    <t>Houses Of The Holy</t>
  </si>
  <si>
    <t>I</t>
  </si>
  <si>
    <t>IV</t>
  </si>
  <si>
    <t>Lennon, John</t>
  </si>
  <si>
    <t>Imagine</t>
  </si>
  <si>
    <t>Promo Release</t>
  </si>
  <si>
    <t>Madonna</t>
  </si>
  <si>
    <t>Finally Enough Love</t>
  </si>
  <si>
    <t>Contest Winner</t>
  </si>
  <si>
    <t>Record Store Day 2018, Picture Disk, Japan Import</t>
  </si>
  <si>
    <t>Mae</t>
  </si>
  <si>
    <t>Destination:Beautiful</t>
  </si>
  <si>
    <t>Mattel, Trixie</t>
  </si>
  <si>
    <t>The Blonde &amp; Pink Albums</t>
  </si>
  <si>
    <t>PEG Records</t>
  </si>
  <si>
    <t>Queer Country</t>
  </si>
  <si>
    <t>Mayall, John</t>
  </si>
  <si>
    <t>Blues Breakers</t>
  </si>
  <si>
    <t>Decca</t>
  </si>
  <si>
    <t>Traditional Blues</t>
  </si>
  <si>
    <t>McPhearson, JD</t>
  </si>
  <si>
    <t>Undivided Heart &amp; Soul</t>
  </si>
  <si>
    <t>Modern Blues Rock</t>
  </si>
  <si>
    <t>Socks</t>
  </si>
  <si>
    <t>mewithoutYou</t>
  </si>
  <si>
    <t>Catch For Us The Foxes</t>
  </si>
  <si>
    <t>Midlake</t>
  </si>
  <si>
    <t>For The Sake Of Bethel Woods</t>
  </si>
  <si>
    <t>Folk Rock</t>
  </si>
  <si>
    <t>Mingus, Charles</t>
  </si>
  <si>
    <t>Mingus Ah Um</t>
  </si>
  <si>
    <t>Mobley, Hank</t>
  </si>
  <si>
    <t>Soul Station</t>
  </si>
  <si>
    <t>Monk, Thelonious</t>
  </si>
  <si>
    <t>Palo Alto</t>
  </si>
  <si>
    <t>Vinyl Me, Please Exclusive Pressing</t>
  </si>
  <si>
    <t>Criss-Cross</t>
  </si>
  <si>
    <t>The Man I Love</t>
  </si>
  <si>
    <t>Black Lion</t>
  </si>
  <si>
    <t>Solo Monk</t>
  </si>
  <si>
    <t xml:space="preserve">Sony </t>
  </si>
  <si>
    <t>Monk's Dream</t>
  </si>
  <si>
    <t>The Classic Quartest</t>
  </si>
  <si>
    <t>Candid</t>
  </si>
  <si>
    <t>Monkees (The)</t>
  </si>
  <si>
    <t>Pisces, Aquarius, Capricorn &amp; Jones LTD.</t>
  </si>
  <si>
    <t>Montgomery, Wes</t>
  </si>
  <si>
    <t>A Day In The Life</t>
  </si>
  <si>
    <t>A&amp;M Records</t>
  </si>
  <si>
    <t>Wax &amp; Facts</t>
  </si>
  <si>
    <t>Boss Guitar</t>
  </si>
  <si>
    <t>The Book House in Dinkytown</t>
  </si>
  <si>
    <t>Movin' Along</t>
  </si>
  <si>
    <t>Monty Python</t>
  </si>
  <si>
    <t>Life of Brian</t>
  </si>
  <si>
    <t>Virgin</t>
  </si>
  <si>
    <t>Record Store Day Picture Disk</t>
  </si>
  <si>
    <t>Matching Tie &amp; Handkerchief</t>
  </si>
  <si>
    <t>Arista</t>
  </si>
  <si>
    <t>With Unusual 3 Sided Pressing</t>
  </si>
  <si>
    <t>Contractual Obligation Album</t>
  </si>
  <si>
    <t>Morgan, Lee</t>
  </si>
  <si>
    <t>The Sidewinder</t>
  </si>
  <si>
    <t>Leeway</t>
  </si>
  <si>
    <t>Infinity</t>
  </si>
  <si>
    <t>Search For The New Land</t>
  </si>
  <si>
    <t>Motion City Soundtrack</t>
  </si>
  <si>
    <t>Commit This To Memory</t>
  </si>
  <si>
    <t>Epitaph</t>
  </si>
  <si>
    <t>Musgraves, Kacey</t>
  </si>
  <si>
    <t>Star Crossed</t>
  </si>
  <si>
    <t>Interscope</t>
  </si>
  <si>
    <t>Country Dawn</t>
  </si>
  <si>
    <t>My Chemical Romance</t>
  </si>
  <si>
    <t>Three Cheers For Sweet Revenge</t>
  </si>
  <si>
    <t>NSYNC</t>
  </si>
  <si>
    <t xml:space="preserve">Transcontinental </t>
  </si>
  <si>
    <t>Home For Christmas</t>
  </si>
  <si>
    <t>Paisley, Doug</t>
  </si>
  <si>
    <t>Starter Home</t>
  </si>
  <si>
    <t>No Quarter</t>
  </si>
  <si>
    <t>Paramore</t>
  </si>
  <si>
    <t>All We Know Is Falling</t>
  </si>
  <si>
    <t>Parton, Dolly</t>
  </si>
  <si>
    <t>Rockstar</t>
  </si>
  <si>
    <t>Big Machine Records</t>
  </si>
  <si>
    <t>Box Set</t>
  </si>
  <si>
    <t>Best Of Dolly Parton</t>
  </si>
  <si>
    <t>Parton, Dolly &amp; Kenny Rogers</t>
  </si>
  <si>
    <t>Once Upon A Christmas</t>
  </si>
  <si>
    <t>Classic Country Pop</t>
  </si>
  <si>
    <t>Paterson, Joel</t>
  </si>
  <si>
    <t>Hi-Fi Christmas Guitar</t>
  </si>
  <si>
    <t>Ventrella Records</t>
  </si>
  <si>
    <t>Rockabilly</t>
  </si>
  <si>
    <t>Postal Service (The)</t>
  </si>
  <si>
    <t>Give Up</t>
  </si>
  <si>
    <t>Queen</t>
  </si>
  <si>
    <t>II</t>
  </si>
  <si>
    <t>Sheer Heart Attack</t>
  </si>
  <si>
    <t>A Night At The Oprera</t>
  </si>
  <si>
    <t>A Day At The Races</t>
  </si>
  <si>
    <t>The Game</t>
  </si>
  <si>
    <t>Hollywood Records</t>
  </si>
  <si>
    <t>A Kind Of Magic</t>
  </si>
  <si>
    <t>Red Clay Strays (The)</t>
  </si>
  <si>
    <t>Moment Of Truth</t>
  </si>
  <si>
    <t>HBYCO</t>
  </si>
  <si>
    <t>Signed</t>
  </si>
  <si>
    <t>Rodrigo, Olivia</t>
  </si>
  <si>
    <t>Guts</t>
  </si>
  <si>
    <t>Rolling Stones</t>
  </si>
  <si>
    <t>She's A Rainbow (Live Single)</t>
  </si>
  <si>
    <t>Promotone</t>
  </si>
  <si>
    <t>Ronson, Mark</t>
  </si>
  <si>
    <t>Nothing Breaks Like A Heart (feat. Miley Cyrus)</t>
  </si>
  <si>
    <t>Pop Soul</t>
  </si>
  <si>
    <t>Record Store Day 2019</t>
  </si>
  <si>
    <t>Rooney</t>
  </si>
  <si>
    <t>Rufio</t>
  </si>
  <si>
    <t>Perhaps, I Suppose...</t>
  </si>
  <si>
    <t>Saves The Day</t>
  </si>
  <si>
    <t>Through Being Cool</t>
  </si>
  <si>
    <t>Schoolhouse Rock</t>
  </si>
  <si>
    <t>Multiplication Rock</t>
  </si>
  <si>
    <t>Jackpot Records</t>
  </si>
  <si>
    <t>Shakey Graves</t>
  </si>
  <si>
    <t>And The War Came</t>
  </si>
  <si>
    <t>Dualtone</t>
  </si>
  <si>
    <t>Can't Wake Up</t>
  </si>
  <si>
    <t>Shins (The)</t>
  </si>
  <si>
    <t>Wincing The Night Away</t>
  </si>
  <si>
    <t>Shorter, Wayne</t>
  </si>
  <si>
    <t>Speak No Evil</t>
  </si>
  <si>
    <t>Adam's Apple</t>
  </si>
  <si>
    <t>Silver, Horace</t>
  </si>
  <si>
    <t>Song For My Father</t>
  </si>
  <si>
    <t>Six Pieces of Silver</t>
  </si>
  <si>
    <t>Blowin' the Blues Away</t>
  </si>
  <si>
    <t>Simpson, Sturgill</t>
  </si>
  <si>
    <t>Metamodern Sounds in Country Music</t>
  </si>
  <si>
    <t>High Top Mountain</t>
  </si>
  <si>
    <t>A Sailor's Guide To Earth</t>
  </si>
  <si>
    <t>The Ballad of Dood And Juanita</t>
  </si>
  <si>
    <t>SNL</t>
  </si>
  <si>
    <t>Saturday Night Live</t>
  </si>
  <si>
    <t>Something Corporate</t>
  </si>
  <si>
    <t>Leaving Through The Window</t>
  </si>
  <si>
    <t>Sonny &amp; Cher</t>
  </si>
  <si>
    <t>Mama Was A Rock and Roll Singer and Papa Used To Write All Her Songs</t>
  </si>
  <si>
    <t>MCA Records</t>
  </si>
  <si>
    <t>Soft Rock</t>
  </si>
  <si>
    <t>Springsteen, Bruce</t>
  </si>
  <si>
    <t>Born In The U.S.A.</t>
  </si>
  <si>
    <t>Star Wars</t>
  </si>
  <si>
    <t>Rogue One Soundtrack</t>
  </si>
  <si>
    <t>STRFKR</t>
  </si>
  <si>
    <t>Badman</t>
  </si>
  <si>
    <t>Electronica</t>
  </si>
  <si>
    <t>Reptilians</t>
  </si>
  <si>
    <t>Jupiter</t>
  </si>
  <si>
    <t>Miracle Mile</t>
  </si>
  <si>
    <t>Being No One, Going Nowhere</t>
  </si>
  <si>
    <t>Future Past Life</t>
  </si>
  <si>
    <t>Parallel Realms</t>
  </si>
  <si>
    <t>Parallel Relms</t>
  </si>
  <si>
    <t>Strokes (The)</t>
  </si>
  <si>
    <t>Is This It</t>
  </si>
  <si>
    <t>Room On Fire</t>
  </si>
  <si>
    <t>Styles, Harry</t>
  </si>
  <si>
    <t>Harry's House</t>
  </si>
  <si>
    <t>Superman</t>
  </si>
  <si>
    <t>Superman: Three New Adventures</t>
  </si>
  <si>
    <t>Power Records</t>
  </si>
  <si>
    <t>Swift, Taylor</t>
  </si>
  <si>
    <t>The Tortured Poets Department</t>
  </si>
  <si>
    <t>Republic Records</t>
  </si>
  <si>
    <t>"File Name: The Manuscript", RSD 2024 Letter</t>
  </si>
  <si>
    <t>1989 (Taylor's Version)</t>
  </si>
  <si>
    <t>Rose Garden Pink Version</t>
  </si>
  <si>
    <t>Swi14198</t>
  </si>
  <si>
    <t>Taking Back Sunday</t>
  </si>
  <si>
    <t>Tell All Your Friends</t>
  </si>
  <si>
    <t>20th Anniversary Edition</t>
  </si>
  <si>
    <t>Louder Now</t>
  </si>
  <si>
    <t>Tame Impala</t>
  </si>
  <si>
    <t>Currents</t>
  </si>
  <si>
    <t>Modern Rock</t>
  </si>
  <si>
    <t>Thermals</t>
  </si>
  <si>
    <t>Hey You (Single)</t>
  </si>
  <si>
    <t>Saddle Creek</t>
  </si>
  <si>
    <t>Record Store Day 2016</t>
  </si>
  <si>
    <t>Thin Lizzy</t>
  </si>
  <si>
    <t>Jailbreak</t>
  </si>
  <si>
    <t>Vertigo</t>
  </si>
  <si>
    <t>Bad Reputation</t>
  </si>
  <si>
    <t>Thrice</t>
  </si>
  <si>
    <t>Illusion of Safety</t>
  </si>
  <si>
    <t>Sub City Records</t>
  </si>
  <si>
    <t>The Artist in the Ambulance</t>
  </si>
  <si>
    <t>New Grass</t>
  </si>
  <si>
    <t>Thursday</t>
  </si>
  <si>
    <t>War All The Time - Live</t>
  </si>
  <si>
    <t>Velocity</t>
  </si>
  <si>
    <t>TOTO</t>
  </si>
  <si>
    <t>Twain, Shania</t>
  </si>
  <si>
    <t>Come On Over</t>
  </si>
  <si>
    <t>Mercury Records</t>
  </si>
  <si>
    <t>Tyner, McCoy</t>
  </si>
  <si>
    <t>Inner Voices</t>
  </si>
  <si>
    <t>Milestone Records</t>
  </si>
  <si>
    <t>The Real McCoy</t>
  </si>
  <si>
    <t>Expansions</t>
  </si>
  <si>
    <t>U2</t>
  </si>
  <si>
    <t>The Europa EP</t>
  </si>
  <si>
    <t>Island</t>
  </si>
  <si>
    <t>Van Zandt, Townes</t>
  </si>
  <si>
    <t>Sky Blue</t>
  </si>
  <si>
    <t>TVZ Records</t>
  </si>
  <si>
    <t>Various Artists</t>
  </si>
  <si>
    <t>Jingle Bell Jazz</t>
  </si>
  <si>
    <t>Walk The Moon</t>
  </si>
  <si>
    <t>Talking Is Hard</t>
  </si>
  <si>
    <t>Pop Rock</t>
  </si>
  <si>
    <t>War On Drugs (The)</t>
  </si>
  <si>
    <t>Future Weather</t>
  </si>
  <si>
    <t>Secretly Canadian</t>
  </si>
  <si>
    <t>Lost In The Dream</t>
  </si>
  <si>
    <t>Way, Gerard</t>
  </si>
  <si>
    <t>Pinkish (Single)</t>
  </si>
  <si>
    <t>Weakerthans (The)</t>
  </si>
  <si>
    <t>Reconstruction Site</t>
  </si>
  <si>
    <t>Weather Report</t>
  </si>
  <si>
    <t>Heavy Weather</t>
  </si>
  <si>
    <t>Wilco</t>
  </si>
  <si>
    <t>yankee hotel foxtrot</t>
  </si>
  <si>
    <t>Nonesuch Records</t>
  </si>
  <si>
    <t>Alt Country</t>
  </si>
  <si>
    <t>Sky Blue Sky</t>
  </si>
  <si>
    <t>Williams, John</t>
  </si>
  <si>
    <t>The Hollywood Story</t>
  </si>
  <si>
    <t>Diggers Factory</t>
  </si>
  <si>
    <t>ZZ Top</t>
  </si>
  <si>
    <t>Eliminator</t>
  </si>
  <si>
    <t>Further Seems Forever</t>
  </si>
  <si>
    <t>the moon is down</t>
  </si>
  <si>
    <t>Acceptance</t>
  </si>
  <si>
    <t>Phantoms</t>
  </si>
  <si>
    <t>Bad Timing Records</t>
  </si>
  <si>
    <t>Lord Huron</t>
  </si>
  <si>
    <t>Long Lost</t>
  </si>
  <si>
    <t>What It Is Montreal 7/7/83</t>
  </si>
  <si>
    <t>Gift - Lisa</t>
  </si>
  <si>
    <t>Happiest Songs</t>
  </si>
  <si>
    <t>Roan, Chappell</t>
  </si>
  <si>
    <t>The Rise and Fall of a Midwest Princess</t>
  </si>
  <si>
    <t>Synth Pop</t>
  </si>
  <si>
    <t>Barns &amp; Nobels</t>
  </si>
  <si>
    <t>COUNT of Original Release</t>
  </si>
  <si>
    <t>COUNTA of Decade</t>
  </si>
  <si>
    <t>COUNTA of Store Purchased</t>
  </si>
  <si>
    <t>COUNTA of Matt or Kieran?</t>
  </si>
  <si>
    <t>COUNTA of Record Company</t>
  </si>
  <si>
    <t>1950s</t>
  </si>
  <si>
    <t>1960s</t>
  </si>
  <si>
    <t>1970s</t>
  </si>
  <si>
    <t>1980s</t>
  </si>
  <si>
    <t>Grand Total</t>
  </si>
  <si>
    <t>1990s</t>
  </si>
  <si>
    <t>2000s</t>
  </si>
  <si>
    <t>2010s</t>
  </si>
  <si>
    <t>2020s</t>
  </si>
  <si>
    <t>COUNTA of SubGenre</t>
  </si>
  <si>
    <t>COUNTA of Artist</t>
  </si>
  <si>
    <t>Beatles (The)</t>
  </si>
  <si>
    <t>Year Range</t>
  </si>
  <si>
    <t>1930s</t>
  </si>
  <si>
    <t>1940s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</si>
</sst>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3.xml"/><Relationship Id="rId12" Type="http://customschemas.google.com/relationships/workbookmetadata" Target="metadata"/><Relationship Id="rId9" Type="http://schemas.openxmlformats.org/officeDocument/2006/relationships/chartsheet" Target="chartsheets/sheet4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'Piviot Tables'!$A$3:$A$14</c:f>
            </c:strRef>
          </c:cat>
          <c:val>
            <c:numRef>
              <c:f>'Piviot Tables'!$B$3:$B$14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Collection By Shop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4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'Piviot Tables'!$J$2:$J$28</c:f>
            </c:strRef>
          </c:cat>
          <c:val>
            <c:numRef>
              <c:f>'Piviot Tables'!$K$2:$K$28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Collection By Decade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8FF98"/>
              </a:solidFill>
            </c:spPr>
          </c:dPt>
          <c:dPt>
            <c:idx val="1"/>
            <c:spPr>
              <a:solidFill>
                <a:srgbClr val="FF4500"/>
              </a:solidFill>
            </c:spPr>
          </c:dPt>
          <c:dPt>
            <c:idx val="2"/>
            <c:spPr>
              <a:solidFill>
                <a:srgbClr val="DAA520"/>
              </a:solidFill>
            </c:spPr>
          </c:dPt>
          <c:dPt>
            <c:idx val="3"/>
            <c:spPr>
              <a:solidFill>
                <a:srgbClr val="7DF9FF"/>
              </a:solidFill>
            </c:spPr>
          </c:dPt>
          <c:dPt>
            <c:idx val="4"/>
            <c:spPr>
              <a:solidFill>
                <a:srgbClr val="FF69B4"/>
              </a:solidFill>
            </c:spPr>
          </c:dPt>
          <c:dPt>
            <c:idx val="5"/>
            <c:spPr>
              <a:solidFill>
                <a:srgbClr val="C0C0C0"/>
              </a:solidFill>
            </c:spPr>
          </c:dPt>
          <c:dPt>
            <c:idx val="6"/>
            <c:spPr>
              <a:solidFill>
                <a:srgbClr val="F5C6CC"/>
              </a:solidFill>
            </c:spPr>
          </c:dPt>
          <c:dPt>
            <c:idx val="7"/>
            <c:spPr>
              <a:solidFill>
                <a:srgbClr val="0F4C8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'Piviot Tables'!$G$2:$G$9</c:f>
            </c:strRef>
          </c:cat>
          <c:val>
            <c:numRef>
              <c:f>'Piviot Tables'!$H$2:$H$9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Collection By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'Piviot Tables'!$D$3:$D$60</c:f>
            </c:strRef>
          </c:cat>
          <c:val>
            <c:numRef>
              <c:f>'Piviot Tables'!$E$3:$E$60</c:f>
              <c:numCache/>
            </c:numRef>
          </c:val>
        </c:ser>
        <c:axId val="607774580"/>
        <c:axId val="229605879"/>
      </c:barChart>
      <c:catAx>
        <c:axId val="607774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Original Release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605879"/>
      </c:catAx>
      <c:valAx>
        <c:axId val="229605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Original Release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774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15959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1233696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0908283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09491583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498" sheet="Masterlist"/>
  </cacheSource>
  <cacheFields>
    <cacheField name="ID Number" numFmtId="0">
      <sharedItems>
        <s v="Aca05Alm"/>
        <s v="Ada24Hur"/>
        <s v="Add58Som"/>
        <s v="Aer75Toy"/>
        <s v="Aga05Sea"/>
        <s v="Aly21ATo"/>
        <s v="Aly23Wit"/>
        <s v="Ame16Ame"/>
        <s v="Arm05Wha"/>
        <s v="Arm03Dre"/>
        <s v="Bst83Wha"/>
        <s v="BsT80Wil"/>
        <s v="BsT79The"/>
        <s v="Bac22AVe"/>
        <s v="Bar23Bar"/>
        <s v="Bea64The"/>
        <s v="Bea67Sgt"/>
        <s v="Bea67Mag"/>
        <s v="Bea64AHaSdk"/>
        <s v="Bea64Bea"/>
        <s v="Bea64Mee"/>
        <s v="Bea66Yes"/>
        <s v="Bea69Abb"/>
        <s v="Bea65Rub"/>
        <s v="Bea66Rev"/>
        <s v="Bea64AHa"/>
        <s v="Bea65Hel"/>
        <s v="Bea69Let"/>
        <s v="Bea68Whi"/>
        <s v="Bee57Sym"/>
        <s v="Bil20Bil"/>
        <s v="Bla19Bla"/>
        <s v="Bla65Sou"/>
        <s v="Bla64Fre"/>
        <s v="Bla62Moa"/>
        <s v="Bla58Moa"/>
        <s v="Ble24Ble"/>
        <s v="Blu78Bri"/>
        <s v="Bow82Let"/>
        <s v="Bow73Ala"/>
        <s v="Bow75You"/>
        <s v="Bow72The"/>
        <s v="Bow16Cha"/>
        <s v="Bra67Ext"/>
        <s v="Bra03Dej"/>
        <s v="Bri15Com"/>
        <s v="Bri05ImW"/>
        <s v="Bro18Mea"/>
        <s v="Bru57Dav"/>
        <s v="Bru59Tim"/>
        <s v="Bur63Mid"/>
        <s v="Car77OnT"/>
        <s v="Car72Tak"/>
        <s v="Car72Cla"/>
        <s v="Car73Occ"/>
        <s v="Car13The"/>
        <s v="Chi20Gas"/>
        <s v="Chi23Rus"/>
        <s v="Chi81ACh"/>
        <s v="Coh03InK"/>
        <s v="Col60Gia"/>
        <s v="Col65ALo"/>
        <s v="Cop09You"/>
        <s v="Cop06Eat"/>
        <s v="Cop03Ben"/>
        <s v="Cop05InM"/>
        <s v="Cre68Whe"/>
        <s v="Cul19Run"/>
        <s v="Das01The"/>
        <s v="Das00The"/>
        <s v="Dav69Bit"/>
        <s v="Dav85ANi"/>
        <s v="Dav59Kin"/>
        <s v="Dav58Mil"/>
        <s v="Dav61Som"/>
        <s v="Dea23Tra"/>
        <s v="Dea05Pla"/>
        <s v="Dec10The"/>
        <s v="Dir85Bro"/>
        <s v="Dis79Mic"/>
        <s v="Dis82Mic"/>
        <s v="Dis61Fun"/>
        <s v="Dis59Cin"/>
        <s v="Dis64Its"/>
        <s v="Dis68Mer"/>
        <s v="Dis71Son"/>
        <s v="Dis73ACh"/>
        <s v="Dis73Chr"/>
        <s v="Dis16Jaz"/>
        <s v="Dis22Lof"/>
        <s v="Dis23Dis"/>
        <s v="Doc67Doc"/>
        <s v="Doc79Doc"/>
        <s v="Ear02For"/>
        <s v="Edg72The"/>
        <s v="Eme21The"/>
        <s v="Eme22The"/>
        <s v="Eva60Por"/>
        <s v="Fal03Tak"/>
        <s v="Fal23SoM"/>
        <s v="Fat12Fea"/>
        <s v="Fat15ILo"/>
        <s v="Fat17Pur"/>
        <s v="Fat18God"/>
        <s v="Fat22Chl"/>
        <s v="Fla15Cra"/>
        <s v="Fle08Fle"/>
        <s v="Fle20Sho"/>
        <s v="Fle77Rum"/>
        <s v="Foo02One"/>
        <s v="Foo97Foo"/>
        <s v="Foo20Med"/>
        <s v="For03Int"/>
        <s v="Gar56Con"/>
        <s v="Get04Gui"/>
        <s v="Get64Get"/>
        <s v="Gia22Rou"/>
        <s v="Gor62Go"/>
        <s v="Gor64ASw"/>
        <s v="Gre24Sav"/>
        <s v="Gre63Fee"/>
        <s v="Gre61Gre"/>
        <s v="Gre64Str"/>
        <s v="Gre62Bor"/>
        <s v="Gre61Gra"/>
        <s v="Gre70Gre"/>
        <s v="Gre66IWa"/>
        <s v="Gre65Idl"/>
        <s v="Gua72ACh"/>
        <s v="Hal18Buz"/>
        <s v="Han62Tak"/>
        <s v="Han64Mai"/>
        <s v="Han64Emp"/>
        <s v="Har70All"/>
        <s v="Hen63Pag"/>
        <s v="Hen69Ele"/>
        <s v="How59Moa"/>
        <s v="Isb15Som"/>
        <s v="Isb18Sir"/>
        <s v="Isb03Sou"/>
        <s v="Isb19Her"/>
        <s v="Isb20Reu"/>
        <s v="Isb17The"/>
        <s v="Isb23Wea"/>
        <s v="Jac05Eve"/>
        <s v="Jac55Blu"/>
        <s v="Jay16Pag"/>
        <s v="Jep15Tug"/>
        <s v="Jim04Ble"/>
        <s v="Joh84bre"/>
        <s v="Kac24Dee"/>
        <s v="Led73Hou"/>
        <s v="Led69I"/>
        <s v="Led71IV"/>
        <s v="Len71Ima"/>
        <s v="Mad22Fin"/>
        <s v="Mad82Mad"/>
        <s v="Mae03Des"/>
        <s v="Mat22The"/>
        <s v="May66Blu"/>
        <s v="McP17Und"/>
        <s v="McP18Soc"/>
        <s v="mew04Cat"/>
        <s v="Mid22For"/>
        <s v="Min59Min"/>
        <s v="Mob60Sou"/>
        <s v="Mon68Pal"/>
        <s v="Mon63Cri"/>
        <s v="Mon73The"/>
        <s v="Mon65Sol"/>
        <s v="Mon63Mon"/>
        <s v="Mon22The"/>
        <s v="Mon67Pis"/>
        <s v="Mon67ADa"/>
        <s v="Mon63Bos"/>
        <s v="Mon60Mov"/>
        <s v="Mon79Lif"/>
        <s v="Mon73Mat"/>
        <s v="Mon80Con"/>
        <s v="Mor64The"/>
        <s v="Mor60Lee"/>
        <s v="Mor81Inf"/>
        <s v="Mor66Sea"/>
        <s v="Mot05Com"/>
        <s v="Mus21Sta"/>
        <s v="MyC04Thr"/>
        <s v="NSY98NSY"/>
        <s v="NSY98Hom"/>
        <s v="Pai18Sta"/>
        <s v="Par05All"/>
        <s v="Par23Roc"/>
        <s v="Par75Bes"/>
        <s v="Par84Onc"/>
        <s v="Pat17HiF"/>
        <s v="Pos03Giv"/>
        <s v="Que73I"/>
        <s v="Que74II"/>
        <s v="Que74She"/>
        <s v="Que75ANi"/>
        <s v="Que76ADa"/>
        <s v="Que80The"/>
        <s v="Que78Jaz"/>
        <s v="Que86AKi"/>
        <s v="Red24Mom"/>
        <s v="Rod23Gut"/>
        <s v="Rol19She"/>
        <s v="Ron19Not"/>
        <s v="Roo03Roo"/>
        <s v="Ruf01Per"/>
        <s v="Sav99Thr"/>
        <s v="Sch73Mul"/>
        <s v="Sha14And"/>
        <s v="Sha18Can"/>
        <s v="Shi07Win"/>
        <s v="Sho66Spe"/>
        <s v="Sho66Ada"/>
        <s v="Sil64Son"/>
        <s v="Sil56Six"/>
        <s v="Sil59Blo"/>
        <s v="Sim15Met"/>
        <s v="Sim16ASa"/>
        <s v="Sim21The"/>
        <s v="Sim13Hig"/>
        <s v="SNL76Sat"/>
        <s v="Som22Lea"/>
        <s v="Son73Mam"/>
        <s v="Spr84Bor"/>
        <s v="Sta22Rog"/>
        <s v="STR08STR"/>
        <s v="STR11Rep"/>
        <s v="STR12Jup"/>
        <s v="STR13Mir"/>
        <s v="STR16Bei"/>
        <s v="STR20Fut"/>
        <s v="STR24Par"/>
        <s v="Str01IsT"/>
        <s v="Str03Roo"/>
        <s v="Sty22Har"/>
        <s v="Sup75Sup"/>
        <s v="Swi24The"/>
        <s v="Swi23Tay"/>
        <s v="Swi14198"/>
        <s v="Tak02Tel"/>
        <s v="Tak09Lou"/>
        <s v="Tam15Cur"/>
        <s v="The16Hey"/>
        <s v="Thi76Jai"/>
        <s v="Thi77Bad"/>
        <s v="Thr02Ill"/>
        <s v="Thr03The"/>
        <s v="Thu22War"/>
        <s v="TOT82IV"/>
        <s v="Twa97Com"/>
        <s v="Tyn77Inn"/>
        <s v="Tyn67The"/>
        <s v="Tyn68Exp"/>
        <s v="U19The"/>
        <s v="Van73Sky"/>
        <s v="Var80Jin"/>
        <s v="Wal14Tal"/>
        <s v="War10Fut"/>
        <s v="War14Los"/>
        <s v="Way16Pin"/>
        <s v="Wea03Rec"/>
        <s v="Wea77Hea"/>
        <s v="Wil22yan"/>
        <s v="Wil07Sky"/>
        <s v="Wil22The"/>
        <s v="ZZT83Eli"/>
        <s v="Fur01the"/>
        <s v="Acc05Pha"/>
        <s v="Lor21Lon"/>
        <s v="Dav22Wha"/>
        <s v="Dis67Hap"/>
        <s v="Roa23The"/>
        <s v=""/>
      </sharedItems>
    </cacheField>
    <cacheField name="Artist" numFmtId="0">
      <sharedItems containsBlank="1">
        <s v="Academy Is (The)"/>
        <s v="Adam and the Metal Hawks"/>
        <s v="Adderley, Cannonball"/>
        <s v="Aerosmith"/>
        <s v="Against Me!"/>
        <s v="Aly &amp; AJ"/>
        <s v="American Football"/>
        <s v="Armor For Sleep"/>
        <s v="B-52's (the)"/>
        <s v="B-52s (The)"/>
        <s v="Backstreet Boys"/>
        <s v="Barbie"/>
        <s v="Beach Boys (The)"/>
        <s v="Beatles (The)"/>
        <s v="Beethoven"/>
        <s v="Bill &amp; Ted"/>
        <s v="Black Pumas"/>
        <s v="Blakey, Art"/>
        <s v="Bleachers"/>
        <s v="Blues Brothers"/>
        <s v="Bowie, David"/>
        <s v="Braith, George"/>
        <s v="Brand New"/>
        <s v="Bridges, Leon"/>
        <s v="Bright Eyes"/>
        <s v="Broadway Cast"/>
        <s v="Brubeck, Dave"/>
        <s v="Burrell, Kenny"/>
        <s v="Carlin, George"/>
        <s v="Cartel"/>
        <s v="Chicks (The)"/>
        <s v="Childers, Tyler"/>
        <s v="Chipmunks (The)"/>
        <s v="Coheed and Cambria"/>
        <s v="Coltrane, John"/>
        <s v="Copeland"/>
        <s v="Cream"/>
        <s v="Culture Club"/>
        <s v="Dashboard Confessional"/>
        <s v="Davis, Miles"/>
        <s v="Death Cab For Cutie"/>
        <s v="Decemberists (The)"/>
        <s v="Dire Straits"/>
        <s v="Disney"/>
        <s v="Doctor Who"/>
        <s v="Early November (The)"/>
        <s v="Edgar Winter Group (The)"/>
        <s v="Emery"/>
        <s v="Evans, Bill"/>
        <s v="Fall Out Boy"/>
        <s v="Father John Misty"/>
        <s v="Flaming Groovies"/>
        <s v="Fleet Foxes"/>
        <s v="Fleetwood Mac"/>
        <s v="Foo Fighters"/>
        <s v="Format (The)"/>
        <s v="Garner, Erroll"/>
        <s v="Get Up Kids (The)"/>
        <s v="Getz, Stan"/>
        <s v="Giacchinio, Michael"/>
        <s v="Gordon, Dexter"/>
        <s v="Green Day"/>
        <s v="Green, Grant"/>
        <s v="Guaraldi, Vince"/>
        <s v="Halestorm"/>
        <s v="Hancock, Herbie"/>
        <s v="Harrison, George"/>
        <s v="Henderson, Joe"/>
        <s v="Hendrix, Jimi"/>
        <s v="Howlin' Wolf"/>
        <s v="Isbell, Jason"/>
        <s v="Isbell, Jason &amp; The 400 Unit"/>
        <s v="Jack's Mannequin"/>
        <s v="Jackson, Milt"/>
        <s v="Jayhawks (The)"/>
        <s v="Jepsen, Carly Rae"/>
        <s v="Jimmy Eat World"/>
        <s v="John, Elton"/>
        <s v="Kacey Musgraves"/>
        <s v="Led Zeppelin"/>
        <s v="Lennon, John"/>
        <s v="Madonna"/>
        <s v="Mae"/>
        <s v="Mattel, Trixie"/>
        <s v="Mayall, John"/>
        <s v="McPhearson, JD"/>
        <s v="mewithoutYou"/>
        <s v="Midlake"/>
        <s v="Mingus, Charles"/>
        <s v="Mobley, Hank"/>
        <s v="Monk, Thelonious"/>
        <s v="Monkees (The)"/>
        <s v="Montgomery, Wes"/>
        <s v="Monty Python"/>
        <s v="Morgan, Lee"/>
        <s v="Motion City Soundtrack"/>
        <s v="Musgraves, Kacey"/>
        <s v="My Chemical Romance"/>
        <s v="NSYNC"/>
        <s v="Paisley, Doug"/>
        <s v="Paramore"/>
        <s v="Parton, Dolly"/>
        <s v="Parton, Dolly &amp; Kenny Rogers"/>
        <s v="Paterson, Joel"/>
        <s v="Postal Service (The)"/>
        <s v="Queen"/>
        <s v="Red Clay Strays (The)"/>
        <s v="Rodrigo, Olivia"/>
        <s v="Rolling Stones"/>
        <s v="Ronson, Mark"/>
        <s v="Rooney"/>
        <s v="Rufio"/>
        <s v="Saves The Day"/>
        <s v="Schoolhouse Rock"/>
        <s v="Shakey Graves"/>
        <s v="Shins (The)"/>
        <s v="Shorter, Wayne"/>
        <s v="Silver, Horace"/>
        <s v="Simpson, Sturgill"/>
        <s v="SNL"/>
        <s v="Something Corporate"/>
        <s v="Sonny &amp; Cher"/>
        <s v="Springsteen, Bruce"/>
        <s v="Star Wars"/>
        <s v="STRFKR"/>
        <s v="Strokes (The)"/>
        <s v="Styles, Harry"/>
        <s v="Superman"/>
        <s v="Swift, Taylor"/>
        <s v="Taking Back Sunday"/>
        <s v="Tame Impala"/>
        <s v="Thermals"/>
        <s v="Thin Lizzy"/>
        <s v="Thrice"/>
        <s v="Thursday"/>
        <s v="TOTO"/>
        <s v="Twain, Shania"/>
        <s v="Tyner, McCoy"/>
        <s v="U2"/>
        <s v="Van Zandt, Townes"/>
        <s v="Various Artists"/>
        <s v="Walk The Moon"/>
        <s v="War On Drugs (The)"/>
        <s v="Way, Gerard"/>
        <s v="Weakerthans (The)"/>
        <s v="Weather Report"/>
        <s v="Wilco"/>
        <s v="Williams, John"/>
        <s v="ZZ Top"/>
        <s v="Further Seems Forever"/>
        <s v="Acceptance"/>
        <s v="Lord Huron"/>
        <s v="Roan, Chappell"/>
        <m/>
      </sharedItems>
    </cacheField>
    <cacheField name="Album Title">
      <sharedItems containsBlank="1" containsMixedTypes="1" containsNumber="1" containsInteger="1">
        <s v="Almost Here"/>
        <s v="Hurry Up And Wait"/>
        <s v="Somethin' Else"/>
        <s v="Toys In The Attic"/>
        <s v="Searching For a Former Clarity"/>
        <s v="A Touch Of The Beat Gets You Up On Your Feet And Out And Then Into The Sun"/>
        <s v="With Love From"/>
        <s v="American Football (LP2)"/>
        <s v="What To Do When You Are Dead"/>
        <s v="Dream to Make Believe"/>
        <s v="Whammy!"/>
        <s v="Wild Planet"/>
        <s v="The B-52s"/>
        <s v="A Very Backstreet Christmas"/>
        <s v="Barbie: The Album"/>
        <s v="The Christmas Album"/>
        <s v="Sgt Peppers Lonely Hearts Club Band"/>
        <s v="Magical Mystery Tour"/>
        <s v="A Hard Day's Night - Soundtrack "/>
        <s v="Beatles For Sale"/>
        <s v="Meet The Beatles"/>
        <s v="Yesterday And Today"/>
        <s v="Abby Road"/>
        <s v="Rubber Soul"/>
        <s v="Revolver"/>
        <s v="A Hard Day's Night"/>
        <s v="Help"/>
        <s v="Let It Be"/>
        <s v="White Album (The)"/>
        <s v="Symphony No 9"/>
        <s v="Bill &amp; Ted Face The Music"/>
        <s v="Black Pumas"/>
        <s v="Soul Finger"/>
        <s v="Free For All"/>
        <s v="Moasic"/>
        <s v="Moanin'"/>
        <s v="Bleachers"/>
        <s v="Briefcase Full Of Blues"/>
        <s v="Let's Dance"/>
        <s v="Aladdin Sane"/>
        <s v="Young Americans"/>
        <s v="The Rise &amp; Fall Of Ziggy Stardust And The Spiders From Mars"/>
        <s v="Changes One"/>
        <s v="Extension"/>
        <s v="Deja Entendu"/>
        <s v="Coming Home"/>
        <s v=" I'm Wide Awake, It's Morning"/>
        <s v="Mean Girls"/>
        <s v="Dave Digs Disney"/>
        <s v="Time Out"/>
        <s v="Midnight Blue"/>
        <s v="On The Road"/>
        <s v="Take-Offs &amp; Put-Ons"/>
        <s v="Class Clown"/>
        <s v="Occupation: Fool"/>
        <s v="The Ransom EP"/>
        <s v="Gaslighter"/>
        <s v="Rustin' In The Rain"/>
        <s v="A Chipmunk Christmas"/>
        <s v="In Keeping Secrets Of Silent Earth: 3"/>
        <s v="Giant Steps"/>
        <s v="A Love Supreme"/>
        <s v="You Are My Sunshine"/>
        <s v="Eat, Sleep, Repeat"/>
        <s v="Beneath Medicine Tree"/>
        <s v="In Motion"/>
        <s v="Whels of Fire"/>
        <s v="Runaway Train (Single)"/>
        <s v="The Places You Have Come To Fear The Most"/>
        <s v="The Swiss Army Romance"/>
        <s v="Bitches Brew"/>
        <s v="A Night In Tunisia"/>
        <s v="Kind Of Blue"/>
        <s v="Milestones"/>
        <s v="Someday My Prince Will Come"/>
        <s v="Transatlanticism"/>
        <s v="Plans"/>
        <s v="The King Is Dead"/>
        <s v="Brothers In Arms"/>
        <s v="Mickey Mouse Disco"/>
        <s v="Mickey's Christmas Carol"/>
        <s v="Fun With Music"/>
        <s v="Cinderella"/>
        <s v="It's A Small World"/>
        <s v="Merriest Songs"/>
        <s v="Songs From Bedknobs and Broomsticks"/>
        <s v="A Christmas Adventure In Disneyland"/>
        <s v="Christmas Carols From All Of Us To All Of You"/>
        <s v="Jazz Loves Disney"/>
        <s v="Lofi Minnie: Focus"/>
        <s v="Disney 100"/>
        <s v="Doctor Who: The Tomb Of The Cybermen"/>
        <s v="Doctor Who: City of Death"/>
        <s v="For All Of This"/>
        <s v="They Only Come Out At Night"/>
        <s v="The Weak's End - Live at Neumos"/>
        <s v="The Question - Live"/>
        <s v="Portraits In Jazz"/>
        <s v="Take This To Your Grave"/>
        <s v="So Much (For) Stardust"/>
        <s v="Fear Fun"/>
        <s v="I Love You Honeybear"/>
        <s v="Pure Comedy"/>
        <s v="God's Favorite Customer"/>
        <s v="Chloe"/>
        <s v="Crazy Macy (Single)"/>
        <s v="Fleet Foxes"/>
        <s v="Shore"/>
        <s v="Rumors"/>
        <s v="One By One"/>
        <s v="Foo Fighters"/>
        <s v="Medicine At Midnight"/>
        <s v="Interventions &amp; Lullibies"/>
        <s v="Concert By The Sea"/>
        <s v="Guilt Show"/>
        <s v="Getz/Gilberto"/>
        <s v="Rouge One"/>
        <s v="Go"/>
        <s v="A Swingin' Affair"/>
        <s v="Saviors"/>
        <s v="Feelin' The Spirit"/>
        <s v="Green Street"/>
        <s v="Street of Dreams"/>
        <s v="Born To The Blue"/>
        <s v="Grant's First Stand"/>
        <s v="Green Is Beautiful"/>
        <s v="I Want To Hold Your Hand"/>
        <s v="Idle Moments"/>
        <s v="A Charlie Brown Christmas"/>
        <s v="Buzz (Single"/>
        <s v="Takin' Off"/>
        <s v="Maiden Voyage"/>
        <s v="Empyrean Isles"/>
        <s v="All Things Must Pass"/>
        <s v="Page One"/>
        <s v="Electric Ladyland"/>
        <s v="Moanin' In The Moonlight"/>
        <s v="Something More Than Free"/>
        <s v="Sirens Of The Ditch"/>
        <s v="Southeastern"/>
        <s v="Here We Rest"/>
        <s v="Reunions"/>
        <s v="The Nashville Sound"/>
        <s v="Weathervanes"/>
        <s v="Everything In Transit"/>
        <s v="Blue Note 1509"/>
        <s v="Paging Mr. Proust"/>
        <s v="Tug Of War"/>
        <s v="Bleed American"/>
        <s v="breaking hearts"/>
        <s v="Deeper Well"/>
        <s v="Houses Of The Holy"/>
        <s v="I"/>
        <s v="IV"/>
        <s v="Imagine"/>
        <s v="Finally Enough Love"/>
        <s v="Madonna"/>
        <s v="Destination:Beautiful"/>
        <s v="The Blonde &amp; Pink Albums"/>
        <s v="Blues Breakers"/>
        <s v="Undivided Heart &amp; Soul"/>
        <s v="Socks"/>
        <s v="Catch For Us The Foxes"/>
        <s v="For The Sake Of Bethel Woods"/>
        <s v="Mingus Ah Um"/>
        <s v="Soul Station"/>
        <s v="Palo Alto"/>
        <s v="Criss-Cross"/>
        <s v="The Man I Love"/>
        <s v="Solo Monk"/>
        <s v="Monk's Dream"/>
        <s v="The Classic Quartest"/>
        <s v="Pisces, Aquarius, Capricorn &amp; Jones LTD."/>
        <s v="A Day In The Life"/>
        <s v="Boss Guitar"/>
        <s v="Movin' Along"/>
        <s v="Life of Brian"/>
        <s v="Matching Tie &amp; Handkerchief"/>
        <s v="Contractual Obligation Album"/>
        <s v="The Sidewinder"/>
        <s v="Leeway"/>
        <s v="Infinity"/>
        <s v="Search For The New Land"/>
        <s v="Commit This To Memory"/>
        <s v="Star Crossed"/>
        <s v="Three Cheers For Sweet Revenge"/>
        <s v="NSYNC"/>
        <s v="Home For Christmas"/>
        <s v="Starter Home"/>
        <s v="All We Know Is Falling"/>
        <s v="Rockstar"/>
        <s v="Best Of Dolly Parton"/>
        <s v="Once Upon A Christmas"/>
        <s v="Hi-Fi Christmas Guitar"/>
        <s v="Give Up"/>
        <s v="II"/>
        <s v="Sheer Heart Attack"/>
        <s v="A Night At The Oprera"/>
        <s v="A Day At The Races"/>
        <s v="The Game"/>
        <s v="Jazz"/>
        <s v="A Kind Of Magic"/>
        <s v="Moment Of Truth"/>
        <s v="Guts"/>
        <s v="She's A Rainbow (Live Single)"/>
        <s v="Nothing Breaks Like A Heart (feat. Miley Cyrus)"/>
        <s v="Rooney"/>
        <s v="Perhaps, I Suppose..."/>
        <s v="Through Being Cool"/>
        <s v="Multiplication Rock"/>
        <s v="And The War Came"/>
        <s v="Can't Wake Up"/>
        <s v="Wincing The Night Away"/>
        <s v="Speak No Evil"/>
        <s v="Adam's Apple"/>
        <s v="Song For My Father"/>
        <s v="Six Pieces of Silver"/>
        <s v="Blowin' the Blues Away"/>
        <s v="Metamodern Sounds in Country Music"/>
        <s v="A Sailor's Guide To Earth"/>
        <s v="The Ballad of Dood And Juanita"/>
        <s v="High Top Mountain"/>
        <s v="Saturday Night Live"/>
        <s v="Leaving Through The Window"/>
        <s v="Mama Was A Rock and Roll Singer and Papa Used To Write All Her Songs"/>
        <s v="Born In The U.S.A."/>
        <s v="Rogue One Soundtrack"/>
        <s v="STRFKR"/>
        <s v="Reptilians"/>
        <s v="Jupiter"/>
        <s v="Miracle Mile"/>
        <s v="Being No One, Going Nowhere"/>
        <s v="Future Past Life"/>
        <s v="Parallel Realms"/>
        <s v="Parallel Relms"/>
        <s v="Is This It"/>
        <s v="Room On Fire"/>
        <s v="Harry's House"/>
        <s v="Superman: Three New Adventures"/>
        <s v="The Tortured Poets Department"/>
        <s v="1989 (Taylor's Version)"/>
        <n v="1989.0"/>
        <s v="Tell All Your Friends"/>
        <s v="Louder Now"/>
        <s v="Currents"/>
        <s v="Hey You (Single)"/>
        <s v="Jailbreak"/>
        <s v="Bad Reputation"/>
        <s v="Illusion of Safety"/>
        <s v="The Artist in the Ambulance"/>
        <s v="War All The Time - Live"/>
        <s v="Come On Over"/>
        <s v="Inner Voices"/>
        <s v="The Real McCoy"/>
        <s v="Expansions"/>
        <s v="The Europa EP"/>
        <s v="Sky Blue"/>
        <s v="Jingle Bell Jazz"/>
        <s v="Talking Is Hard"/>
        <s v="Future Weather"/>
        <s v="Lost In The Dream"/>
        <s v="Pinkish (Single)"/>
        <s v="Reconstruction Site"/>
        <s v="Heavy Weather"/>
        <s v="yankee hotel foxtrot"/>
        <s v="Sky Blue Sky"/>
        <s v="The Hollywood Story"/>
        <s v="Eliminator"/>
        <s v="the moon is down"/>
        <s v="Phantoms"/>
        <s v="Long Lost"/>
        <s v="What It Is Montreal 7/7/83"/>
        <s v="Happiest Songs"/>
        <s v="The Rise and Fall of a Midwest Princess"/>
        <m/>
      </sharedItems>
    </cacheField>
    <cacheField name="Original Release" numFmtId="0">
      <sharedItems containsString="0" containsBlank="1" containsNumber="1" containsInteger="1">
        <n v="2005.0"/>
        <n v="2024.0"/>
        <n v="1958.0"/>
        <n v="1975.0"/>
        <n v="2021.0"/>
        <n v="2023.0"/>
        <n v="2016.0"/>
        <n v="2003.0"/>
        <n v="1983.0"/>
        <n v="1980.0"/>
        <n v="1979.0"/>
        <n v="2022.0"/>
        <n v="1964.0"/>
        <n v="1967.0"/>
        <n v="1966.0"/>
        <n v="1969.0"/>
        <n v="1965.0"/>
        <n v="1968.0"/>
        <n v="1957.0"/>
        <n v="2020.0"/>
        <n v="2019.0"/>
        <n v="1962.0"/>
        <n v="1978.0"/>
        <n v="1982.0"/>
        <n v="1973.0"/>
        <n v="1972.0"/>
        <n v="2015.0"/>
        <n v="2018.0"/>
        <n v="1959.0"/>
        <n v="1963.0"/>
        <n v="1977.0"/>
        <n v="2013.0"/>
        <n v="1981.0"/>
        <n v="1960.0"/>
        <n v="2009.0"/>
        <n v="2006.0"/>
        <n v="2001.0"/>
        <n v="2000.0"/>
        <n v="1985.0"/>
        <n v="1961.0"/>
        <n v="2010.0"/>
        <n v="1971.0"/>
        <n v="2002.0"/>
        <n v="2012.0"/>
        <n v="2017.0"/>
        <n v="2008.0"/>
        <n v="1997.0"/>
        <n v="1956.0"/>
        <n v="2004.0"/>
        <n v="1970.0"/>
        <n v="1955.0"/>
        <n v="1984.0"/>
        <n v="1998.0"/>
        <n v="1974.0"/>
        <n v="1976.0"/>
        <n v="1986.0"/>
        <n v="1999.0"/>
        <n v="2014.0"/>
        <n v="2007.0"/>
        <n v="2011.0"/>
        <m/>
      </sharedItems>
    </cacheField>
    <cacheField name="Year Issued" numFmtId="0">
      <sharedItems containsString="0" containsBlank="1" containsNumber="1" containsInteger="1">
        <n v="2021.0"/>
        <n v="2024.0"/>
        <n v="1975.0"/>
        <n v="2005.0"/>
        <n v="2023.0"/>
        <n v="2016.0"/>
        <m/>
        <n v="2022.0"/>
        <n v="1967.0"/>
        <n v="1964.0"/>
        <n v="1966.0"/>
        <n v="1969.0"/>
        <n v="1971.0"/>
        <n v="2009.0"/>
        <n v="1957.0"/>
        <n v="2020.0"/>
        <n v="2019.0"/>
        <n v="1965.0"/>
        <n v="2014.0"/>
        <n v="2015.0"/>
        <n v="1978.0"/>
        <n v="2018.0"/>
        <n v="1973.0"/>
        <n v="1977.0"/>
        <n v="1972.0"/>
        <n v="2013.0"/>
        <n v="1981.0"/>
        <n v="1986.0"/>
        <n v="1985.0"/>
        <n v="2010.0"/>
        <n v="1979.0"/>
        <n v="1982.0"/>
        <n v="1961.0"/>
        <n v="1963.0"/>
        <n v="1968.0"/>
        <n v="2012.0"/>
        <n v="2017.0"/>
        <n v="2008.0"/>
        <n v="2011.0"/>
        <n v="1984.0"/>
        <n v="1980.0"/>
        <n v="1974.0"/>
        <n v="1976.0"/>
        <n v="2007.0"/>
        <n v="2001.0"/>
        <n v="2003.0"/>
        <n v="1983.0"/>
      </sharedItems>
    </cacheField>
    <cacheField name="Record Company" numFmtId="0">
      <sharedItems containsBlank="1">
        <s v="Fueled By Ramen"/>
        <s v="Metal Department"/>
        <s v="Blue Note"/>
        <s v="CBS, Inc"/>
        <s v="Fat Wreck Chords"/>
        <s v="Aly &amp; AJ Music"/>
        <s v="Polyvinyl"/>
        <s v="Equal Vision Records"/>
        <s v="Warner Brothers Records"/>
        <s v="K-BAHN"/>
        <s v="Capitol Records"/>
        <s v="United Artists Records"/>
        <s v="EMI"/>
        <s v="Apple"/>
        <s v="Vox Productions"/>
        <s v="MGM"/>
        <s v="ATO Records"/>
        <s v="Limelight"/>
        <s v="Not Now Records"/>
        <s v="Dirty Hit"/>
        <s v="Atlantic"/>
        <s v="Parlophone"/>
        <s v="RCA"/>
        <s v="Triple Crown Records"/>
        <s v="Columbia Records"/>
        <s v="Deep Oceans"/>
        <s v="Jazz Wax Record"/>
        <s v="Little David Records"/>
        <s v="The Militia Group"/>
        <s v="Hickman Holler Records"/>
        <s v="Impulse"/>
        <s v="Tooth &amp; Nail Records"/>
        <s v="RSO Recodings, Inc"/>
        <s v="BMG"/>
        <s v="Hidden Note Records"/>
        <s v="Yes to Jazz"/>
        <s v="Barsuk Records"/>
        <s v="Disneyland Records"/>
        <s v="Universal"/>
        <s v="Walt Disney Records"/>
        <s v="BBC"/>
        <s v="Drive-Thru Records"/>
        <s v="Epic"/>
        <s v="Emery Music"/>
        <s v="Emeryland"/>
        <s v="Riverside"/>
        <s v="Sub Pop Records"/>
        <s v="Burger Records"/>
        <s v="Anti"/>
        <s v="Roswell Records"/>
        <s v="Elecktra Records"/>
        <s v="Vagrant Records"/>
        <s v="Verve Records"/>
        <s v="Reprise Records"/>
        <s v="Craft Recordings"/>
        <s v="Apple/EMI"/>
        <s v="Sony"/>
        <s v="Blues Joint"/>
        <s v="Southeastern Records"/>
        <s v="New West Records"/>
        <s v="Sham"/>
        <s v="604 Records"/>
        <s v="Geffen Records"/>
        <s v="MCA Nashville"/>
        <s v="PEG Records"/>
        <s v="Decca"/>
        <s v="Black Lion"/>
        <s v="Sony "/>
        <s v="Candid"/>
        <s v="A&amp;M Records"/>
        <s v="Virgin"/>
        <s v="Arista"/>
        <s v="Epitaph"/>
        <s v="Interscope"/>
        <s v="Transcontinental "/>
        <s v="No Quarter"/>
        <s v="Big Machine Records"/>
        <s v="Ventrella Records"/>
        <s v="Hollywood Records"/>
        <s v="HBYCO"/>
        <s v="Promotone"/>
        <s v="Jackpot Records"/>
        <s v="Dualtone"/>
        <s v="High Top Mountain"/>
        <s v="MCA Records"/>
        <s v="Badman"/>
        <s v="Power Records"/>
        <s v="Republic Records"/>
        <s v="Saddle Creek"/>
        <s v="Vertigo"/>
        <s v="Sub City Records"/>
        <s v="New Grass"/>
        <s v="Velocity"/>
        <s v="Mercury Records"/>
        <s v="Milestone Records"/>
        <s v="Island"/>
        <s v="TVZ Records"/>
        <s v="Secretly Canadian"/>
        <s v="Nonesuch Records"/>
        <s v="Diggers Factory"/>
        <s v="Bad Timing Records"/>
        <m/>
      </sharedItems>
    </cacheField>
    <cacheField name="Genre" numFmtId="0">
      <sharedItems containsBlank="1">
        <s v="Rock"/>
        <s v="Jazz"/>
        <s v="Pop"/>
        <s v="Christmas"/>
        <s v="Soundtrack"/>
        <s v="Classical"/>
        <s v="R&amp;B"/>
        <s v="Blues"/>
        <s v="Folk"/>
        <s v="Comedy"/>
        <s v="Country"/>
        <s v="Childrens"/>
        <s v="Indie"/>
        <m/>
      </sharedItems>
    </cacheField>
    <cacheField name="SubGenre" numFmtId="0">
      <sharedItems containsBlank="1">
        <s v="Emo"/>
        <s v="Indie Rock"/>
        <s v="Hard Bop"/>
        <s v="Classic Rock"/>
        <s v="Punk"/>
        <s v="post-teen pop"/>
        <s v="Zolo"/>
        <s v="Boyband"/>
        <s v="Soundtrack"/>
        <s v="Sunshine Pop"/>
        <s v="Early Romantic Era"/>
        <s v="Retro Soul"/>
        <s v="Bebop"/>
        <s v="Indie Pop"/>
        <s v="Blues Rock"/>
        <s v="Glam Rock"/>
        <s v="Jazz"/>
        <s v="Soul"/>
        <s v="Stop and Holler"/>
        <s v="Comedy"/>
        <s v="Pop Punk"/>
        <m/>
        <s v="Outlaw Country"/>
        <s v="Childrens"/>
        <s v="Alt Rock"/>
        <s v="New Wave"/>
        <s v="Disco"/>
        <s v="Lo-Fi"/>
        <s v="Power Pop"/>
        <s v="Stomp &amp; Holler"/>
        <s v="Rock"/>
        <s v="Metal"/>
        <s v="Americana"/>
        <s v="Dance Pop"/>
        <s v="Queer Country"/>
        <s v="Traditional Blues"/>
        <s v="Modern Blues Rock"/>
        <s v="Folk Rock"/>
        <s v="Country Dawn"/>
        <s v="Classic Country Pop"/>
        <s v="Rockabilly"/>
        <s v="Pop"/>
        <s v="Pop Soul"/>
        <s v="Soft Rock"/>
        <s v="Electronica"/>
        <s v="Modern Rock"/>
        <s v="Pop Rock"/>
        <s v="Alt Country"/>
        <s v="Synth Pop"/>
      </sharedItems>
    </cacheField>
    <cacheField name="Store Purchased" numFmtId="0">
      <sharedItems containsBlank="1">
        <s v="Reddit"/>
        <s v="Show Merch"/>
        <s v="Comeback Vinyl"/>
        <s v="Motorsoule Vintage"/>
        <s v="Vinyl Tap"/>
        <s v="Grimeys"/>
        <s v="Artist Merch"/>
        <s v="Criminal Records"/>
        <s v="Target"/>
        <s v="Gift"/>
        <s v="Media Slave"/>
        <s v="Phonoluxe"/>
        <s v="Vintage Dealer"/>
        <s v="Cheapo Records"/>
        <s v="Analog Your Life"/>
        <s v="Luna Record Shop"/>
        <s v="Electric Fetus"/>
        <s v="Unknown"/>
        <s v="Artist Website"/>
        <s v="Drastic Plastics"/>
        <s v="Great Escape"/>
        <s v="Hearts of Vinyl"/>
        <s v="Amazon"/>
        <s v="Indiedigs"/>
        <s v="McKays"/>
        <s v="Best Buy"/>
        <s v="Wax &amp; Facts"/>
        <s v="The Book House in Dinkytown"/>
        <m/>
        <s v="Gift - Lisa"/>
        <s v="Barns &amp; Nobels"/>
      </sharedItems>
    </cacheField>
    <cacheField name="Matt or Kieran?" numFmtId="0">
      <sharedItems containsBlank="1">
        <s v="Matt"/>
        <s v="Kieran"/>
        <m/>
      </sharedItems>
    </cacheField>
    <cacheField name="Notes" numFmtId="0">
      <sharedItems containsBlank="1">
        <m/>
        <s v="Autographed At Show"/>
        <s v="German Import"/>
        <s v="Have two copies of this"/>
        <s v="Pretty Beat Up"/>
        <s v="Promo Copy"/>
        <s v="Record Store Day 2018"/>
        <s v="Purchased At First Run Show"/>
        <s v="Promo Version"/>
        <s v="Picture Disk"/>
        <s v="FBR 25th anniversary pressing"/>
        <s v="Limited Endition Gold Vinyl"/>
        <s v="Record Store Day 2009 Version"/>
        <s v="50th Anniversary Edition"/>
        <s v="Promo Release"/>
        <s v="Contest Winner"/>
        <s v="Record Store Day 2018, Picture Disk, Japan Import"/>
        <s v="Vinyl Me, Please Exclusive Pressing"/>
        <s v="Record Store Day Picture Disk"/>
        <s v="With Unusual 3 Sided Pressing"/>
        <s v="Box Set"/>
        <s v="Signed"/>
        <s v="Record Store Day 2019"/>
        <s v="&quot;File Name: The Manuscript&quot;, RSD 2024 Letter"/>
        <s v="Rose Garden Pink Version"/>
        <s v="20th Anniversary Edition"/>
        <s v="Record Store Day 2016"/>
      </sharedItems>
    </cacheField>
    <cacheField name="Decade" numFmtId="0">
      <sharedItems>
        <s v="2000s"/>
        <s v="2020s"/>
        <s v="1950s"/>
        <s v="1970s"/>
        <s v="2010s"/>
        <s v="1980s"/>
        <s v="1960s"/>
        <s v="1990s"/>
        <e v="#N/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iot Tables" cacheId="0" dataCaption="" rowGrandTotals="0" compact="0" compactData="0">
  <location ref="A1:B15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axis="axisRow" dataField="1" compact="0" outline="0" multipleItemSelectionAllowed="1" showAll="0" sortType="ascending">
      <items>
        <item x="13"/>
        <item x="7"/>
        <item x="11"/>
        <item x="3"/>
        <item x="5"/>
        <item x="9"/>
        <item x="10"/>
        <item x="8"/>
        <item x="12"/>
        <item x="1"/>
        <item x="2"/>
        <item x="6"/>
        <item x="0"/>
        <item x="4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6"/>
  </rowFields>
  <dataFields>
    <dataField name="Total" fld="6" subtotal="count" baseField="0"/>
  </dataFields>
</pivotTableDefinition>
</file>

<file path=xl/pivotTables/pivotTable2.xml><?xml version="1.0" encoding="utf-8"?>
<pivotTableDefinition xmlns="http://schemas.openxmlformats.org/spreadsheetml/2006/main" name="Piviot Tables 2" cacheId="0" dataCaption="" rowGrandTotals="0" compact="0" compactData="0">
  <location ref="G1:H10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axis="axisRow" dataField="1" compact="0" outline="0" multipleItemSelectionAllowed="1" showAll="0" sortType="ascending">
      <items>
        <item x="2"/>
        <item x="6"/>
        <item x="3"/>
        <item x="5"/>
        <item x="7"/>
        <item x="0"/>
        <item x="4"/>
        <item x="1"/>
        <item x="8"/>
        <item t="default"/>
      </items>
    </pivotField>
  </pivotFields>
  <rowFields>
    <field x="11"/>
  </rowFields>
  <dataFields>
    <dataField name="COUNTA of Decade" fld="11" subtotal="count" baseField="0"/>
  </dataFields>
</pivotTableDefinition>
</file>

<file path=xl/pivotTables/pivotTable3.xml><?xml version="1.0" encoding="utf-8"?>
<pivotTableDefinition xmlns="http://schemas.openxmlformats.org/spreadsheetml/2006/main" name="Piviot Tables 3" cacheId="0" dataCaption="" rowGrandTotals="0" compact="0" compactData="0">
  <location ref="J1:K32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8"/>
  </rowFields>
  <dataFields>
    <dataField name="COUNTA of Store Purchased" fld="8" subtotal="count" baseField="0"/>
  </dataFields>
</pivotTableDefinition>
</file>

<file path=xl/pivotTables/pivotTable4.xml><?xml version="1.0" encoding="utf-8"?>
<pivotTableDefinition xmlns="http://schemas.openxmlformats.org/spreadsheetml/2006/main" name="Piviot Tables 4" cacheId="0" dataCaption="" compact="0" compactData="0">
  <location ref="M1:N5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axis="axisRow" dataField="1" compact="0" outline="0" multipleItemSelectionAllowed="1" showAll="0" sortType="ascending">
      <items>
        <item x="2"/>
        <item x="1"/>
        <item x="0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9"/>
  </rowFields>
  <dataFields>
    <dataField name="COUNTA of Matt or Kieran?" fld="9" subtotal="count" baseField="0"/>
  </dataFields>
</pivotTableDefinition>
</file>

<file path=xl/pivotTables/pivotTable5.xml><?xml version="1.0" encoding="utf-8"?>
<pivotTableDefinition xmlns="http://schemas.openxmlformats.org/spreadsheetml/2006/main" name="Piviot Tables 5" cacheId="0" dataCaption="" compact="0" compactData="0">
  <location ref="P1:Q104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5"/>
  </rowFields>
  <dataFields>
    <dataField name="COUNTA of Record Company" fld="5" subtotal="count" baseField="0"/>
  </dataFields>
</pivotTableDefinition>
</file>

<file path=xl/pivotTables/pivotTable6.xml><?xml version="1.0" encoding="utf-8"?>
<pivotTableDefinition xmlns="http://schemas.openxmlformats.org/spreadsheetml/2006/main" name="Piviot Tables 6" cacheId="0" dataCaption="" compact="0" compactData="0">
  <location ref="A18:B68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axis="axisRow" dataField="1" compact="0" outline="0" multipleItemSelectionAllowed="1" showAll="0" sortType="ascending">
      <items>
        <item x="21"/>
        <item x="47"/>
        <item x="24"/>
        <item x="32"/>
        <item x="12"/>
        <item x="14"/>
        <item x="7"/>
        <item x="23"/>
        <item x="39"/>
        <item x="3"/>
        <item x="19"/>
        <item x="38"/>
        <item x="33"/>
        <item x="26"/>
        <item x="10"/>
        <item x="44"/>
        <item x="0"/>
        <item x="37"/>
        <item x="15"/>
        <item x="2"/>
        <item x="13"/>
        <item x="1"/>
        <item x="16"/>
        <item x="27"/>
        <item x="31"/>
        <item x="36"/>
        <item x="45"/>
        <item x="25"/>
        <item x="22"/>
        <item x="41"/>
        <item x="20"/>
        <item x="46"/>
        <item x="42"/>
        <item x="5"/>
        <item x="28"/>
        <item x="4"/>
        <item x="34"/>
        <item x="11"/>
        <item x="30"/>
        <item x="40"/>
        <item x="43"/>
        <item x="17"/>
        <item x="8"/>
        <item x="29"/>
        <item x="18"/>
        <item x="9"/>
        <item x="48"/>
        <item x="35"/>
        <item x="6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7"/>
  </rowFields>
  <dataFields>
    <dataField name="COUNTA of SubGenre" fld="7" subtotal="count" baseField="0"/>
  </dataFields>
</pivotTableDefinition>
</file>

<file path=xl/pivotTables/pivotTable7.xml><?xml version="1.0" encoding="utf-8"?>
<pivotTableDefinition xmlns="http://schemas.openxmlformats.org/spreadsheetml/2006/main" name="Piviot Tables 7" cacheId="0" dataCaption="" compact="0" compactData="0">
  <location ref="A69:B224" firstHeaderRow="0" firstDataRow="1" firstDataCol="0"/>
  <pivotFields>
    <pivotField name="ID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rtist" axis="axisRow" dataField="1" compact="0" outline="0" multipleItemSelectionAllowed="1" showAll="0" sortType="ascending">
      <items>
        <item x="153"/>
        <item x="0"/>
        <item x="15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149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151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52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Album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Original Rel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Issu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Record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ub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tore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att or Kieran?" compact="0" outline="0" multipleItemSelectionAllowed="1" showAll="0">
      <items>
        <item x="0"/>
        <item x="1"/>
        <item x="2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c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1"/>
  </rowFields>
  <dataFields>
    <dataField name="COUNTA of Artist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26.43"/>
    <col customWidth="1" min="3" max="3" width="67.86"/>
    <col customWidth="1" min="4" max="4" width="15.14"/>
    <col customWidth="1" min="5" max="5" width="10.86"/>
    <col customWidth="1" min="6" max="6" width="23.0"/>
    <col customWidth="1" min="7" max="8" width="11.0"/>
    <col customWidth="1" min="9" max="9" width="27.14"/>
    <col customWidth="1" min="10" max="10" width="10.29"/>
    <col customWidth="1" min="11" max="11" width="44.57"/>
    <col customWidth="1" min="12" max="17" width="8.71"/>
    <col customWidth="1" min="18" max="18" width="12.43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ht="14.25" customHeight="1">
      <c r="A2" s="1" t="str">
        <f>IFERROR(__xludf.DUMMYFUNCTION("LEFT(REGEXREPLACE(B2, ""[^A-Za-z]"", """"), 3) &amp; RIGHT(D2, 2) &amp; LEFT(REGEXREPLACE(C2, ""[^A-Za-z]"", """"), 3)"),"Aca05Alm")</f>
        <v>Aca05Alm</v>
      </c>
      <c r="B2" s="2" t="s">
        <v>12</v>
      </c>
      <c r="C2" s="2" t="s">
        <v>13</v>
      </c>
      <c r="D2" s="2">
        <v>2005.0</v>
      </c>
      <c r="E2" s="2">
        <v>2021.0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L2" s="1" t="str">
        <f t="array" ref="L2">XLOOKUP(D2,'Other Data Fuckery'!$A$2:$A$101, 'Other Data Fuckery'!$B$2:$B$101)</f>
        <v>2000s</v>
      </c>
    </row>
    <row r="3" ht="14.25" customHeight="1">
      <c r="A3" s="1" t="str">
        <f>IFERROR(__xludf.DUMMYFUNCTION("LEFT(REGEXREPLACE(B3, ""[^A-Za-z]"", """"), 3) &amp; RIGHT(D3, 2) &amp; LEFT(REGEXREPLACE(C3, ""[^A-Za-z]"", """"), 3)"),"Ada24Hur")</f>
        <v>Ada24Hur</v>
      </c>
      <c r="B3" s="2" t="s">
        <v>19</v>
      </c>
      <c r="C3" s="2" t="s">
        <v>20</v>
      </c>
      <c r="D3" s="2">
        <v>2024.0</v>
      </c>
      <c r="E3" s="2">
        <v>2024.0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24</v>
      </c>
      <c r="K3" s="2" t="s">
        <v>25</v>
      </c>
      <c r="L3" s="1" t="str">
        <f t="array" ref="L3">XLOOKUP(D3,'Other Data Fuckery'!$A$2:$A$101, 'Other Data Fuckery'!$B$2:$B$101)</f>
        <v>2020s</v>
      </c>
    </row>
    <row r="4" ht="14.25" customHeight="1">
      <c r="A4" s="1" t="str">
        <f>IFERROR(__xludf.DUMMYFUNCTION("LEFT(REGEXREPLACE(B4, ""[^A-Za-z]"", """"), 3) &amp; RIGHT(D4, 2) &amp; LEFT(REGEXREPLACE(C4, ""[^A-Za-z]"", """"), 3)"),"Add58Som")</f>
        <v>Add58Som</v>
      </c>
      <c r="B4" s="1" t="s">
        <v>26</v>
      </c>
      <c r="C4" s="1" t="s">
        <v>27</v>
      </c>
      <c r="D4" s="1">
        <v>1958.0</v>
      </c>
      <c r="E4" s="1">
        <v>2021.0</v>
      </c>
      <c r="F4" s="1" t="s">
        <v>28</v>
      </c>
      <c r="G4" s="2" t="s">
        <v>29</v>
      </c>
      <c r="H4" s="2" t="s">
        <v>30</v>
      </c>
      <c r="I4" s="1" t="s">
        <v>31</v>
      </c>
      <c r="J4" s="2" t="s">
        <v>18</v>
      </c>
      <c r="L4" s="1" t="str">
        <f t="array" ref="L4">XLOOKUP(D4,'Other Data Fuckery'!$A$2:$A$101, 'Other Data Fuckery'!$B$2:$B$101)</f>
        <v>1950s</v>
      </c>
    </row>
    <row r="5" ht="14.25" customHeight="1">
      <c r="A5" s="1" t="str">
        <f>IFERROR(__xludf.DUMMYFUNCTION("LEFT(REGEXREPLACE(B5, ""[^A-Za-z]"", """"), 3) &amp; RIGHT(D5, 2) &amp; LEFT(REGEXREPLACE(C5, ""[^A-Za-z]"", """"), 3)"),"Aer75Toy")</f>
        <v>Aer75Toy</v>
      </c>
      <c r="B5" s="2" t="s">
        <v>32</v>
      </c>
      <c r="C5" s="2" t="s">
        <v>33</v>
      </c>
      <c r="D5" s="2">
        <v>1975.0</v>
      </c>
      <c r="E5" s="2">
        <v>1975.0</v>
      </c>
      <c r="F5" s="2" t="s">
        <v>34</v>
      </c>
      <c r="G5" s="2" t="s">
        <v>15</v>
      </c>
      <c r="H5" s="2" t="s">
        <v>35</v>
      </c>
      <c r="I5" s="2" t="s">
        <v>36</v>
      </c>
      <c r="J5" s="2" t="s">
        <v>18</v>
      </c>
      <c r="L5" s="1" t="str">
        <f t="array" ref="L5">XLOOKUP(D5,'Other Data Fuckery'!$A$2:$A$101, 'Other Data Fuckery'!$B$2:$B$101)</f>
        <v>1970s</v>
      </c>
      <c r="R5" s="3" t="s">
        <v>37</v>
      </c>
    </row>
    <row r="6" ht="14.25" customHeight="1">
      <c r="A6" s="1" t="str">
        <f>IFERROR(__xludf.DUMMYFUNCTION("LEFT(REGEXREPLACE(B6, ""[^A-Za-z]"", """"), 3) &amp; RIGHT(D6, 2) &amp; LEFT(REGEXREPLACE(C6, ""[^A-Za-z]"", """"), 3)"),"Aga05Sea")</f>
        <v>Aga05Sea</v>
      </c>
      <c r="B6" s="2" t="s">
        <v>38</v>
      </c>
      <c r="C6" s="2" t="s">
        <v>39</v>
      </c>
      <c r="D6" s="2">
        <v>2005.0</v>
      </c>
      <c r="E6" s="2">
        <v>2005.0</v>
      </c>
      <c r="F6" s="2" t="s">
        <v>40</v>
      </c>
      <c r="G6" s="2" t="s">
        <v>15</v>
      </c>
      <c r="H6" s="2" t="s">
        <v>41</v>
      </c>
      <c r="I6" s="2" t="s">
        <v>42</v>
      </c>
      <c r="J6" s="2" t="s">
        <v>18</v>
      </c>
      <c r="L6" s="1" t="str">
        <f t="array" ref="L6">XLOOKUP(D6,'Other Data Fuckery'!$A$2:$A$101, 'Other Data Fuckery'!$B$2:$B$101)</f>
        <v>2000s</v>
      </c>
      <c r="Q6" s="3" t="s">
        <v>24</v>
      </c>
      <c r="R6" s="1">
        <f>countif(J2:J1063, "*Kieran*")</f>
        <v>92</v>
      </c>
    </row>
    <row r="7" ht="14.25" customHeight="1">
      <c r="A7" s="1" t="str">
        <f>IFERROR(__xludf.DUMMYFUNCTION("LEFT(REGEXREPLACE(B7, ""[^A-Za-z]"", """"), 3) &amp; RIGHT(D7, 2) &amp; LEFT(REGEXREPLACE(C7, ""[^A-Za-z]"", """"), 3)"),"Aly21ATo")</f>
        <v>Aly21ATo</v>
      </c>
      <c r="B7" s="1" t="s">
        <v>43</v>
      </c>
      <c r="C7" s="1" t="s">
        <v>44</v>
      </c>
      <c r="D7" s="1">
        <v>2021.0</v>
      </c>
      <c r="E7" s="1">
        <v>2021.0</v>
      </c>
      <c r="F7" s="2" t="s">
        <v>45</v>
      </c>
      <c r="G7" s="2" t="s">
        <v>46</v>
      </c>
      <c r="H7" s="2" t="s">
        <v>47</v>
      </c>
      <c r="I7" s="2" t="s">
        <v>23</v>
      </c>
      <c r="J7" s="2" t="s">
        <v>24</v>
      </c>
      <c r="L7" s="1" t="str">
        <f t="array" ref="L7">XLOOKUP(D7,'Other Data Fuckery'!$A$2:$A$101, 'Other Data Fuckery'!$B$2:$B$101)</f>
        <v>2020s</v>
      </c>
      <c r="Q7" s="3" t="s">
        <v>18</v>
      </c>
      <c r="R7" s="1">
        <f>countif(J2:J1063, "*Matt*")</f>
        <v>178</v>
      </c>
    </row>
    <row r="8" ht="14.25" customHeight="1">
      <c r="A8" s="1" t="str">
        <f>IFERROR(__xludf.DUMMYFUNCTION("LEFT(REGEXREPLACE(B8, ""[^A-Za-z]"", """"), 3) &amp; RIGHT(D8, 2) &amp; LEFT(REGEXREPLACE(C8, ""[^A-Za-z]"", """"), 3)"),"Aly23Wit")</f>
        <v>Aly23Wit</v>
      </c>
      <c r="B8" s="1" t="s">
        <v>43</v>
      </c>
      <c r="C8" s="1" t="s">
        <v>48</v>
      </c>
      <c r="D8" s="1">
        <v>2023.0</v>
      </c>
      <c r="E8" s="1">
        <v>2023.0</v>
      </c>
      <c r="F8" s="2" t="s">
        <v>45</v>
      </c>
      <c r="G8" s="2" t="s">
        <v>46</v>
      </c>
      <c r="H8" s="2" t="s">
        <v>47</v>
      </c>
      <c r="I8" s="2" t="s">
        <v>23</v>
      </c>
      <c r="J8" s="2" t="s">
        <v>24</v>
      </c>
      <c r="L8" s="1" t="str">
        <f t="array" ref="L8">XLOOKUP(D8,'Other Data Fuckery'!$A$2:$A$101, 'Other Data Fuckery'!$B$2:$B$101)</f>
        <v>2020s</v>
      </c>
      <c r="Q8" s="3" t="s">
        <v>49</v>
      </c>
      <c r="R8" s="1">
        <f>SUM(R6:R7)</f>
        <v>270</v>
      </c>
    </row>
    <row r="9" ht="14.25" customHeight="1">
      <c r="A9" s="1" t="str">
        <f>IFERROR(__xludf.DUMMYFUNCTION("LEFT(REGEXREPLACE(B9, ""[^A-Za-z]"", """"), 3) &amp; RIGHT(D9, 2) &amp; LEFT(REGEXREPLACE(C9, ""[^A-Za-z]"", """"), 3)"),"Ame16Ame")</f>
        <v>Ame16Ame</v>
      </c>
      <c r="B9" s="1" t="s">
        <v>50</v>
      </c>
      <c r="C9" s="1" t="s">
        <v>51</v>
      </c>
      <c r="D9" s="1">
        <v>2016.0</v>
      </c>
      <c r="E9" s="1">
        <v>2016.0</v>
      </c>
      <c r="F9" s="1" t="s">
        <v>52</v>
      </c>
      <c r="G9" s="2" t="s">
        <v>15</v>
      </c>
      <c r="H9" s="2" t="s">
        <v>16</v>
      </c>
      <c r="I9" s="1" t="s">
        <v>53</v>
      </c>
      <c r="J9" s="2" t="s">
        <v>18</v>
      </c>
      <c r="L9" s="1" t="str">
        <f t="array" ref="L9">XLOOKUP(D9,'Other Data Fuckery'!$A$2:$A$101, 'Other Data Fuckery'!$B$2:$B$101)</f>
        <v>2010s</v>
      </c>
    </row>
    <row r="10" ht="14.25" customHeight="1">
      <c r="A10" s="1" t="str">
        <f>IFERROR(__xludf.DUMMYFUNCTION("LEFT(REGEXREPLACE(B10, ""[^A-Za-z]"", """"), 3) &amp; RIGHT(D10, 2) &amp; LEFT(REGEXREPLACE(C10, ""[^A-Za-z]"", """"), 3)"),"Arm05Wha")</f>
        <v>Arm05Wha</v>
      </c>
      <c r="B10" s="2" t="s">
        <v>54</v>
      </c>
      <c r="C10" s="2" t="s">
        <v>55</v>
      </c>
      <c r="D10" s="2">
        <v>2005.0</v>
      </c>
      <c r="E10" s="2">
        <v>2023.0</v>
      </c>
      <c r="F10" s="2" t="s">
        <v>56</v>
      </c>
      <c r="G10" s="2" t="s">
        <v>15</v>
      </c>
      <c r="H10" s="2" t="s">
        <v>16</v>
      </c>
      <c r="I10" s="2" t="s">
        <v>57</v>
      </c>
      <c r="J10" s="2" t="s">
        <v>18</v>
      </c>
      <c r="L10" s="1" t="str">
        <f t="array" ref="L10">XLOOKUP(D10,'Other Data Fuckery'!$A$2:$A$101, 'Other Data Fuckery'!$B$2:$B$101)</f>
        <v>2000s</v>
      </c>
    </row>
    <row r="11" ht="14.25" customHeight="1">
      <c r="A11" s="1" t="str">
        <f>IFERROR(__xludf.DUMMYFUNCTION("LEFT(REGEXREPLACE(B11, ""[^A-Za-z]"", """"), 3) &amp; RIGHT(D11, 2) &amp; LEFT(REGEXREPLACE(C11, ""[^A-Za-z]"", """"), 3)"),"Arm03Dre")</f>
        <v>Arm03Dre</v>
      </c>
      <c r="B11" s="2" t="s">
        <v>54</v>
      </c>
      <c r="C11" s="2" t="s">
        <v>58</v>
      </c>
      <c r="D11" s="2">
        <v>2003.0</v>
      </c>
      <c r="F11" s="2" t="s">
        <v>56</v>
      </c>
      <c r="G11" s="2" t="s">
        <v>15</v>
      </c>
      <c r="H11" s="2" t="s">
        <v>16</v>
      </c>
      <c r="I11" s="2" t="s">
        <v>17</v>
      </c>
      <c r="J11" s="2" t="s">
        <v>18</v>
      </c>
      <c r="L11" s="1" t="str">
        <f t="array" ref="L11">XLOOKUP(D11,'Other Data Fuckery'!$A$2:$A$101, 'Other Data Fuckery'!$B$2:$B$101)</f>
        <v>2000s</v>
      </c>
    </row>
    <row r="12" ht="14.25" customHeight="1">
      <c r="A12" s="1" t="str">
        <f>IFERROR(__xludf.DUMMYFUNCTION("LEFT(REGEXREPLACE(B12, ""[^A-Za-z]"", """"), 3) &amp; RIGHT(D12, 2) &amp; LEFT(REGEXREPLACE(C12, ""[^A-Za-z]"", """"), 3)"),"Bst83Wha")</f>
        <v>Bst83Wha</v>
      </c>
      <c r="B12" s="2" t="s">
        <v>59</v>
      </c>
      <c r="C12" s="2" t="s">
        <v>60</v>
      </c>
      <c r="D12" s="2">
        <v>1983.0</v>
      </c>
      <c r="E12" s="2">
        <v>2023.0</v>
      </c>
      <c r="F12" s="2" t="s">
        <v>61</v>
      </c>
      <c r="G12" s="2" t="s">
        <v>15</v>
      </c>
      <c r="H12" s="2" t="s">
        <v>62</v>
      </c>
      <c r="I12" s="2" t="s">
        <v>63</v>
      </c>
      <c r="J12" s="2" t="s">
        <v>24</v>
      </c>
      <c r="L12" s="1" t="str">
        <f t="array" ref="L12">XLOOKUP(D12,'Other Data Fuckery'!$A$2:$A$101, 'Other Data Fuckery'!$B$2:$B$101)</f>
        <v>1980s</v>
      </c>
    </row>
    <row r="13" ht="14.25" customHeight="1">
      <c r="A13" s="1" t="str">
        <f>IFERROR(__xludf.DUMMYFUNCTION("LEFT(REGEXREPLACE(B13, ""[^A-Za-z]"", """"), 3) &amp; RIGHT(D13, 2) &amp; LEFT(REGEXREPLACE(C13, ""[^A-Za-z]"", """"), 3)"),"BsT80Wil")</f>
        <v>BsT80Wil</v>
      </c>
      <c r="B13" s="2" t="s">
        <v>64</v>
      </c>
      <c r="C13" s="1" t="s">
        <v>65</v>
      </c>
      <c r="D13" s="1">
        <v>1980.0</v>
      </c>
      <c r="E13" s="1">
        <v>2021.0</v>
      </c>
      <c r="F13" s="2" t="s">
        <v>61</v>
      </c>
      <c r="G13" s="2" t="s">
        <v>15</v>
      </c>
      <c r="H13" s="2" t="s">
        <v>62</v>
      </c>
      <c r="I13" s="1" t="s">
        <v>53</v>
      </c>
      <c r="J13" s="2" t="s">
        <v>24</v>
      </c>
      <c r="L13" s="1" t="str">
        <f t="array" ref="L13">XLOOKUP(D13,'Other Data Fuckery'!$A$2:$A$101, 'Other Data Fuckery'!$B$2:$B$101)</f>
        <v>1980s</v>
      </c>
    </row>
    <row r="14" ht="14.25" customHeight="1">
      <c r="A14" s="1" t="str">
        <f>IFERROR(__xludf.DUMMYFUNCTION("LEFT(REGEXREPLACE(B14, ""[^A-Za-z]"", """"), 3) &amp; RIGHT(D14, 2) &amp; LEFT(REGEXREPLACE(C14, ""[^A-Za-z]"", """"), 3)"),"BsT79The")</f>
        <v>BsT79The</v>
      </c>
      <c r="B14" s="2" t="s">
        <v>64</v>
      </c>
      <c r="C14" s="2" t="s">
        <v>66</v>
      </c>
      <c r="D14" s="2">
        <v>1979.0</v>
      </c>
      <c r="E14" s="2">
        <v>2022.0</v>
      </c>
      <c r="F14" s="2" t="s">
        <v>61</v>
      </c>
      <c r="G14" s="2" t="s">
        <v>15</v>
      </c>
      <c r="H14" s="2" t="s">
        <v>62</v>
      </c>
      <c r="I14" s="2" t="s">
        <v>31</v>
      </c>
      <c r="J14" s="2" t="s">
        <v>24</v>
      </c>
      <c r="L14" s="1" t="str">
        <f t="array" ref="L14">XLOOKUP(D14,'Other Data Fuckery'!$A$2:$A$101, 'Other Data Fuckery'!$B$2:$B$101)</f>
        <v>1970s</v>
      </c>
    </row>
    <row r="15" ht="14.25" customHeight="1">
      <c r="A15" s="1" t="str">
        <f>IFERROR(__xludf.DUMMYFUNCTION("LEFT(REGEXREPLACE(B15, ""[^A-Za-z]"", """"), 3) &amp; RIGHT(D15, 2) &amp; LEFT(REGEXREPLACE(C15, ""[^A-Za-z]"", """"), 3)"),"Bac22AVe")</f>
        <v>Bac22AVe</v>
      </c>
      <c r="B15" s="2" t="s">
        <v>67</v>
      </c>
      <c r="C15" s="2" t="s">
        <v>68</v>
      </c>
      <c r="D15" s="2">
        <v>2022.0</v>
      </c>
      <c r="E15" s="2">
        <v>2022.0</v>
      </c>
      <c r="F15" s="2" t="s">
        <v>69</v>
      </c>
      <c r="G15" s="2" t="s">
        <v>70</v>
      </c>
      <c r="H15" s="2" t="s">
        <v>71</v>
      </c>
      <c r="I15" s="2" t="s">
        <v>72</v>
      </c>
      <c r="J15" s="2" t="s">
        <v>24</v>
      </c>
      <c r="L15" s="1" t="str">
        <f t="array" ref="L15">XLOOKUP(D15,'Other Data Fuckery'!$A$2:$A$101, 'Other Data Fuckery'!$B$2:$B$101)</f>
        <v>2020s</v>
      </c>
    </row>
    <row r="16" ht="14.25" customHeight="1">
      <c r="A16" s="1" t="str">
        <f>IFERROR(__xludf.DUMMYFUNCTION("LEFT(REGEXREPLACE(B16, ""[^A-Za-z]"", """"), 3) &amp; RIGHT(D16, 2) &amp; LEFT(REGEXREPLACE(C16, ""[^A-Za-z]"", """"), 3)"),"Bar23Bar")</f>
        <v>Bar23Bar</v>
      </c>
      <c r="B16" s="2" t="s">
        <v>73</v>
      </c>
      <c r="C16" s="2" t="s">
        <v>74</v>
      </c>
      <c r="D16" s="2">
        <v>2023.0</v>
      </c>
      <c r="E16" s="2">
        <v>2023.0</v>
      </c>
      <c r="F16" s="1" t="s">
        <v>61</v>
      </c>
      <c r="G16" s="2" t="s">
        <v>75</v>
      </c>
      <c r="H16" s="2" t="s">
        <v>75</v>
      </c>
      <c r="I16" s="2" t="s">
        <v>42</v>
      </c>
      <c r="J16" s="2" t="s">
        <v>24</v>
      </c>
      <c r="L16" s="1" t="str">
        <f t="array" ref="L16">XLOOKUP(D16,'Other Data Fuckery'!$A$2:$A$101, 'Other Data Fuckery'!$B$2:$B$101)</f>
        <v>2020s</v>
      </c>
    </row>
    <row r="17" ht="14.25" customHeight="1">
      <c r="A17" s="1" t="str">
        <f>IFERROR(__xludf.DUMMYFUNCTION("LEFT(REGEXREPLACE(B17, ""[^A-Za-z]"", """"), 3) &amp; RIGHT(D17, 2) &amp; LEFT(REGEXREPLACE(C17, ""[^A-Za-z]"", """"), 3)"),"Bea64The")</f>
        <v>Bea64The</v>
      </c>
      <c r="B17" s="2" t="s">
        <v>76</v>
      </c>
      <c r="C17" s="1" t="s">
        <v>77</v>
      </c>
      <c r="D17" s="1">
        <v>1964.0</v>
      </c>
      <c r="F17" s="1" t="s">
        <v>78</v>
      </c>
      <c r="G17" s="2" t="s">
        <v>70</v>
      </c>
      <c r="H17" s="2" t="s">
        <v>79</v>
      </c>
      <c r="I17" s="1" t="s">
        <v>31</v>
      </c>
      <c r="J17" s="2" t="s">
        <v>24</v>
      </c>
      <c r="K17" s="1" t="s">
        <v>80</v>
      </c>
      <c r="L17" s="1" t="str">
        <f t="array" ref="L17">XLOOKUP(D17,'Other Data Fuckery'!$A$2:$A$101, 'Other Data Fuckery'!$B$2:$B$101)</f>
        <v>1960s</v>
      </c>
    </row>
    <row r="18" ht="14.25" customHeight="1">
      <c r="A18" s="1" t="str">
        <f>IFERROR(__xludf.DUMMYFUNCTION("LEFT(REGEXREPLACE(B18, ""[^A-Za-z]"", """"), 3) &amp; RIGHT(D18, 2) &amp; LEFT(REGEXREPLACE(C18, ""[^A-Za-z]"", """"), 3)"),"Bea67Sgt")</f>
        <v>Bea67Sgt</v>
      </c>
      <c r="B18" s="2" t="s">
        <v>81</v>
      </c>
      <c r="C18" s="1" t="s">
        <v>82</v>
      </c>
      <c r="D18" s="1">
        <v>1967.0</v>
      </c>
      <c r="E18" s="1">
        <v>1967.0</v>
      </c>
      <c r="F18" s="1" t="s">
        <v>78</v>
      </c>
      <c r="G18" s="1" t="s">
        <v>15</v>
      </c>
      <c r="H18" s="2" t="s">
        <v>35</v>
      </c>
      <c r="I18" s="2" t="s">
        <v>83</v>
      </c>
      <c r="J18" s="2" t="s">
        <v>18</v>
      </c>
      <c r="K18" s="1" t="s">
        <v>84</v>
      </c>
      <c r="L18" s="1" t="str">
        <f t="array" ref="L18">XLOOKUP(D18,'Other Data Fuckery'!$A$2:$A$101, 'Other Data Fuckery'!$B$2:$B$101)</f>
        <v>1960s</v>
      </c>
    </row>
    <row r="19" ht="14.25" customHeight="1">
      <c r="A19" s="1" t="str">
        <f>IFERROR(__xludf.DUMMYFUNCTION("LEFT(REGEXREPLACE(B19, ""[^A-Za-z]"", """"), 3) &amp; RIGHT(D19, 2) &amp; LEFT(REGEXREPLACE(C19, ""[^A-Za-z]"", """"), 3)"),"Bea67Mag")</f>
        <v>Bea67Mag</v>
      </c>
      <c r="B19" s="2" t="s">
        <v>85</v>
      </c>
      <c r="C19" s="1" t="s">
        <v>86</v>
      </c>
      <c r="D19" s="1">
        <v>1967.0</v>
      </c>
      <c r="E19" s="1">
        <v>1967.0</v>
      </c>
      <c r="F19" s="1" t="s">
        <v>78</v>
      </c>
      <c r="G19" s="1" t="s">
        <v>15</v>
      </c>
      <c r="H19" s="2" t="s">
        <v>35</v>
      </c>
      <c r="I19" s="2" t="s">
        <v>87</v>
      </c>
      <c r="J19" s="2" t="s">
        <v>24</v>
      </c>
      <c r="K19" s="1" t="s">
        <v>88</v>
      </c>
      <c r="L19" s="1" t="str">
        <f t="array" ref="L19">XLOOKUP(D19,'Other Data Fuckery'!$A$2:$A$101, 'Other Data Fuckery'!$B$2:$B$101)</f>
        <v>1960s</v>
      </c>
    </row>
    <row r="20" ht="14.25" customHeight="1">
      <c r="A20" s="2" t="s">
        <v>89</v>
      </c>
      <c r="B20" s="2" t="s">
        <v>90</v>
      </c>
      <c r="C20" s="2" t="s">
        <v>91</v>
      </c>
      <c r="D20" s="2">
        <v>1964.0</v>
      </c>
      <c r="E20" s="2">
        <v>1964.0</v>
      </c>
      <c r="F20" s="2" t="s">
        <v>92</v>
      </c>
      <c r="G20" s="2" t="s">
        <v>15</v>
      </c>
      <c r="H20" s="2" t="s">
        <v>35</v>
      </c>
      <c r="I20" s="2" t="s">
        <v>36</v>
      </c>
      <c r="J20" s="2" t="s">
        <v>18</v>
      </c>
      <c r="L20" s="1" t="str">
        <f t="array" ref="L20">XLOOKUP(D20,'Other Data Fuckery'!$A$2:$A$101, 'Other Data Fuckery'!$B$2:$B$101)</f>
        <v>1960s</v>
      </c>
    </row>
    <row r="21" ht="14.25" customHeight="1">
      <c r="A21" s="1" t="str">
        <f>IFERROR(__xludf.DUMMYFUNCTION("LEFT(REGEXREPLACE(B21, ""[^A-Za-z]"", """"), 3) &amp; RIGHT(D21, 2) &amp; LEFT(REGEXREPLACE(C21, ""[^A-Za-z]"", """"), 3)"),"Bea64Bea")</f>
        <v>Bea64Bea</v>
      </c>
      <c r="B21" s="2" t="s">
        <v>93</v>
      </c>
      <c r="C21" s="1" t="s">
        <v>94</v>
      </c>
      <c r="D21" s="1">
        <v>1964.0</v>
      </c>
      <c r="E21" s="1">
        <v>1964.0</v>
      </c>
      <c r="F21" s="1" t="s">
        <v>95</v>
      </c>
      <c r="G21" s="1" t="s">
        <v>15</v>
      </c>
      <c r="H21" s="2" t="s">
        <v>35</v>
      </c>
      <c r="I21" s="1" t="s">
        <v>96</v>
      </c>
      <c r="J21" s="2" t="s">
        <v>24</v>
      </c>
      <c r="L21" s="1" t="str">
        <f t="array" ref="L21">XLOOKUP(D21,'Other Data Fuckery'!$A$2:$A$101, 'Other Data Fuckery'!$B$2:$B$101)</f>
        <v>1960s</v>
      </c>
    </row>
    <row r="22" ht="14.25" customHeight="1">
      <c r="A22" s="1" t="str">
        <f>IFERROR(__xludf.DUMMYFUNCTION("LEFT(REGEXREPLACE(B22, ""[^A-Za-z]"", """"), 3) &amp; RIGHT(D22, 2) &amp; LEFT(REGEXREPLACE(C22, ""[^A-Za-z]"", """"), 3)"),"Bea64Mee")</f>
        <v>Bea64Mee</v>
      </c>
      <c r="B22" s="2" t="s">
        <v>97</v>
      </c>
      <c r="C22" s="1" t="s">
        <v>98</v>
      </c>
      <c r="D22" s="1">
        <v>1964.0</v>
      </c>
      <c r="E22" s="1">
        <v>1964.0</v>
      </c>
      <c r="F22" s="1" t="s">
        <v>78</v>
      </c>
      <c r="G22" s="1" t="s">
        <v>15</v>
      </c>
      <c r="H22" s="2" t="s">
        <v>35</v>
      </c>
      <c r="I22" s="1" t="s">
        <v>96</v>
      </c>
      <c r="J22" s="2" t="s">
        <v>24</v>
      </c>
      <c r="L22" s="1" t="str">
        <f t="array" ref="L22">XLOOKUP(D22,'Other Data Fuckery'!$A$2:$A$101, 'Other Data Fuckery'!$B$2:$B$101)</f>
        <v>1960s</v>
      </c>
    </row>
    <row r="23" ht="14.25" customHeight="1">
      <c r="A23" s="1" t="str">
        <f>IFERROR(__xludf.DUMMYFUNCTION("LEFT(REGEXREPLACE(B23, ""[^A-Za-z]"", """"), 3) &amp; RIGHT(D23, 2) &amp; LEFT(REGEXREPLACE(C23, ""[^A-Za-z]"", """"), 3)"),"Bea66Yes")</f>
        <v>Bea66Yes</v>
      </c>
      <c r="B23" s="2" t="s">
        <v>99</v>
      </c>
      <c r="C23" s="1" t="s">
        <v>100</v>
      </c>
      <c r="D23" s="1">
        <v>1966.0</v>
      </c>
      <c r="E23" s="1">
        <v>1966.0</v>
      </c>
      <c r="F23" s="1" t="s">
        <v>78</v>
      </c>
      <c r="G23" s="1" t="s">
        <v>15</v>
      </c>
      <c r="H23" s="2" t="s">
        <v>35</v>
      </c>
      <c r="I23" s="1" t="s">
        <v>96</v>
      </c>
      <c r="J23" s="2" t="s">
        <v>24</v>
      </c>
      <c r="L23" s="1" t="str">
        <f t="array" ref="L23">XLOOKUP(D23,'Other Data Fuckery'!$A$2:$A$101, 'Other Data Fuckery'!$B$2:$B$101)</f>
        <v>1960s</v>
      </c>
    </row>
    <row r="24" ht="14.25" customHeight="1">
      <c r="A24" s="1" t="str">
        <f>IFERROR(__xludf.DUMMYFUNCTION("LEFT(REGEXREPLACE(B24, ""[^A-Za-z]"", """"), 3) &amp; RIGHT(D24, 2) &amp; LEFT(REGEXREPLACE(C24, ""[^A-Za-z]"", """"), 3)"),"Bea69Abb")</f>
        <v>Bea69Abb</v>
      </c>
      <c r="B24" s="2" t="s">
        <v>101</v>
      </c>
      <c r="C24" s="1" t="s">
        <v>102</v>
      </c>
      <c r="D24" s="1">
        <v>1969.0</v>
      </c>
      <c r="E24" s="1">
        <v>1969.0</v>
      </c>
      <c r="F24" s="1" t="s">
        <v>103</v>
      </c>
      <c r="G24" s="1" t="s">
        <v>15</v>
      </c>
      <c r="H24" s="2" t="s">
        <v>35</v>
      </c>
      <c r="I24" s="2" t="s">
        <v>87</v>
      </c>
      <c r="J24" s="2" t="s">
        <v>24</v>
      </c>
      <c r="L24" s="1" t="str">
        <f t="array" ref="L24">XLOOKUP(D24,'Other Data Fuckery'!$A$2:$A$101, 'Other Data Fuckery'!$B$2:$B$101)</f>
        <v>1960s</v>
      </c>
    </row>
    <row r="25" ht="14.25" customHeight="1">
      <c r="A25" s="1" t="str">
        <f>IFERROR(__xludf.DUMMYFUNCTION("LEFT(REGEXREPLACE(B25, ""[^A-Za-z]"", """"), 3) &amp; RIGHT(D25, 2) &amp; LEFT(REGEXREPLACE(C25, ""[^A-Za-z]"", """"), 3)"),"Bea65Rub")</f>
        <v>Bea65Rub</v>
      </c>
      <c r="B25" s="2" t="s">
        <v>104</v>
      </c>
      <c r="C25" s="1" t="s">
        <v>105</v>
      </c>
      <c r="D25" s="1">
        <v>1965.0</v>
      </c>
      <c r="E25" s="1">
        <v>1971.0</v>
      </c>
      <c r="F25" s="1" t="s">
        <v>103</v>
      </c>
      <c r="G25" s="1" t="s">
        <v>15</v>
      </c>
      <c r="H25" s="2" t="s">
        <v>35</v>
      </c>
      <c r="I25" s="1" t="s">
        <v>106</v>
      </c>
      <c r="J25" s="2" t="s">
        <v>24</v>
      </c>
      <c r="L25" s="1" t="str">
        <f t="array" ref="L25">XLOOKUP(D25,'Other Data Fuckery'!$A$2:$A$101, 'Other Data Fuckery'!$B$2:$B$101)</f>
        <v>1960s</v>
      </c>
    </row>
    <row r="26" ht="14.25" customHeight="1">
      <c r="A26" s="1" t="str">
        <f>IFERROR(__xludf.DUMMYFUNCTION("LEFT(REGEXREPLACE(B26, ""[^A-Za-z]"", """"), 3) &amp; RIGHT(D26, 2) &amp; LEFT(REGEXREPLACE(C26, ""[^A-Za-z]"", """"), 3)"),"Bea66Rev")</f>
        <v>Bea66Rev</v>
      </c>
      <c r="B26" s="2" t="s">
        <v>107</v>
      </c>
      <c r="C26" s="1" t="s">
        <v>108</v>
      </c>
      <c r="D26" s="1">
        <v>1966.0</v>
      </c>
      <c r="E26" s="1">
        <v>2009.0</v>
      </c>
      <c r="F26" s="1" t="s">
        <v>103</v>
      </c>
      <c r="G26" s="1" t="s">
        <v>15</v>
      </c>
      <c r="H26" s="2" t="s">
        <v>35</v>
      </c>
      <c r="I26" s="1" t="s">
        <v>53</v>
      </c>
      <c r="J26" s="2" t="s">
        <v>24</v>
      </c>
      <c r="L26" s="1" t="str">
        <f t="array" ref="L26">XLOOKUP(D26,'Other Data Fuckery'!$A$2:$A$101, 'Other Data Fuckery'!$B$2:$B$101)</f>
        <v>1960s</v>
      </c>
    </row>
    <row r="27" ht="14.25" customHeight="1">
      <c r="A27" s="1" t="str">
        <f>IFERROR(__xludf.DUMMYFUNCTION("LEFT(REGEXREPLACE(B27, ""[^A-Za-z]"", """"), 3) &amp; RIGHT(D27, 2) &amp; LEFT(REGEXREPLACE(C27, ""[^A-Za-z]"", """"), 3)"),"Bea64AHa")</f>
        <v>Bea64AHa</v>
      </c>
      <c r="B27" s="2" t="s">
        <v>109</v>
      </c>
      <c r="C27" s="1" t="s">
        <v>110</v>
      </c>
      <c r="D27" s="1">
        <v>1964.0</v>
      </c>
      <c r="E27" s="1">
        <v>2009.0</v>
      </c>
      <c r="F27" s="1" t="s">
        <v>95</v>
      </c>
      <c r="G27" s="1" t="s">
        <v>15</v>
      </c>
      <c r="H27" s="2" t="s">
        <v>35</v>
      </c>
      <c r="I27" s="1" t="s">
        <v>96</v>
      </c>
      <c r="J27" s="2" t="s">
        <v>24</v>
      </c>
      <c r="L27" s="1" t="str">
        <f t="array" ref="L27">XLOOKUP(D27,'Other Data Fuckery'!$A$2:$A$101, 'Other Data Fuckery'!$B$2:$B$101)</f>
        <v>1960s</v>
      </c>
    </row>
    <row r="28" ht="14.25" customHeight="1">
      <c r="A28" s="1" t="str">
        <f>IFERROR(__xludf.DUMMYFUNCTION("LEFT(REGEXREPLACE(B28, ""[^A-Za-z]"", """"), 3) &amp; RIGHT(D28, 2) &amp; LEFT(REGEXREPLACE(C28, ""[^A-Za-z]"", """"), 3)"),"Bea65Hel")</f>
        <v>Bea65Hel</v>
      </c>
      <c r="B28" s="2" t="s">
        <v>111</v>
      </c>
      <c r="C28" s="1" t="s">
        <v>112</v>
      </c>
      <c r="D28" s="1">
        <v>1965.0</v>
      </c>
      <c r="E28" s="1">
        <v>2009.0</v>
      </c>
      <c r="F28" s="1" t="s">
        <v>95</v>
      </c>
      <c r="G28" s="1" t="s">
        <v>15</v>
      </c>
      <c r="H28" s="2" t="s">
        <v>35</v>
      </c>
      <c r="I28" s="1" t="s">
        <v>96</v>
      </c>
      <c r="J28" s="2" t="s">
        <v>24</v>
      </c>
      <c r="L28" s="1" t="str">
        <f t="array" ref="L28">XLOOKUP(D28,'Other Data Fuckery'!$A$2:$A$101, 'Other Data Fuckery'!$B$2:$B$101)</f>
        <v>1960s</v>
      </c>
    </row>
    <row r="29" ht="14.25" customHeight="1">
      <c r="A29" s="1" t="str">
        <f>IFERROR(__xludf.DUMMYFUNCTION("LEFT(REGEXREPLACE(B29, ""[^A-Za-z]"", """"), 3) &amp; RIGHT(D29, 2) &amp; LEFT(REGEXREPLACE(C29, ""[^A-Za-z]"", """"), 3)"),"Bea69Let")</f>
        <v>Bea69Let</v>
      </c>
      <c r="B29" s="2" t="s">
        <v>113</v>
      </c>
      <c r="C29" s="1" t="s">
        <v>114</v>
      </c>
      <c r="D29" s="1">
        <v>1969.0</v>
      </c>
      <c r="E29" s="1">
        <v>2021.0</v>
      </c>
      <c r="F29" s="1" t="s">
        <v>103</v>
      </c>
      <c r="G29" s="1" t="s">
        <v>15</v>
      </c>
      <c r="H29" s="2" t="s">
        <v>35</v>
      </c>
      <c r="I29" s="1" t="s">
        <v>53</v>
      </c>
      <c r="J29" s="2" t="s">
        <v>24</v>
      </c>
      <c r="L29" s="1" t="str">
        <f t="array" ref="L29">XLOOKUP(D29,'Other Data Fuckery'!$A$2:$A$101, 'Other Data Fuckery'!$B$2:$B$101)</f>
        <v>1960s</v>
      </c>
    </row>
    <row r="30" ht="14.25" customHeight="1">
      <c r="A30" s="1" t="str">
        <f>IFERROR(__xludf.DUMMYFUNCTION("LEFT(REGEXREPLACE(B30, ""[^A-Za-z]"", """"), 3) &amp; RIGHT(D30, 2) &amp; LEFT(REGEXREPLACE(C30, ""[^A-Za-z]"", """"), 3)"),"Bea68Whi")</f>
        <v>Bea68Whi</v>
      </c>
      <c r="B30" s="2" t="s">
        <v>115</v>
      </c>
      <c r="C30" s="2" t="s">
        <v>116</v>
      </c>
      <c r="D30" s="1">
        <v>1968.0</v>
      </c>
      <c r="F30" s="1" t="s">
        <v>78</v>
      </c>
      <c r="G30" s="1" t="s">
        <v>15</v>
      </c>
      <c r="H30" s="2" t="s">
        <v>35</v>
      </c>
      <c r="I30" s="1" t="s">
        <v>106</v>
      </c>
      <c r="J30" s="2" t="s">
        <v>24</v>
      </c>
      <c r="L30" s="1" t="str">
        <f t="array" ref="L30">XLOOKUP(D30,'Other Data Fuckery'!$A$2:$A$101, 'Other Data Fuckery'!$B$2:$B$101)</f>
        <v>1960s</v>
      </c>
    </row>
    <row r="31" ht="14.25" customHeight="1">
      <c r="A31" s="1" t="str">
        <f>IFERROR(__xludf.DUMMYFUNCTION("LEFT(REGEXREPLACE(B31, ""[^A-Za-z]"", """"), 3) &amp; RIGHT(D31, 2) &amp; LEFT(REGEXREPLACE(C31, ""[^A-Za-z]"", """"), 3)"),"Bee57Sym")</f>
        <v>Bee57Sym</v>
      </c>
      <c r="B31" s="1" t="s">
        <v>117</v>
      </c>
      <c r="C31" s="1" t="s">
        <v>118</v>
      </c>
      <c r="D31" s="1">
        <v>1957.0</v>
      </c>
      <c r="E31" s="1">
        <v>1957.0</v>
      </c>
      <c r="F31" s="1" t="s">
        <v>119</v>
      </c>
      <c r="G31" s="1" t="s">
        <v>120</v>
      </c>
      <c r="H31" s="2" t="s">
        <v>121</v>
      </c>
      <c r="I31" s="1" t="s">
        <v>96</v>
      </c>
      <c r="J31" s="2" t="s">
        <v>18</v>
      </c>
      <c r="L31" s="1" t="str">
        <f t="array" ref="L31">XLOOKUP(D31,'Other Data Fuckery'!$A$2:$A$101, 'Other Data Fuckery'!$B$2:$B$101)</f>
        <v>1950s</v>
      </c>
    </row>
    <row r="32" ht="14.25" customHeight="1">
      <c r="A32" s="1" t="str">
        <f>IFERROR(__xludf.DUMMYFUNCTION("LEFT(REGEXREPLACE(B32, ""[^A-Za-z]"", """"), 3) &amp; RIGHT(D32, 2) &amp; LEFT(REGEXREPLACE(C32, ""[^A-Za-z]"", """"), 3)"),"Bil20Bil")</f>
        <v>Bil20Bil</v>
      </c>
      <c r="B32" s="2" t="s">
        <v>122</v>
      </c>
      <c r="C32" s="1" t="s">
        <v>123</v>
      </c>
      <c r="D32" s="1">
        <v>2020.0</v>
      </c>
      <c r="E32" s="1">
        <v>2020.0</v>
      </c>
      <c r="F32" s="1" t="s">
        <v>124</v>
      </c>
      <c r="G32" s="2" t="s">
        <v>75</v>
      </c>
      <c r="H32" s="2" t="s">
        <v>75</v>
      </c>
      <c r="I32" s="1" t="s">
        <v>53</v>
      </c>
      <c r="J32" s="2" t="s">
        <v>24</v>
      </c>
      <c r="L32" s="1" t="str">
        <f t="array" ref="L32">XLOOKUP(D32,'Other Data Fuckery'!$A$2:$A$101, 'Other Data Fuckery'!$B$2:$B$101)</f>
        <v>2020s</v>
      </c>
    </row>
    <row r="33" ht="14.25" customHeight="1">
      <c r="A33" s="1" t="str">
        <f>IFERROR(__xludf.DUMMYFUNCTION("LEFT(REGEXREPLACE(B33, ""[^A-Za-z]"", """"), 3) &amp; RIGHT(D33, 2) &amp; LEFT(REGEXREPLACE(C33, ""[^A-Za-z]"", """"), 3)"),"Bla19Bla")</f>
        <v>Bla19Bla</v>
      </c>
      <c r="B33" s="1" t="s">
        <v>125</v>
      </c>
      <c r="C33" s="1" t="s">
        <v>125</v>
      </c>
      <c r="D33" s="1">
        <v>2019.0</v>
      </c>
      <c r="E33" s="1">
        <v>2019.0</v>
      </c>
      <c r="F33" s="1" t="s">
        <v>126</v>
      </c>
      <c r="G33" s="2" t="s">
        <v>127</v>
      </c>
      <c r="H33" s="2" t="s">
        <v>128</v>
      </c>
      <c r="I33" s="1" t="s">
        <v>42</v>
      </c>
      <c r="J33" s="2" t="s">
        <v>18</v>
      </c>
      <c r="L33" s="1" t="str">
        <f t="array" ref="L33">XLOOKUP(D33,'Other Data Fuckery'!$A$2:$A$101, 'Other Data Fuckery'!$B$2:$B$101)</f>
        <v>2010s</v>
      </c>
    </row>
    <row r="34" ht="14.25" customHeight="1">
      <c r="A34" s="1" t="str">
        <f>IFERROR(__xludf.DUMMYFUNCTION("LEFT(REGEXREPLACE(B34, ""[^A-Za-z]"", """"), 3) &amp; RIGHT(D34, 2) &amp; LEFT(REGEXREPLACE(C34, ""[^A-Za-z]"", """"), 3)"),"Bla65Sou")</f>
        <v>Bla65Sou</v>
      </c>
      <c r="B34" s="1" t="s">
        <v>129</v>
      </c>
      <c r="C34" s="1" t="s">
        <v>130</v>
      </c>
      <c r="D34" s="1">
        <v>1965.0</v>
      </c>
      <c r="E34" s="1">
        <v>1965.0</v>
      </c>
      <c r="F34" s="1" t="s">
        <v>131</v>
      </c>
      <c r="G34" s="2" t="s">
        <v>29</v>
      </c>
      <c r="H34" s="2" t="s">
        <v>132</v>
      </c>
      <c r="I34" s="1" t="s">
        <v>96</v>
      </c>
      <c r="J34" s="2" t="s">
        <v>18</v>
      </c>
      <c r="K34" s="1" t="s">
        <v>133</v>
      </c>
      <c r="L34" s="1" t="str">
        <f t="array" ref="L34">XLOOKUP(D34,'Other Data Fuckery'!$A$2:$A$101, 'Other Data Fuckery'!$B$2:$B$101)</f>
        <v>1960s</v>
      </c>
    </row>
    <row r="35" ht="14.25" customHeight="1">
      <c r="A35" s="1" t="str">
        <f>IFERROR(__xludf.DUMMYFUNCTION("LEFT(REGEXREPLACE(B35, ""[^A-Za-z]"", """"), 3) &amp; RIGHT(D35, 2) &amp; LEFT(REGEXREPLACE(C35, ""[^A-Za-z]"", """"), 3)"),"Bla64Fre")</f>
        <v>Bla64Fre</v>
      </c>
      <c r="B35" s="1" t="s">
        <v>129</v>
      </c>
      <c r="C35" s="1" t="s">
        <v>134</v>
      </c>
      <c r="D35" s="1">
        <v>1964.0</v>
      </c>
      <c r="E35" s="1">
        <v>2014.0</v>
      </c>
      <c r="F35" s="1" t="s">
        <v>28</v>
      </c>
      <c r="G35" s="2" t="s">
        <v>29</v>
      </c>
      <c r="H35" s="2" t="s">
        <v>132</v>
      </c>
      <c r="I35" s="1" t="s">
        <v>53</v>
      </c>
      <c r="J35" s="2" t="s">
        <v>18</v>
      </c>
      <c r="L35" s="1" t="str">
        <f t="array" ref="L35">XLOOKUP(D35,'Other Data Fuckery'!$A$2:$A$101, 'Other Data Fuckery'!$B$2:$B$101)</f>
        <v>1960s</v>
      </c>
    </row>
    <row r="36" ht="14.25" customHeight="1">
      <c r="A36" s="1" t="str">
        <f>IFERROR(__xludf.DUMMYFUNCTION("LEFT(REGEXREPLACE(B36, ""[^A-Za-z]"", """"), 3) &amp; RIGHT(D36, 2) &amp; LEFT(REGEXREPLACE(C36, ""[^A-Za-z]"", """"), 3)"),"Bla62Moa")</f>
        <v>Bla62Moa</v>
      </c>
      <c r="B36" s="2" t="s">
        <v>129</v>
      </c>
      <c r="C36" s="2" t="s">
        <v>135</v>
      </c>
      <c r="D36" s="2">
        <v>1962.0</v>
      </c>
      <c r="E36" s="2">
        <v>2015.0</v>
      </c>
      <c r="F36" s="2" t="s">
        <v>28</v>
      </c>
      <c r="G36" s="2" t="s">
        <v>29</v>
      </c>
      <c r="H36" s="2" t="s">
        <v>132</v>
      </c>
      <c r="I36" s="2" t="s">
        <v>63</v>
      </c>
      <c r="J36" s="2" t="s">
        <v>18</v>
      </c>
      <c r="L36" s="1" t="str">
        <f t="array" ref="L36">XLOOKUP(D36,'Other Data Fuckery'!$A$2:$A$101, 'Other Data Fuckery'!$B$2:$B$101)</f>
        <v>1960s</v>
      </c>
    </row>
    <row r="37" ht="14.25" customHeight="1">
      <c r="A37" s="1" t="str">
        <f>IFERROR(__xludf.DUMMYFUNCTION("LEFT(REGEXREPLACE(B37, ""[^A-Za-z]"", """"), 3) &amp; RIGHT(D37, 2) &amp; LEFT(REGEXREPLACE(C37, ""[^A-Za-z]"", """"), 3)"),"Bla58Moa")</f>
        <v>Bla58Moa</v>
      </c>
      <c r="B37" s="1" t="s">
        <v>129</v>
      </c>
      <c r="C37" s="1" t="s">
        <v>136</v>
      </c>
      <c r="D37" s="1">
        <v>1958.0</v>
      </c>
      <c r="E37" s="1">
        <v>2020.0</v>
      </c>
      <c r="F37" s="1" t="s">
        <v>137</v>
      </c>
      <c r="G37" s="2" t="s">
        <v>29</v>
      </c>
      <c r="H37" s="2" t="s">
        <v>132</v>
      </c>
      <c r="I37" s="1" t="s">
        <v>138</v>
      </c>
      <c r="J37" s="2" t="s">
        <v>18</v>
      </c>
      <c r="L37" s="1" t="str">
        <f t="array" ref="L37">XLOOKUP(D37,'Other Data Fuckery'!$A$2:$A$101, 'Other Data Fuckery'!$B$2:$B$101)</f>
        <v>1950s</v>
      </c>
    </row>
    <row r="38" ht="14.25" customHeight="1">
      <c r="A38" s="1" t="str">
        <f>IFERROR(__xludf.DUMMYFUNCTION("LEFT(REGEXREPLACE(B38, ""[^A-Za-z]"", """"), 3) &amp; RIGHT(D38, 2) &amp; LEFT(REGEXREPLACE(C38, ""[^A-Za-z]"", """"), 3)"),"Ble24Ble")</f>
        <v>Ble24Ble</v>
      </c>
      <c r="B38" s="2" t="s">
        <v>139</v>
      </c>
      <c r="C38" s="2" t="s">
        <v>139</v>
      </c>
      <c r="D38" s="2">
        <v>2024.0</v>
      </c>
      <c r="E38" s="2">
        <v>2024.0</v>
      </c>
      <c r="F38" s="2" t="s">
        <v>140</v>
      </c>
      <c r="G38" s="2" t="s">
        <v>15</v>
      </c>
      <c r="H38" s="2" t="s">
        <v>141</v>
      </c>
      <c r="I38" s="2" t="s">
        <v>42</v>
      </c>
      <c r="J38" s="2" t="s">
        <v>24</v>
      </c>
      <c r="L38" s="1" t="str">
        <f t="array" ref="L38">XLOOKUP(D38,'Other Data Fuckery'!$A$2:$A$101, 'Other Data Fuckery'!$B$2:$B$101)</f>
        <v>2020s</v>
      </c>
    </row>
    <row r="39" ht="14.25" customHeight="1">
      <c r="A39" s="1" t="str">
        <f>IFERROR(__xludf.DUMMYFUNCTION("LEFT(REGEXREPLACE(B39, ""[^A-Za-z]"", """"), 3) &amp; RIGHT(D39, 2) &amp; LEFT(REGEXREPLACE(C39, ""[^A-Za-z]"", """"), 3)"),"Blu78Bri")</f>
        <v>Blu78Bri</v>
      </c>
      <c r="B39" s="1" t="s">
        <v>142</v>
      </c>
      <c r="C39" s="1" t="s">
        <v>143</v>
      </c>
      <c r="D39" s="1">
        <v>1978.0</v>
      </c>
      <c r="E39" s="1">
        <v>1978.0</v>
      </c>
      <c r="F39" s="1" t="s">
        <v>144</v>
      </c>
      <c r="G39" s="2" t="s">
        <v>145</v>
      </c>
      <c r="H39" s="2" t="s">
        <v>146</v>
      </c>
      <c r="I39" s="2" t="s">
        <v>87</v>
      </c>
      <c r="J39" s="2" t="s">
        <v>24</v>
      </c>
      <c r="L39" s="1" t="str">
        <f t="array" ref="L39">XLOOKUP(D39,'Other Data Fuckery'!$A$2:$A$101, 'Other Data Fuckery'!$B$2:$B$101)</f>
        <v>1970s</v>
      </c>
    </row>
    <row r="40" ht="14.25" customHeight="1">
      <c r="A40" s="1" t="str">
        <f>IFERROR(__xludf.DUMMYFUNCTION("LEFT(REGEXREPLACE(B40, ""[^A-Za-z]"", """"), 3) &amp; RIGHT(D40, 2) &amp; LEFT(REGEXREPLACE(C40, ""[^A-Za-z]"", """"), 3)"),"Bow82Let")</f>
        <v>Bow82Let</v>
      </c>
      <c r="B40" s="1" t="s">
        <v>147</v>
      </c>
      <c r="C40" s="1" t="s">
        <v>148</v>
      </c>
      <c r="D40" s="1">
        <v>1982.0</v>
      </c>
      <c r="E40" s="1">
        <v>2018.0</v>
      </c>
      <c r="F40" s="1" t="s">
        <v>149</v>
      </c>
      <c r="G40" s="2" t="s">
        <v>15</v>
      </c>
      <c r="H40" s="2" t="s">
        <v>150</v>
      </c>
      <c r="I40" s="1" t="s">
        <v>53</v>
      </c>
      <c r="J40" s="2" t="s">
        <v>24</v>
      </c>
      <c r="K40" s="1" t="s">
        <v>151</v>
      </c>
      <c r="L40" s="1" t="str">
        <f t="array" ref="L40">XLOOKUP(D40,'Other Data Fuckery'!$A$2:$A$101, 'Other Data Fuckery'!$B$2:$B$101)</f>
        <v>1980s</v>
      </c>
    </row>
    <row r="41" ht="14.25" customHeight="1">
      <c r="A41" s="1" t="str">
        <f>IFERROR(__xludf.DUMMYFUNCTION("LEFT(REGEXREPLACE(B41, ""[^A-Za-z]"", """"), 3) &amp; RIGHT(D41, 2) &amp; LEFT(REGEXREPLACE(C41, ""[^A-Za-z]"", """"), 3)"),"Bow73Ala")</f>
        <v>Bow73Ala</v>
      </c>
      <c r="B41" s="2" t="s">
        <v>147</v>
      </c>
      <c r="C41" s="2" t="s">
        <v>152</v>
      </c>
      <c r="D41" s="2">
        <v>1973.0</v>
      </c>
      <c r="E41" s="2">
        <v>1973.0</v>
      </c>
      <c r="F41" s="2" t="s">
        <v>153</v>
      </c>
      <c r="G41" s="2" t="s">
        <v>15</v>
      </c>
      <c r="H41" s="2" t="s">
        <v>150</v>
      </c>
      <c r="I41" s="2" t="s">
        <v>154</v>
      </c>
      <c r="J41" s="2" t="s">
        <v>24</v>
      </c>
      <c r="L41" s="1" t="str">
        <f t="array" ref="L41">XLOOKUP(D41,'Other Data Fuckery'!$A$2:$A$101, 'Other Data Fuckery'!$B$2:$B$101)</f>
        <v>1970s</v>
      </c>
    </row>
    <row r="42" ht="14.25" customHeight="1">
      <c r="A42" s="1" t="str">
        <f>IFERROR(__xludf.DUMMYFUNCTION("LEFT(REGEXREPLACE(B42, ""[^A-Za-z]"", """"), 3) &amp; RIGHT(D42, 2) &amp; LEFT(REGEXREPLACE(C42, ""[^A-Za-z]"", """"), 3)"),"Bow75You")</f>
        <v>Bow75You</v>
      </c>
      <c r="B42" s="1" t="s">
        <v>147</v>
      </c>
      <c r="C42" s="1" t="s">
        <v>155</v>
      </c>
      <c r="D42" s="1">
        <v>1975.0</v>
      </c>
      <c r="E42" s="1">
        <v>1975.0</v>
      </c>
      <c r="F42" s="1" t="s">
        <v>153</v>
      </c>
      <c r="G42" s="2" t="s">
        <v>15</v>
      </c>
      <c r="H42" s="2" t="s">
        <v>150</v>
      </c>
      <c r="I42" s="1" t="s">
        <v>106</v>
      </c>
      <c r="J42" s="2" t="s">
        <v>24</v>
      </c>
      <c r="L42" s="1" t="str">
        <f t="array" ref="L42">XLOOKUP(D42,'Other Data Fuckery'!$A$2:$A$101, 'Other Data Fuckery'!$B$2:$B$101)</f>
        <v>1970s</v>
      </c>
    </row>
    <row r="43" ht="14.25" customHeight="1">
      <c r="A43" s="1" t="str">
        <f>IFERROR(__xludf.DUMMYFUNCTION("LEFT(REGEXREPLACE(B43, ""[^A-Za-z]"", """"), 3) &amp; RIGHT(D43, 2) &amp; LEFT(REGEXREPLACE(C43, ""[^A-Za-z]"", """"), 3)"),"Bow72The")</f>
        <v>Bow72The</v>
      </c>
      <c r="B43" s="1" t="s">
        <v>147</v>
      </c>
      <c r="C43" s="1" t="s">
        <v>156</v>
      </c>
      <c r="D43" s="1">
        <v>1972.0</v>
      </c>
      <c r="E43" s="1">
        <v>2015.0</v>
      </c>
      <c r="F43" s="1" t="s">
        <v>149</v>
      </c>
      <c r="G43" s="2" t="s">
        <v>15</v>
      </c>
      <c r="H43" s="2" t="s">
        <v>150</v>
      </c>
      <c r="I43" s="1" t="s">
        <v>53</v>
      </c>
      <c r="J43" s="2" t="s">
        <v>24</v>
      </c>
      <c r="L43" s="1" t="str">
        <f t="array" ref="L43">XLOOKUP(D43,'Other Data Fuckery'!$A$2:$A$101, 'Other Data Fuckery'!$B$2:$B$101)</f>
        <v>1970s</v>
      </c>
    </row>
    <row r="44" ht="14.25" customHeight="1">
      <c r="A44" s="1" t="str">
        <f>IFERROR(__xludf.DUMMYFUNCTION("LEFT(REGEXREPLACE(B44, ""[^A-Za-z]"", """"), 3) &amp; RIGHT(D44, 2) &amp; LEFT(REGEXREPLACE(C44, ""[^A-Za-z]"", """"), 3)"),"Bow16Cha")</f>
        <v>Bow16Cha</v>
      </c>
      <c r="B44" s="1" t="s">
        <v>147</v>
      </c>
      <c r="C44" s="1" t="s">
        <v>157</v>
      </c>
      <c r="D44" s="1">
        <v>2016.0</v>
      </c>
      <c r="E44" s="1">
        <v>2016.0</v>
      </c>
      <c r="F44" s="1" t="s">
        <v>149</v>
      </c>
      <c r="G44" s="2" t="s">
        <v>15</v>
      </c>
      <c r="H44" s="2" t="s">
        <v>150</v>
      </c>
      <c r="I44" s="1" t="s">
        <v>53</v>
      </c>
      <c r="J44" s="2" t="s">
        <v>24</v>
      </c>
      <c r="L44" s="1" t="str">
        <f t="array" ref="L44">XLOOKUP(D44,'Other Data Fuckery'!$A$2:$A$101, 'Other Data Fuckery'!$B$2:$B$101)</f>
        <v>2010s</v>
      </c>
    </row>
    <row r="45" ht="14.25" customHeight="1">
      <c r="A45" s="1" t="str">
        <f>IFERROR(__xludf.DUMMYFUNCTION("LEFT(REGEXREPLACE(B45, ""[^A-Za-z]"", """"), 3) &amp; RIGHT(D45, 2) &amp; LEFT(REGEXREPLACE(C45, ""[^A-Za-z]"", """"), 3)"),"Bra67Ext")</f>
        <v>Bra67Ext</v>
      </c>
      <c r="B45" s="1" t="s">
        <v>158</v>
      </c>
      <c r="C45" s="1" t="s">
        <v>159</v>
      </c>
      <c r="D45" s="1">
        <v>1967.0</v>
      </c>
      <c r="E45" s="1">
        <v>2022.0</v>
      </c>
      <c r="F45" s="1" t="s">
        <v>28</v>
      </c>
      <c r="G45" s="1" t="s">
        <v>29</v>
      </c>
      <c r="H45" s="1" t="s">
        <v>29</v>
      </c>
      <c r="I45" s="1" t="s">
        <v>42</v>
      </c>
      <c r="J45" s="2" t="s">
        <v>18</v>
      </c>
      <c r="L45" s="1" t="str">
        <f t="array" ref="L45">XLOOKUP(D45,'Other Data Fuckery'!$A$2:$A$101, 'Other Data Fuckery'!$B$2:$B$101)</f>
        <v>1960s</v>
      </c>
    </row>
    <row r="46" ht="14.25" customHeight="1">
      <c r="A46" s="1" t="str">
        <f>IFERROR(__xludf.DUMMYFUNCTION("LEFT(REGEXREPLACE(B46, ""[^A-Za-z]"", """"), 3) &amp; RIGHT(D46, 2) &amp; LEFT(REGEXREPLACE(C46, ""[^A-Za-z]"", """"), 3)"),"Bra03Dej")</f>
        <v>Bra03Dej</v>
      </c>
      <c r="B46" s="2" t="s">
        <v>160</v>
      </c>
      <c r="C46" s="2" t="s">
        <v>161</v>
      </c>
      <c r="D46" s="2">
        <v>2003.0</v>
      </c>
      <c r="E46" s="2">
        <v>2015.0</v>
      </c>
      <c r="F46" s="2" t="s">
        <v>162</v>
      </c>
      <c r="G46" s="2" t="s">
        <v>15</v>
      </c>
      <c r="H46" s="2" t="s">
        <v>16</v>
      </c>
      <c r="I46" s="2" t="s">
        <v>17</v>
      </c>
      <c r="J46" s="2" t="s">
        <v>18</v>
      </c>
      <c r="L46" s="1" t="str">
        <f t="array" ref="L46">XLOOKUP(D46,'Other Data Fuckery'!$A$2:$A$101, 'Other Data Fuckery'!$B$2:$B$101)</f>
        <v>2000s</v>
      </c>
    </row>
    <row r="47" ht="14.25" customHeight="1">
      <c r="A47" s="1" t="str">
        <f>IFERROR(__xludf.DUMMYFUNCTION("LEFT(REGEXREPLACE(B47, ""[^A-Za-z]"", """"), 3) &amp; RIGHT(D47, 2) &amp; LEFT(REGEXREPLACE(C47, ""[^A-Za-z]"", """"), 3)"),"Bri15Com")</f>
        <v>Bri15Com</v>
      </c>
      <c r="B47" s="1" t="s">
        <v>163</v>
      </c>
      <c r="C47" s="1" t="s">
        <v>164</v>
      </c>
      <c r="D47" s="1">
        <v>2015.0</v>
      </c>
      <c r="E47" s="1">
        <v>2015.0</v>
      </c>
      <c r="F47" s="1" t="s">
        <v>165</v>
      </c>
      <c r="G47" s="2" t="s">
        <v>127</v>
      </c>
      <c r="H47" s="1" t="s">
        <v>166</v>
      </c>
      <c r="I47" s="1" t="s">
        <v>53</v>
      </c>
      <c r="J47" s="2" t="s">
        <v>18</v>
      </c>
      <c r="L47" s="1" t="str">
        <f t="array" ref="L47">XLOOKUP(D47,'Other Data Fuckery'!$A$2:$A$101, 'Other Data Fuckery'!$B$2:$B$101)</f>
        <v>2010s</v>
      </c>
    </row>
    <row r="48" ht="14.25" customHeight="1">
      <c r="A48" s="1" t="str">
        <f>IFERROR(__xludf.DUMMYFUNCTION("LEFT(REGEXREPLACE(B48, ""[^A-Za-z]"", """"), 3) &amp; RIGHT(D48, 2) &amp; LEFT(REGEXREPLACE(C48, ""[^A-Za-z]"", """"), 3)"),"Bri05ImW")</f>
        <v>Bri05ImW</v>
      </c>
      <c r="B48" s="2" t="s">
        <v>167</v>
      </c>
      <c r="C48" s="2" t="s">
        <v>168</v>
      </c>
      <c r="D48" s="2">
        <v>2005.0</v>
      </c>
      <c r="E48" s="2">
        <v>2022.0</v>
      </c>
      <c r="F48" s="2" t="s">
        <v>169</v>
      </c>
      <c r="G48" s="2" t="s">
        <v>170</v>
      </c>
      <c r="H48" s="2" t="s">
        <v>171</v>
      </c>
      <c r="I48" s="2" t="s">
        <v>172</v>
      </c>
      <c r="J48" s="2" t="s">
        <v>18</v>
      </c>
      <c r="L48" s="1" t="str">
        <f t="array" ref="L48">XLOOKUP(D48,'Other Data Fuckery'!$A$2:$A$101, 'Other Data Fuckery'!$B$2:$B$101)</f>
        <v>2000s</v>
      </c>
    </row>
    <row r="49" ht="14.25" customHeight="1">
      <c r="A49" s="1" t="str">
        <f>IFERROR(__xludf.DUMMYFUNCTION("LEFT(REGEXREPLACE(B49, ""[^A-Za-z]"", """"), 3) &amp; RIGHT(D49, 2) &amp; LEFT(REGEXREPLACE(C49, ""[^A-Za-z]"", """"), 3)"),"Bro18Mea")</f>
        <v>Bro18Mea</v>
      </c>
      <c r="B49" s="2" t="s">
        <v>173</v>
      </c>
      <c r="C49" s="1" t="s">
        <v>174</v>
      </c>
      <c r="D49" s="1">
        <v>2018.0</v>
      </c>
      <c r="E49" s="1">
        <v>2018.0</v>
      </c>
      <c r="F49" s="1" t="s">
        <v>144</v>
      </c>
      <c r="G49" s="2" t="s">
        <v>75</v>
      </c>
      <c r="H49" s="2" t="s">
        <v>75</v>
      </c>
      <c r="I49" s="2" t="s">
        <v>23</v>
      </c>
      <c r="J49" s="2" t="s">
        <v>24</v>
      </c>
      <c r="K49" s="1" t="s">
        <v>175</v>
      </c>
      <c r="L49" s="1" t="str">
        <f t="array" ref="L49">XLOOKUP(D49,'Other Data Fuckery'!$A$2:$A$101, 'Other Data Fuckery'!$B$2:$B$101)</f>
        <v>2010s</v>
      </c>
    </row>
    <row r="50" ht="14.25" customHeight="1">
      <c r="A50" s="1" t="str">
        <f>IFERROR(__xludf.DUMMYFUNCTION("LEFT(REGEXREPLACE(B50, ""[^A-Za-z]"", """"), 3) &amp; RIGHT(D50, 2) &amp; LEFT(REGEXREPLACE(C50, ""[^A-Za-z]"", """"), 3)"),"Bru57Dav")</f>
        <v>Bru57Dav</v>
      </c>
      <c r="B50" s="1" t="s">
        <v>176</v>
      </c>
      <c r="C50" s="1" t="s">
        <v>177</v>
      </c>
      <c r="D50" s="1">
        <v>1957.0</v>
      </c>
      <c r="E50" s="1">
        <v>1957.0</v>
      </c>
      <c r="F50" s="1" t="s">
        <v>165</v>
      </c>
      <c r="G50" s="1" t="s">
        <v>29</v>
      </c>
      <c r="H50" s="1" t="s">
        <v>29</v>
      </c>
      <c r="I50" s="1" t="s">
        <v>106</v>
      </c>
      <c r="J50" s="2" t="s">
        <v>18</v>
      </c>
      <c r="L50" s="1" t="str">
        <f t="array" ref="L50">XLOOKUP(D50,'Other Data Fuckery'!$A$2:$A$101, 'Other Data Fuckery'!$B$2:$B$101)</f>
        <v>1950s</v>
      </c>
    </row>
    <row r="51" ht="14.25" customHeight="1">
      <c r="A51" s="1" t="str">
        <f>IFERROR(__xludf.DUMMYFUNCTION("LEFT(REGEXREPLACE(B51, ""[^A-Za-z]"", """"), 3) &amp; RIGHT(D51, 2) &amp; LEFT(REGEXREPLACE(C51, ""[^A-Za-z]"", """"), 3)"),"Bru59Tim")</f>
        <v>Bru59Tim</v>
      </c>
      <c r="B51" s="1" t="s">
        <v>176</v>
      </c>
      <c r="C51" s="1" t="s">
        <v>178</v>
      </c>
      <c r="D51" s="1">
        <v>1959.0</v>
      </c>
      <c r="E51" s="1">
        <v>2020.0</v>
      </c>
      <c r="F51" s="1" t="s">
        <v>179</v>
      </c>
      <c r="G51" s="1" t="s">
        <v>29</v>
      </c>
      <c r="H51" s="1" t="s">
        <v>29</v>
      </c>
      <c r="I51" s="1" t="s">
        <v>180</v>
      </c>
      <c r="J51" s="2" t="s">
        <v>18</v>
      </c>
      <c r="L51" s="1" t="str">
        <f t="array" ref="L51">XLOOKUP(D51,'Other Data Fuckery'!$A$2:$A$101, 'Other Data Fuckery'!$B$2:$B$101)</f>
        <v>1950s</v>
      </c>
    </row>
    <row r="52" ht="14.25" customHeight="1">
      <c r="A52" s="1" t="str">
        <f>IFERROR(__xludf.DUMMYFUNCTION("LEFT(REGEXREPLACE(B52, ""[^A-Za-z]"", """"), 3) &amp; RIGHT(D52, 2) &amp; LEFT(REGEXREPLACE(C52, ""[^A-Za-z]"", """"), 3)"),"Bur63Mid")</f>
        <v>Bur63Mid</v>
      </c>
      <c r="B52" s="2" t="s">
        <v>181</v>
      </c>
      <c r="C52" s="2" t="s">
        <v>182</v>
      </c>
      <c r="D52" s="2">
        <v>1963.0</v>
      </c>
      <c r="E52" s="2">
        <v>2023.0</v>
      </c>
      <c r="F52" s="2" t="s">
        <v>28</v>
      </c>
      <c r="G52" s="2" t="s">
        <v>29</v>
      </c>
      <c r="H52" s="2" t="s">
        <v>29</v>
      </c>
      <c r="I52" s="2" t="s">
        <v>31</v>
      </c>
      <c r="J52" s="2" t="s">
        <v>18</v>
      </c>
      <c r="L52" s="1" t="str">
        <f t="array" ref="L52">XLOOKUP(D52,'Other Data Fuckery'!$A$2:$A$101, 'Other Data Fuckery'!$B$2:$B$101)</f>
        <v>1960s</v>
      </c>
    </row>
    <row r="53" ht="14.25" customHeight="1">
      <c r="A53" s="1" t="str">
        <f>IFERROR(__xludf.DUMMYFUNCTION("LEFT(REGEXREPLACE(B53, ""[^A-Za-z]"", """"), 3) &amp; RIGHT(D53, 2) &amp; LEFT(REGEXREPLACE(C53, ""[^A-Za-z]"", """"), 3)"),"Car77OnT")</f>
        <v>Car77OnT</v>
      </c>
      <c r="B53" s="2" t="s">
        <v>183</v>
      </c>
      <c r="C53" s="2" t="s">
        <v>184</v>
      </c>
      <c r="D53" s="2">
        <v>1977.0</v>
      </c>
      <c r="E53" s="2">
        <v>1977.0</v>
      </c>
      <c r="F53" s="2" t="s">
        <v>185</v>
      </c>
      <c r="G53" s="2" t="s">
        <v>186</v>
      </c>
      <c r="H53" s="2" t="s">
        <v>186</v>
      </c>
      <c r="I53" s="2" t="s">
        <v>96</v>
      </c>
      <c r="J53" s="2" t="s">
        <v>24</v>
      </c>
      <c r="K53" s="2" t="s">
        <v>187</v>
      </c>
      <c r="L53" s="1" t="str">
        <f t="array" ref="L53">XLOOKUP(D53,'Other Data Fuckery'!$A$2:$A$101, 'Other Data Fuckery'!$B$2:$B$101)</f>
        <v>1970s</v>
      </c>
    </row>
    <row r="54" ht="14.25" customHeight="1">
      <c r="A54" s="1" t="str">
        <f>IFERROR(__xludf.DUMMYFUNCTION("LEFT(REGEXREPLACE(B54, ""[^A-Za-z]"", """"), 3) &amp; RIGHT(D54, 2) &amp; LEFT(REGEXREPLACE(C54, ""[^A-Za-z]"", """"), 3)"),"Car72Tak")</f>
        <v>Car72Tak</v>
      </c>
      <c r="B54" s="2" t="s">
        <v>183</v>
      </c>
      <c r="C54" s="2" t="s">
        <v>188</v>
      </c>
      <c r="D54" s="2">
        <v>1972.0</v>
      </c>
      <c r="E54" s="2">
        <v>1972.0</v>
      </c>
      <c r="F54" s="2" t="s">
        <v>153</v>
      </c>
      <c r="G54" s="2" t="s">
        <v>186</v>
      </c>
      <c r="H54" s="2" t="s">
        <v>186</v>
      </c>
      <c r="I54" s="2" t="s">
        <v>96</v>
      </c>
      <c r="J54" s="2" t="s">
        <v>24</v>
      </c>
      <c r="L54" s="1" t="str">
        <f t="array" ref="L54">XLOOKUP(D54,'Other Data Fuckery'!$A$2:$A$101, 'Other Data Fuckery'!$B$2:$B$101)</f>
        <v>1970s</v>
      </c>
    </row>
    <row r="55" ht="14.25" customHeight="1">
      <c r="A55" s="1" t="str">
        <f>IFERROR(__xludf.DUMMYFUNCTION("LEFT(REGEXREPLACE(B55, ""[^A-Za-z]"", """"), 3) &amp; RIGHT(D55, 2) &amp; LEFT(REGEXREPLACE(C55, ""[^A-Za-z]"", """"), 3)"),"Car72Cla")</f>
        <v>Car72Cla</v>
      </c>
      <c r="B55" s="1" t="s">
        <v>183</v>
      </c>
      <c r="C55" s="1" t="s">
        <v>189</v>
      </c>
      <c r="D55" s="1">
        <v>1972.0</v>
      </c>
      <c r="E55" s="1">
        <v>1972.0</v>
      </c>
      <c r="F55" s="1" t="s">
        <v>185</v>
      </c>
      <c r="G55" s="1" t="s">
        <v>186</v>
      </c>
      <c r="H55" s="1" t="s">
        <v>186</v>
      </c>
      <c r="I55" s="1" t="s">
        <v>106</v>
      </c>
      <c r="J55" s="2" t="s">
        <v>24</v>
      </c>
      <c r="L55" s="1" t="str">
        <f t="array" ref="L55">XLOOKUP(D55,'Other Data Fuckery'!$A$2:$A$101, 'Other Data Fuckery'!$B$2:$B$101)</f>
        <v>1970s</v>
      </c>
    </row>
    <row r="56" ht="14.25" customHeight="1">
      <c r="A56" s="1" t="str">
        <f>IFERROR(__xludf.DUMMYFUNCTION("LEFT(REGEXREPLACE(B56, ""[^A-Za-z]"", """"), 3) &amp; RIGHT(D56, 2) &amp; LEFT(REGEXREPLACE(C56, ""[^A-Za-z]"", """"), 3)"),"Car73Occ")</f>
        <v>Car73Occ</v>
      </c>
      <c r="B56" s="2" t="s">
        <v>183</v>
      </c>
      <c r="C56" s="2" t="s">
        <v>190</v>
      </c>
      <c r="D56" s="2">
        <v>1973.0</v>
      </c>
      <c r="E56" s="2">
        <v>1973.0</v>
      </c>
      <c r="F56" s="2" t="s">
        <v>185</v>
      </c>
      <c r="G56" s="2" t="s">
        <v>186</v>
      </c>
      <c r="H56" s="2" t="s">
        <v>186</v>
      </c>
      <c r="I56" s="2" t="s">
        <v>96</v>
      </c>
      <c r="J56" s="2" t="s">
        <v>24</v>
      </c>
      <c r="L56" s="1" t="str">
        <f t="array" ref="L56">XLOOKUP(D56,'Other Data Fuckery'!$A$2:$A$101, 'Other Data Fuckery'!$B$2:$B$101)</f>
        <v>1970s</v>
      </c>
    </row>
    <row r="57" ht="14.25" customHeight="1">
      <c r="A57" s="1" t="str">
        <f>IFERROR(__xludf.DUMMYFUNCTION("LEFT(REGEXREPLACE(B57, ""[^A-Za-z]"", """"), 3) &amp; RIGHT(D57, 2) &amp; LEFT(REGEXREPLACE(C57, ""[^A-Za-z]"", """"), 3)"),"Car13The")</f>
        <v>Car13The</v>
      </c>
      <c r="B57" s="2" t="s">
        <v>191</v>
      </c>
      <c r="C57" s="2" t="s">
        <v>192</v>
      </c>
      <c r="D57" s="2">
        <v>2013.0</v>
      </c>
      <c r="E57" s="2">
        <v>2013.0</v>
      </c>
      <c r="F57" s="2" t="s">
        <v>193</v>
      </c>
      <c r="G57" s="2" t="s">
        <v>15</v>
      </c>
      <c r="H57" s="2" t="s">
        <v>194</v>
      </c>
      <c r="I57" s="2" t="s">
        <v>17</v>
      </c>
      <c r="J57" s="2" t="s">
        <v>18</v>
      </c>
      <c r="L57" s="1" t="str">
        <f t="array" ref="L57">XLOOKUP(D57,'Other Data Fuckery'!$A$2:$A$101, 'Other Data Fuckery'!$B$2:$B$101)</f>
        <v>2010s</v>
      </c>
    </row>
    <row r="58" ht="14.25" customHeight="1">
      <c r="A58" s="1" t="str">
        <f>IFERROR(__xludf.DUMMYFUNCTION("LEFT(REGEXREPLACE(B58, ""[^A-Za-z]"", """"), 3) &amp; RIGHT(D58, 2) &amp; LEFT(REGEXREPLACE(C58, ""[^A-Za-z]"", """"), 3)"),"Chi20Gas")</f>
        <v>Chi20Gas</v>
      </c>
      <c r="B58" s="2" t="s">
        <v>195</v>
      </c>
      <c r="C58" s="2" t="s">
        <v>196</v>
      </c>
      <c r="D58" s="2">
        <v>2020.0</v>
      </c>
      <c r="E58" s="2">
        <v>2020.0</v>
      </c>
      <c r="F58" s="2" t="s">
        <v>165</v>
      </c>
      <c r="G58" s="2" t="s">
        <v>197</v>
      </c>
      <c r="I58" s="2" t="s">
        <v>53</v>
      </c>
      <c r="J58" s="2" t="s">
        <v>24</v>
      </c>
      <c r="L58" s="1" t="str">
        <f t="array" ref="L58">XLOOKUP(D58,'Other Data Fuckery'!$A$2:$A$101, 'Other Data Fuckery'!$B$2:$B$101)</f>
        <v>2020s</v>
      </c>
    </row>
    <row r="59" ht="14.25" customHeight="1">
      <c r="A59" s="1" t="str">
        <f>IFERROR(__xludf.DUMMYFUNCTION("LEFT(REGEXREPLACE(B59, ""[^A-Za-z]"", """"), 3) &amp; RIGHT(D59, 2) &amp; LEFT(REGEXREPLACE(C59, ""[^A-Za-z]"", """"), 3)"),"Chi23Rus")</f>
        <v>Chi23Rus</v>
      </c>
      <c r="B59" s="2" t="s">
        <v>198</v>
      </c>
      <c r="C59" s="2" t="s">
        <v>199</v>
      </c>
      <c r="D59" s="2">
        <v>2023.0</v>
      </c>
      <c r="E59" s="2">
        <v>2023.0</v>
      </c>
      <c r="F59" s="2" t="s">
        <v>200</v>
      </c>
      <c r="G59" s="2" t="s">
        <v>197</v>
      </c>
      <c r="H59" s="2" t="s">
        <v>201</v>
      </c>
      <c r="I59" s="2" t="s">
        <v>42</v>
      </c>
      <c r="J59" s="2" t="s">
        <v>18</v>
      </c>
      <c r="L59" s="1" t="str">
        <f t="array" ref="L59">XLOOKUP(D59,'Other Data Fuckery'!$A$2:$A$101, 'Other Data Fuckery'!$B$2:$B$101)</f>
        <v>2020s</v>
      </c>
    </row>
    <row r="60" ht="14.25" customHeight="1">
      <c r="A60" s="1" t="str">
        <f>IFERROR(__xludf.DUMMYFUNCTION("LEFT(REGEXREPLACE(B60, ""[^A-Za-z]"", """"), 3) &amp; RIGHT(D60, 2) &amp; LEFT(REGEXREPLACE(C60, ""[^A-Za-z]"", """"), 3)"),"Chi81ACh")</f>
        <v>Chi81ACh</v>
      </c>
      <c r="B60" s="2" t="s">
        <v>202</v>
      </c>
      <c r="C60" s="1" t="s">
        <v>203</v>
      </c>
      <c r="D60" s="1">
        <v>1981.0</v>
      </c>
      <c r="E60" s="1">
        <v>1981.0</v>
      </c>
      <c r="F60" s="1" t="s">
        <v>153</v>
      </c>
      <c r="G60" s="1" t="s">
        <v>204</v>
      </c>
      <c r="H60" s="1" t="s">
        <v>204</v>
      </c>
      <c r="I60" s="1" t="s">
        <v>53</v>
      </c>
      <c r="J60" s="2" t="s">
        <v>24</v>
      </c>
      <c r="L60" s="1" t="str">
        <f t="array" ref="L60">XLOOKUP(D60,'Other Data Fuckery'!$A$2:$A$101, 'Other Data Fuckery'!$B$2:$B$101)</f>
        <v>1980s</v>
      </c>
    </row>
    <row r="61" ht="14.25" customHeight="1">
      <c r="A61" s="1" t="str">
        <f>IFERROR(__xludf.DUMMYFUNCTION("LEFT(REGEXREPLACE(B61, ""[^A-Za-z]"", """"), 3) &amp; RIGHT(D61, 2) &amp; LEFT(REGEXREPLACE(C61, ""[^A-Za-z]"", """"), 3)"),"Coh03InK")</f>
        <v>Coh03InK</v>
      </c>
      <c r="B61" s="2" t="s">
        <v>205</v>
      </c>
      <c r="C61" s="2" t="s">
        <v>206</v>
      </c>
      <c r="D61" s="2">
        <v>2003.0</v>
      </c>
      <c r="F61" s="2" t="s">
        <v>56</v>
      </c>
      <c r="G61" s="2" t="s">
        <v>15</v>
      </c>
      <c r="H61" s="2" t="s">
        <v>207</v>
      </c>
      <c r="I61" s="2" t="s">
        <v>208</v>
      </c>
      <c r="J61" s="2" t="s">
        <v>18</v>
      </c>
      <c r="L61" s="1" t="str">
        <f t="array" ref="L61">XLOOKUP(D61,'Other Data Fuckery'!$A$2:$A$101, 'Other Data Fuckery'!$B$2:$B$101)</f>
        <v>2000s</v>
      </c>
    </row>
    <row r="62" ht="14.25" customHeight="1">
      <c r="A62" s="1" t="str">
        <f>IFERROR(__xludf.DUMMYFUNCTION("LEFT(REGEXREPLACE(B62, ""[^A-Za-z]"", """"), 3) &amp; RIGHT(D62, 2) &amp; LEFT(REGEXREPLACE(C62, ""[^A-Za-z]"", """"), 3)"),"Col60Gia")</f>
        <v>Col60Gia</v>
      </c>
      <c r="B62" s="1" t="s">
        <v>209</v>
      </c>
      <c r="C62" s="1" t="s">
        <v>210</v>
      </c>
      <c r="D62" s="1">
        <v>1960.0</v>
      </c>
      <c r="E62" s="1">
        <v>2020.0</v>
      </c>
      <c r="F62" s="1" t="s">
        <v>144</v>
      </c>
      <c r="G62" s="1" t="s">
        <v>29</v>
      </c>
      <c r="H62" s="1" t="s">
        <v>29</v>
      </c>
      <c r="I62" s="1" t="s">
        <v>17</v>
      </c>
      <c r="J62" s="2" t="s">
        <v>18</v>
      </c>
      <c r="L62" s="1" t="str">
        <f t="array" ref="L62">XLOOKUP(D62,'Other Data Fuckery'!$A$2:$A$101, 'Other Data Fuckery'!$B$2:$B$101)</f>
        <v>1960s</v>
      </c>
    </row>
    <row r="63" ht="14.25" customHeight="1">
      <c r="A63" s="1" t="str">
        <f>IFERROR(__xludf.DUMMYFUNCTION("LEFT(REGEXREPLACE(B63, ""[^A-Za-z]"", """"), 3) &amp; RIGHT(D63, 2) &amp; LEFT(REGEXREPLACE(C63, ""[^A-Za-z]"", """"), 3)"),"Col65ALo")</f>
        <v>Col65ALo</v>
      </c>
      <c r="B63" s="1" t="s">
        <v>209</v>
      </c>
      <c r="C63" s="1" t="s">
        <v>211</v>
      </c>
      <c r="D63" s="1">
        <v>1965.0</v>
      </c>
      <c r="F63" s="1" t="s">
        <v>212</v>
      </c>
      <c r="G63" s="1" t="s">
        <v>29</v>
      </c>
      <c r="H63" s="1" t="s">
        <v>29</v>
      </c>
      <c r="I63" s="1" t="s">
        <v>72</v>
      </c>
      <c r="J63" s="2" t="s">
        <v>18</v>
      </c>
      <c r="L63" s="1" t="str">
        <f t="array" ref="L63">XLOOKUP(D63,'Other Data Fuckery'!$A$2:$A$101, 'Other Data Fuckery'!$B$2:$B$101)</f>
        <v>1960s</v>
      </c>
    </row>
    <row r="64" ht="14.25" customHeight="1">
      <c r="A64" s="1" t="str">
        <f>IFERROR(__xludf.DUMMYFUNCTION("LEFT(REGEXREPLACE(B64, ""[^A-Za-z]"", """"), 3) &amp; RIGHT(D64, 2) &amp; LEFT(REGEXREPLACE(C64, ""[^A-Za-z]"", """"), 3)"),"Cop09You")</f>
        <v>Cop09You</v>
      </c>
      <c r="B64" s="1" t="s">
        <v>213</v>
      </c>
      <c r="C64" s="1" t="s">
        <v>214</v>
      </c>
      <c r="D64" s="1">
        <v>2009.0</v>
      </c>
      <c r="E64" s="1">
        <v>2009.0</v>
      </c>
      <c r="F64" s="1" t="s">
        <v>215</v>
      </c>
      <c r="G64" s="2" t="s">
        <v>15</v>
      </c>
      <c r="H64" s="2" t="s">
        <v>16</v>
      </c>
      <c r="I64" s="1" t="s">
        <v>216</v>
      </c>
      <c r="J64" s="2" t="s">
        <v>18</v>
      </c>
      <c r="L64" s="1" t="str">
        <f t="array" ref="L64">XLOOKUP(D64,'Other Data Fuckery'!$A$2:$A$101, 'Other Data Fuckery'!$B$2:$B$101)</f>
        <v>2000s</v>
      </c>
    </row>
    <row r="65" ht="14.25" customHeight="1">
      <c r="A65" s="1" t="str">
        <f>IFERROR(__xludf.DUMMYFUNCTION("LEFT(REGEXREPLACE(B65, ""[^A-Za-z]"", """"), 3) &amp; RIGHT(D65, 2) &amp; LEFT(REGEXREPLACE(C65, ""[^A-Za-z]"", """"), 3)"),"Cop06Eat")</f>
        <v>Cop06Eat</v>
      </c>
      <c r="B65" s="2" t="s">
        <v>213</v>
      </c>
      <c r="C65" s="2" t="s">
        <v>217</v>
      </c>
      <c r="D65" s="2">
        <v>2006.0</v>
      </c>
      <c r="E65" s="2">
        <v>2013.0</v>
      </c>
      <c r="F65" s="2" t="s">
        <v>193</v>
      </c>
      <c r="G65" s="2" t="s">
        <v>15</v>
      </c>
      <c r="H65" s="2" t="s">
        <v>16</v>
      </c>
      <c r="I65" s="2" t="s">
        <v>17</v>
      </c>
      <c r="J65" s="2" t="s">
        <v>18</v>
      </c>
      <c r="L65" s="1" t="str">
        <f t="array" ref="L65">XLOOKUP(D65,'Other Data Fuckery'!$A$2:$A$101, 'Other Data Fuckery'!$B$2:$B$101)</f>
        <v>2000s</v>
      </c>
    </row>
    <row r="66" ht="14.25" customHeight="1">
      <c r="A66" s="1" t="str">
        <f>IFERROR(__xludf.DUMMYFUNCTION("LEFT(REGEXREPLACE(B66, ""[^A-Za-z]"", """"), 3) &amp; RIGHT(D66, 2) &amp; LEFT(REGEXREPLACE(C66, ""[^A-Za-z]"", """"), 3)"),"Cop03Ben")</f>
        <v>Cop03Ben</v>
      </c>
      <c r="B66" s="1" t="s">
        <v>213</v>
      </c>
      <c r="C66" s="2" t="s">
        <v>218</v>
      </c>
      <c r="D66" s="1">
        <v>2003.0</v>
      </c>
      <c r="E66" s="1">
        <v>2014.0</v>
      </c>
      <c r="F66" s="1" t="s">
        <v>193</v>
      </c>
      <c r="G66" s="2" t="s">
        <v>15</v>
      </c>
      <c r="H66" s="2" t="s">
        <v>16</v>
      </c>
      <c r="I66" s="1" t="s">
        <v>17</v>
      </c>
      <c r="J66" s="2" t="s">
        <v>18</v>
      </c>
      <c r="L66" s="1" t="str">
        <f t="array" ref="L66">XLOOKUP(D66,'Other Data Fuckery'!$A$2:$A$101, 'Other Data Fuckery'!$B$2:$B$101)</f>
        <v>2000s</v>
      </c>
    </row>
    <row r="67" ht="14.25" customHeight="1">
      <c r="A67" s="1" t="str">
        <f>IFERROR(__xludf.DUMMYFUNCTION("LEFT(REGEXREPLACE(B67, ""[^A-Za-z]"", """"), 3) &amp; RIGHT(D67, 2) &amp; LEFT(REGEXREPLACE(C67, ""[^A-Za-z]"", """"), 3)"),"Cop05InM")</f>
        <v>Cop05InM</v>
      </c>
      <c r="B67" s="1" t="s">
        <v>213</v>
      </c>
      <c r="C67" s="1" t="s">
        <v>219</v>
      </c>
      <c r="D67" s="1">
        <v>2005.0</v>
      </c>
      <c r="E67" s="1">
        <v>2014.0</v>
      </c>
      <c r="F67" s="1" t="s">
        <v>193</v>
      </c>
      <c r="G67" s="2" t="s">
        <v>15</v>
      </c>
      <c r="H67" s="2" t="s">
        <v>16</v>
      </c>
      <c r="I67" s="1" t="s">
        <v>17</v>
      </c>
      <c r="J67" s="2" t="s">
        <v>18</v>
      </c>
      <c r="L67" s="1" t="str">
        <f t="array" ref="L67">XLOOKUP(D67,'Other Data Fuckery'!$A$2:$A$101, 'Other Data Fuckery'!$B$2:$B$101)</f>
        <v>2000s</v>
      </c>
    </row>
    <row r="68" ht="14.25" customHeight="1">
      <c r="A68" s="1" t="str">
        <f>IFERROR(__xludf.DUMMYFUNCTION("LEFT(REGEXREPLACE(B68, ""[^A-Za-z]"", """"), 3) &amp; RIGHT(D68, 2) &amp; LEFT(REGEXREPLACE(C68, ""[^A-Za-z]"", """"), 3)"),"Cre68Whe")</f>
        <v>Cre68Whe</v>
      </c>
      <c r="B68" s="2" t="s">
        <v>220</v>
      </c>
      <c r="C68" s="2" t="s">
        <v>221</v>
      </c>
      <c r="D68" s="2">
        <v>1968.0</v>
      </c>
      <c r="E68" s="2">
        <v>1986.0</v>
      </c>
      <c r="F68" s="2" t="s">
        <v>222</v>
      </c>
      <c r="G68" s="2" t="s">
        <v>15</v>
      </c>
      <c r="H68" s="2" t="s">
        <v>35</v>
      </c>
      <c r="I68" s="2" t="s">
        <v>223</v>
      </c>
      <c r="J68" s="2" t="s">
        <v>18</v>
      </c>
      <c r="L68" s="1" t="str">
        <f t="array" ref="L68">XLOOKUP(D68,'Other Data Fuckery'!$A$2:$A$101, 'Other Data Fuckery'!$B$2:$B$101)</f>
        <v>1960s</v>
      </c>
    </row>
    <row r="69" ht="14.25" customHeight="1">
      <c r="A69" s="1" t="str">
        <f>IFERROR(__xludf.DUMMYFUNCTION("LEFT(REGEXREPLACE(B69, ""[^A-Za-z]"", """"), 3) &amp; RIGHT(D69, 2) &amp; LEFT(REGEXREPLACE(C69, ""[^A-Za-z]"", """"), 3)"),"Cul19Run")</f>
        <v>Cul19Run</v>
      </c>
      <c r="B69" s="1" t="s">
        <v>224</v>
      </c>
      <c r="C69" s="1" t="s">
        <v>225</v>
      </c>
      <c r="D69" s="1">
        <v>2019.0</v>
      </c>
      <c r="E69" s="1">
        <v>2019.0</v>
      </c>
      <c r="F69" s="1" t="s">
        <v>226</v>
      </c>
      <c r="G69" s="2" t="s">
        <v>15</v>
      </c>
      <c r="H69" s="2" t="s">
        <v>227</v>
      </c>
      <c r="I69" s="1" t="s">
        <v>228</v>
      </c>
      <c r="J69" s="2" t="s">
        <v>24</v>
      </c>
      <c r="K69" s="1" t="s">
        <v>229</v>
      </c>
      <c r="L69" s="1" t="str">
        <f t="array" ref="L69">XLOOKUP(D69,'Other Data Fuckery'!$A$2:$A$101, 'Other Data Fuckery'!$B$2:$B$101)</f>
        <v>2010s</v>
      </c>
    </row>
    <row r="70" ht="14.25" customHeight="1">
      <c r="A70" s="1" t="str">
        <f>IFERROR(__xludf.DUMMYFUNCTION("LEFT(REGEXREPLACE(B70, ""[^A-Za-z]"", """"), 3) &amp; RIGHT(D70, 2) &amp; LEFT(REGEXREPLACE(C70, ""[^A-Za-z]"", """"), 3)"),"Das01The")</f>
        <v>Das01The</v>
      </c>
      <c r="B70" s="2" t="s">
        <v>230</v>
      </c>
      <c r="C70" s="2" t="s">
        <v>231</v>
      </c>
      <c r="D70" s="2">
        <v>2001.0</v>
      </c>
      <c r="E70" s="2">
        <v>2020.0</v>
      </c>
      <c r="F70" s="2" t="s">
        <v>232</v>
      </c>
      <c r="G70" s="2" t="s">
        <v>233</v>
      </c>
      <c r="H70" s="2" t="s">
        <v>16</v>
      </c>
      <c r="I70" s="2" t="s">
        <v>17</v>
      </c>
      <c r="J70" s="2" t="s">
        <v>18</v>
      </c>
      <c r="L70" s="1" t="str">
        <f t="array" ref="L70">XLOOKUP(D70,'Other Data Fuckery'!$A$2:$A$101, 'Other Data Fuckery'!$B$2:$B$101)</f>
        <v>2000s</v>
      </c>
    </row>
    <row r="71" ht="14.25" customHeight="1">
      <c r="A71" s="1" t="str">
        <f>IFERROR(__xludf.DUMMYFUNCTION("LEFT(REGEXREPLACE(B71, ""[^A-Za-z]"", """"), 3) &amp; RIGHT(D71, 2) &amp; LEFT(REGEXREPLACE(C71, ""[^A-Za-z]"", """"), 3)"),"Das00The")</f>
        <v>Das00The</v>
      </c>
      <c r="B71" s="2" t="s">
        <v>230</v>
      </c>
      <c r="C71" s="2" t="s">
        <v>234</v>
      </c>
      <c r="D71" s="2">
        <v>2000.0</v>
      </c>
      <c r="E71" s="2">
        <v>2022.0</v>
      </c>
      <c r="F71" s="2" t="s">
        <v>232</v>
      </c>
      <c r="G71" s="2" t="s">
        <v>233</v>
      </c>
      <c r="H71" s="2" t="s">
        <v>16</v>
      </c>
      <c r="I71" s="2" t="s">
        <v>17</v>
      </c>
      <c r="J71" s="2" t="s">
        <v>18</v>
      </c>
      <c r="L71" s="1" t="str">
        <f t="array" ref="L71">XLOOKUP(D71,'Other Data Fuckery'!$A$2:$A$101, 'Other Data Fuckery'!$B$2:$B$101)</f>
        <v>2000s</v>
      </c>
    </row>
    <row r="72" ht="14.25" customHeight="1">
      <c r="A72" s="1" t="str">
        <f>IFERROR(__xludf.DUMMYFUNCTION("LEFT(REGEXREPLACE(B72, ""[^A-Za-z]"", """"), 3) &amp; RIGHT(D72, 2) &amp; LEFT(REGEXREPLACE(C72, ""[^A-Za-z]"", """"), 3)"),"Dav69Bit")</f>
        <v>Dav69Bit</v>
      </c>
      <c r="B72" s="1" t="s">
        <v>235</v>
      </c>
      <c r="C72" s="1" t="s">
        <v>236</v>
      </c>
      <c r="D72" s="1">
        <v>1969.0</v>
      </c>
      <c r="E72" s="1">
        <v>1969.0</v>
      </c>
      <c r="F72" s="1" t="s">
        <v>165</v>
      </c>
      <c r="G72" s="1" t="s">
        <v>29</v>
      </c>
      <c r="H72" s="1" t="s">
        <v>29</v>
      </c>
      <c r="I72" s="1" t="s">
        <v>106</v>
      </c>
      <c r="J72" s="2" t="s">
        <v>18</v>
      </c>
      <c r="L72" s="1" t="str">
        <f t="array" ref="L72">XLOOKUP(D72,'Other Data Fuckery'!$A$2:$A$101, 'Other Data Fuckery'!$B$2:$B$101)</f>
        <v>1960s</v>
      </c>
    </row>
    <row r="73" ht="14.25" customHeight="1">
      <c r="A73" s="1" t="str">
        <f>IFERROR(__xludf.DUMMYFUNCTION("LEFT(REGEXREPLACE(B73, ""[^A-Za-z]"", """"), 3) &amp; RIGHT(D73, 2) &amp; LEFT(REGEXREPLACE(C73, ""[^A-Za-z]"", """"), 3)"),"Dav85ANi")</f>
        <v>Dav85ANi</v>
      </c>
      <c r="B73" s="1" t="s">
        <v>235</v>
      </c>
      <c r="C73" s="1" t="s">
        <v>237</v>
      </c>
      <c r="D73" s="1">
        <v>1985.0</v>
      </c>
      <c r="E73" s="1">
        <v>1985.0</v>
      </c>
      <c r="F73" s="1" t="s">
        <v>238</v>
      </c>
      <c r="G73" s="1" t="s">
        <v>29</v>
      </c>
      <c r="H73" s="1" t="s">
        <v>29</v>
      </c>
      <c r="I73" s="1" t="s">
        <v>154</v>
      </c>
      <c r="J73" s="2" t="s">
        <v>18</v>
      </c>
      <c r="L73" s="1" t="str">
        <f t="array" ref="L73">XLOOKUP(D73,'Other Data Fuckery'!$A$2:$A$101, 'Other Data Fuckery'!$B$2:$B$101)</f>
        <v>1980s</v>
      </c>
    </row>
    <row r="74" ht="14.25" customHeight="1">
      <c r="A74" s="1" t="str">
        <f>IFERROR(__xludf.DUMMYFUNCTION("LEFT(REGEXREPLACE(B74, ""[^A-Za-z]"", """"), 3) &amp; RIGHT(D74, 2) &amp; LEFT(REGEXREPLACE(C74, ""[^A-Za-z]"", """"), 3)"),"Dav59Kin")</f>
        <v>Dav59Kin</v>
      </c>
      <c r="B74" s="1" t="s">
        <v>235</v>
      </c>
      <c r="C74" s="1" t="s">
        <v>239</v>
      </c>
      <c r="D74" s="1">
        <v>1959.0</v>
      </c>
      <c r="E74" s="1">
        <v>2010.0</v>
      </c>
      <c r="F74" s="1" t="s">
        <v>165</v>
      </c>
      <c r="G74" s="1" t="s">
        <v>29</v>
      </c>
      <c r="H74" s="1" t="s">
        <v>29</v>
      </c>
      <c r="I74" s="1" t="s">
        <v>31</v>
      </c>
      <c r="J74" s="2" t="s">
        <v>18</v>
      </c>
      <c r="L74" s="1" t="str">
        <f t="array" ref="L74">XLOOKUP(D74,'Other Data Fuckery'!$A$2:$A$101, 'Other Data Fuckery'!$B$2:$B$101)</f>
        <v>1950s</v>
      </c>
    </row>
    <row r="75" ht="14.25" customHeight="1">
      <c r="A75" s="1" t="str">
        <f>IFERROR(__xludf.DUMMYFUNCTION("LEFT(REGEXREPLACE(B75, ""[^A-Za-z]"", """"), 3) &amp; RIGHT(D75, 2) &amp; LEFT(REGEXREPLACE(C75, ""[^A-Za-z]"", """"), 3)"),"Dav58Mil")</f>
        <v>Dav58Mil</v>
      </c>
      <c r="B75" s="2" t="s">
        <v>235</v>
      </c>
      <c r="C75" s="2" t="s">
        <v>240</v>
      </c>
      <c r="D75" s="2">
        <v>1958.0</v>
      </c>
      <c r="E75" s="2">
        <v>2013.0</v>
      </c>
      <c r="F75" s="2" t="s">
        <v>165</v>
      </c>
      <c r="G75" s="2" t="s">
        <v>29</v>
      </c>
      <c r="H75" s="2" t="s">
        <v>29</v>
      </c>
      <c r="I75" s="2" t="s">
        <v>53</v>
      </c>
      <c r="J75" s="2" t="s">
        <v>18</v>
      </c>
      <c r="L75" s="1" t="str">
        <f t="array" ref="L75">XLOOKUP(D75,'Other Data Fuckery'!$A$2:$A$101, 'Other Data Fuckery'!$B$2:$B$101)</f>
        <v>1950s</v>
      </c>
    </row>
    <row r="76" ht="14.25" customHeight="1">
      <c r="A76" s="1" t="str">
        <f>IFERROR(__xludf.DUMMYFUNCTION("LEFT(REGEXREPLACE(B76, ""[^A-Za-z]"", """"), 3) &amp; RIGHT(D76, 2) &amp; LEFT(REGEXREPLACE(C76, ""[^A-Za-z]"", """"), 3)"),"Dav61Som")</f>
        <v>Dav61Som</v>
      </c>
      <c r="B76" s="1" t="s">
        <v>235</v>
      </c>
      <c r="C76" s="1" t="s">
        <v>241</v>
      </c>
      <c r="D76" s="1">
        <v>1961.0</v>
      </c>
      <c r="E76" s="1">
        <v>2023.0</v>
      </c>
      <c r="F76" s="1" t="s">
        <v>165</v>
      </c>
      <c r="G76" s="1" t="s">
        <v>29</v>
      </c>
      <c r="H76" s="1" t="s">
        <v>29</v>
      </c>
      <c r="I76" s="1" t="s">
        <v>96</v>
      </c>
      <c r="J76" s="2" t="s">
        <v>18</v>
      </c>
      <c r="L76" s="1" t="str">
        <f t="array" ref="L76">XLOOKUP(D76,'Other Data Fuckery'!$A$2:$A$101, 'Other Data Fuckery'!$B$2:$B$101)</f>
        <v>1960s</v>
      </c>
    </row>
    <row r="77" ht="14.25" customHeight="1">
      <c r="A77" s="1" t="str">
        <f>IFERROR(__xludf.DUMMYFUNCTION("LEFT(REGEXREPLACE(B77, ""[^A-Za-z]"", """"), 3) &amp; RIGHT(D77, 2) &amp; LEFT(REGEXREPLACE(C77, ""[^A-Za-z]"", """"), 3)"),"Dea23Tra")</f>
        <v>Dea23Tra</v>
      </c>
      <c r="B77" s="1" t="s">
        <v>242</v>
      </c>
      <c r="C77" s="1" t="s">
        <v>243</v>
      </c>
      <c r="D77" s="1">
        <v>2023.0</v>
      </c>
      <c r="E77" s="1">
        <v>2023.0</v>
      </c>
      <c r="F77" s="1" t="s">
        <v>244</v>
      </c>
      <c r="G77" s="2" t="s">
        <v>15</v>
      </c>
      <c r="H77" s="2" t="s">
        <v>16</v>
      </c>
      <c r="I77" s="1" t="s">
        <v>53</v>
      </c>
      <c r="J77" s="2" t="s">
        <v>18</v>
      </c>
      <c r="L77" s="1" t="str">
        <f t="array" ref="L77">XLOOKUP(D77,'Other Data Fuckery'!$A$2:$A$101, 'Other Data Fuckery'!$B$2:$B$101)</f>
        <v>2020s</v>
      </c>
    </row>
    <row r="78" ht="14.25" customHeight="1">
      <c r="A78" s="1" t="str">
        <f>IFERROR(__xludf.DUMMYFUNCTION("LEFT(REGEXREPLACE(B78, ""[^A-Za-z]"", """"), 3) &amp; RIGHT(D78, 2) &amp; LEFT(REGEXREPLACE(C78, ""[^A-Za-z]"", """"), 3)"),"Dea05Pla")</f>
        <v>Dea05Pla</v>
      </c>
      <c r="B78" s="2" t="s">
        <v>242</v>
      </c>
      <c r="C78" s="2" t="s">
        <v>245</v>
      </c>
      <c r="D78" s="2">
        <v>2005.0</v>
      </c>
      <c r="F78" s="2" t="s">
        <v>244</v>
      </c>
      <c r="G78" s="2" t="s">
        <v>15</v>
      </c>
      <c r="H78" s="2" t="s">
        <v>16</v>
      </c>
      <c r="I78" s="2" t="s">
        <v>208</v>
      </c>
      <c r="J78" s="2" t="s">
        <v>18</v>
      </c>
      <c r="L78" s="1" t="str">
        <f t="array" ref="L78">XLOOKUP(D78,'Other Data Fuckery'!$A$2:$A$101, 'Other Data Fuckery'!$B$2:$B$101)</f>
        <v>2000s</v>
      </c>
    </row>
    <row r="79" ht="14.25" customHeight="1">
      <c r="A79" s="1" t="str">
        <f>IFERROR(__xludf.DUMMYFUNCTION("LEFT(REGEXREPLACE(B79, ""[^A-Za-z]"", """"), 3) &amp; RIGHT(D79, 2) &amp; LEFT(REGEXREPLACE(C79, ""[^A-Za-z]"", """"), 3)"),"Dec10The")</f>
        <v>Dec10The</v>
      </c>
      <c r="B79" s="2" t="s">
        <v>246</v>
      </c>
      <c r="C79" s="1" t="s">
        <v>247</v>
      </c>
      <c r="D79" s="1">
        <v>2010.0</v>
      </c>
      <c r="E79" s="1">
        <v>2010.0</v>
      </c>
      <c r="F79" s="1" t="s">
        <v>78</v>
      </c>
      <c r="G79" s="2" t="s">
        <v>15</v>
      </c>
      <c r="H79" s="2" t="s">
        <v>16</v>
      </c>
      <c r="I79" s="1" t="s">
        <v>216</v>
      </c>
      <c r="J79" s="2" t="s">
        <v>18</v>
      </c>
      <c r="L79" s="1" t="str">
        <f t="array" ref="L79">XLOOKUP(D79,'Other Data Fuckery'!$A$2:$A$101, 'Other Data Fuckery'!$B$2:$B$101)</f>
        <v>2010s</v>
      </c>
    </row>
    <row r="80" ht="14.25" customHeight="1">
      <c r="A80" s="1" t="str">
        <f>IFERROR(__xludf.DUMMYFUNCTION("LEFT(REGEXREPLACE(B80, ""[^A-Za-z]"", """"), 3) &amp; RIGHT(D80, 2) &amp; LEFT(REGEXREPLACE(C80, ""[^A-Za-z]"", """"), 3)"),"Dir85Bro")</f>
        <v>Dir85Bro</v>
      </c>
      <c r="B80" s="1" t="s">
        <v>248</v>
      </c>
      <c r="C80" s="1" t="s">
        <v>249</v>
      </c>
      <c r="D80" s="1">
        <v>1985.0</v>
      </c>
      <c r="E80" s="1">
        <v>1985.0</v>
      </c>
      <c r="F80" s="1" t="s">
        <v>61</v>
      </c>
      <c r="G80" s="1" t="s">
        <v>15</v>
      </c>
      <c r="H80" s="2" t="s">
        <v>35</v>
      </c>
      <c r="I80" s="1" t="s">
        <v>250</v>
      </c>
      <c r="J80" s="2" t="s">
        <v>18</v>
      </c>
      <c r="L80" s="1" t="str">
        <f t="array" ref="L80">XLOOKUP(D80,'Other Data Fuckery'!$A$2:$A$101, 'Other Data Fuckery'!$B$2:$B$101)</f>
        <v>1980s</v>
      </c>
    </row>
    <row r="81" ht="14.25" customHeight="1">
      <c r="A81" s="1" t="str">
        <f>IFERROR(__xludf.DUMMYFUNCTION("LEFT(REGEXREPLACE(B81, ""[^A-Za-z]"", """"), 3) &amp; RIGHT(D81, 2) &amp; LEFT(REGEXREPLACE(C81, ""[^A-Za-z]"", """"), 3)"),"Dis79Mic")</f>
        <v>Dis79Mic</v>
      </c>
      <c r="B81" s="2" t="s">
        <v>251</v>
      </c>
      <c r="C81" s="1" t="s">
        <v>252</v>
      </c>
      <c r="D81" s="1">
        <v>1979.0</v>
      </c>
      <c r="E81" s="1">
        <v>1979.0</v>
      </c>
      <c r="F81" s="1" t="s">
        <v>253</v>
      </c>
      <c r="G81" s="2" t="s">
        <v>204</v>
      </c>
      <c r="H81" s="2" t="s">
        <v>254</v>
      </c>
      <c r="I81" s="1" t="s">
        <v>138</v>
      </c>
      <c r="J81" s="2" t="s">
        <v>24</v>
      </c>
      <c r="K81" s="1" t="s">
        <v>229</v>
      </c>
      <c r="L81" s="1" t="str">
        <f t="array" ref="L81">XLOOKUP(D81,'Other Data Fuckery'!$A$2:$A$101, 'Other Data Fuckery'!$B$2:$B$101)</f>
        <v>1970s</v>
      </c>
    </row>
    <row r="82" ht="14.25" customHeight="1">
      <c r="A82" s="1" t="str">
        <f>IFERROR(__xludf.DUMMYFUNCTION("LEFT(REGEXREPLACE(B82, ""[^A-Za-z]"", """"), 3) &amp; RIGHT(D82, 2) &amp; LEFT(REGEXREPLACE(C82, ""[^A-Za-z]"", """"), 3)"),"Dis82Mic")</f>
        <v>Dis82Mic</v>
      </c>
      <c r="B82" s="2" t="s">
        <v>251</v>
      </c>
      <c r="C82" s="1" t="s">
        <v>255</v>
      </c>
      <c r="D82" s="1">
        <v>1982.0</v>
      </c>
      <c r="E82" s="1">
        <v>1982.0</v>
      </c>
      <c r="F82" s="1" t="s">
        <v>253</v>
      </c>
      <c r="G82" s="2" t="s">
        <v>70</v>
      </c>
      <c r="H82" s="2" t="s">
        <v>204</v>
      </c>
      <c r="I82" s="1" t="s">
        <v>138</v>
      </c>
      <c r="J82" s="2" t="s">
        <v>24</v>
      </c>
      <c r="K82" s="1" t="s">
        <v>229</v>
      </c>
      <c r="L82" s="1" t="str">
        <f t="array" ref="L82">XLOOKUP(D82,'Other Data Fuckery'!$A$2:$A$101, 'Other Data Fuckery'!$B$2:$B$101)</f>
        <v>1980s</v>
      </c>
    </row>
    <row r="83" ht="14.25" customHeight="1">
      <c r="A83" s="1" t="str">
        <f>IFERROR(__xludf.DUMMYFUNCTION("LEFT(REGEXREPLACE(B83, ""[^A-Za-z]"", """"), 3) &amp; RIGHT(D83, 2) &amp; LEFT(REGEXREPLACE(C83, ""[^A-Za-z]"", """"), 3)"),"Dis61Fun")</f>
        <v>Dis61Fun</v>
      </c>
      <c r="B83" s="2" t="s">
        <v>251</v>
      </c>
      <c r="C83" s="1" t="s">
        <v>256</v>
      </c>
      <c r="D83" s="1">
        <v>1961.0</v>
      </c>
      <c r="E83" s="1">
        <v>1961.0</v>
      </c>
      <c r="F83" s="1" t="s">
        <v>253</v>
      </c>
      <c r="G83" s="1" t="s">
        <v>204</v>
      </c>
      <c r="H83" s="1" t="s">
        <v>204</v>
      </c>
      <c r="I83" s="1" t="s">
        <v>53</v>
      </c>
      <c r="J83" s="2" t="s">
        <v>24</v>
      </c>
      <c r="L83" s="1" t="str">
        <f t="array" ref="L83">XLOOKUP(D83,'Other Data Fuckery'!$A$2:$A$101, 'Other Data Fuckery'!$B$2:$B$101)</f>
        <v>1960s</v>
      </c>
    </row>
    <row r="84" ht="14.25" customHeight="1">
      <c r="A84" s="1" t="str">
        <f>IFERROR(__xludf.DUMMYFUNCTION("LEFT(REGEXREPLACE(B84, ""[^A-Za-z]"", """"), 3) &amp; RIGHT(D84, 2) &amp; LEFT(REGEXREPLACE(C84, ""[^A-Za-z]"", """"), 3)"),"Dis59Cin")</f>
        <v>Dis59Cin</v>
      </c>
      <c r="B84" s="2" t="s">
        <v>251</v>
      </c>
      <c r="C84" s="1" t="s">
        <v>257</v>
      </c>
      <c r="D84" s="1">
        <v>1959.0</v>
      </c>
      <c r="E84" s="1">
        <v>1963.0</v>
      </c>
      <c r="F84" s="1" t="s">
        <v>253</v>
      </c>
      <c r="G84" s="1" t="s">
        <v>204</v>
      </c>
      <c r="H84" s="1" t="s">
        <v>204</v>
      </c>
      <c r="I84" s="1" t="s">
        <v>53</v>
      </c>
      <c r="J84" s="2" t="s">
        <v>24</v>
      </c>
      <c r="L84" s="1" t="str">
        <f t="array" ref="L84">XLOOKUP(D84,'Other Data Fuckery'!$A$2:$A$101, 'Other Data Fuckery'!$B$2:$B$101)</f>
        <v>1950s</v>
      </c>
    </row>
    <row r="85" ht="14.25" customHeight="1">
      <c r="A85" s="1" t="str">
        <f>IFERROR(__xludf.DUMMYFUNCTION("LEFT(REGEXREPLACE(B85, ""[^A-Za-z]"", """"), 3) &amp; RIGHT(D85, 2) &amp; LEFT(REGEXREPLACE(C85, ""[^A-Za-z]"", """"), 3)"),"Dis64Its")</f>
        <v>Dis64Its</v>
      </c>
      <c r="B85" s="2" t="s">
        <v>251</v>
      </c>
      <c r="C85" s="1" t="s">
        <v>258</v>
      </c>
      <c r="D85" s="1">
        <v>1964.0</v>
      </c>
      <c r="E85" s="1">
        <v>1964.0</v>
      </c>
      <c r="F85" s="1" t="s">
        <v>253</v>
      </c>
      <c r="G85" s="1" t="s">
        <v>204</v>
      </c>
      <c r="H85" s="1" t="s">
        <v>204</v>
      </c>
      <c r="I85" s="2" t="s">
        <v>83</v>
      </c>
      <c r="J85" s="2" t="s">
        <v>24</v>
      </c>
      <c r="L85" s="1" t="str">
        <f t="array" ref="L85">XLOOKUP(D85,'Other Data Fuckery'!$A$2:$A$101, 'Other Data Fuckery'!$B$2:$B$101)</f>
        <v>1960s</v>
      </c>
    </row>
    <row r="86" ht="14.25" customHeight="1">
      <c r="A86" s="1" t="str">
        <f>IFERROR(__xludf.DUMMYFUNCTION("LEFT(REGEXREPLACE(B86, ""[^A-Za-z]"", """"), 3) &amp; RIGHT(D86, 2) &amp; LEFT(REGEXREPLACE(C86, ""[^A-Za-z]"", """"), 3)"),"Dis68Mer")</f>
        <v>Dis68Mer</v>
      </c>
      <c r="B86" s="2" t="s">
        <v>251</v>
      </c>
      <c r="C86" s="1" t="s">
        <v>259</v>
      </c>
      <c r="D86" s="1">
        <v>1968.0</v>
      </c>
      <c r="E86" s="1">
        <v>1968.0</v>
      </c>
      <c r="F86" s="1" t="s">
        <v>253</v>
      </c>
      <c r="G86" s="1" t="s">
        <v>204</v>
      </c>
      <c r="H86" s="1" t="s">
        <v>204</v>
      </c>
      <c r="I86" s="1" t="s">
        <v>53</v>
      </c>
      <c r="J86" s="2" t="s">
        <v>24</v>
      </c>
      <c r="L86" s="1" t="str">
        <f t="array" ref="L86">XLOOKUP(D86,'Other Data Fuckery'!$A$2:$A$101, 'Other Data Fuckery'!$B$2:$B$101)</f>
        <v>1960s</v>
      </c>
    </row>
    <row r="87" ht="14.25" customHeight="1">
      <c r="A87" s="1" t="str">
        <f>IFERROR(__xludf.DUMMYFUNCTION("LEFT(REGEXREPLACE(B87, ""[^A-Za-z]"", """"), 3) &amp; RIGHT(D87, 2) &amp; LEFT(REGEXREPLACE(C87, ""[^A-Za-z]"", """"), 3)"),"Dis71Son")</f>
        <v>Dis71Son</v>
      </c>
      <c r="B87" s="2" t="s">
        <v>251</v>
      </c>
      <c r="C87" s="1" t="s">
        <v>260</v>
      </c>
      <c r="D87" s="1">
        <v>1971.0</v>
      </c>
      <c r="E87" s="1">
        <v>1971.0</v>
      </c>
      <c r="F87" s="1" t="s">
        <v>253</v>
      </c>
      <c r="G87" s="1" t="s">
        <v>204</v>
      </c>
      <c r="H87" s="1" t="s">
        <v>204</v>
      </c>
      <c r="I87" s="1" t="s">
        <v>53</v>
      </c>
      <c r="J87" s="2" t="s">
        <v>24</v>
      </c>
      <c r="L87" s="1" t="str">
        <f t="array" ref="L87">XLOOKUP(D87,'Other Data Fuckery'!$A$2:$A$101, 'Other Data Fuckery'!$B$2:$B$101)</f>
        <v>1970s</v>
      </c>
    </row>
    <row r="88" ht="14.25" customHeight="1">
      <c r="A88" s="1" t="str">
        <f>IFERROR(__xludf.DUMMYFUNCTION("LEFT(REGEXREPLACE(B88, ""[^A-Za-z]"", """"), 3) &amp; RIGHT(D88, 2) &amp; LEFT(REGEXREPLACE(C88, ""[^A-Za-z]"", """"), 3)"),"Dis73ACh")</f>
        <v>Dis73ACh</v>
      </c>
      <c r="B88" s="2" t="s">
        <v>251</v>
      </c>
      <c r="C88" s="1" t="s">
        <v>261</v>
      </c>
      <c r="D88" s="1">
        <v>1973.0</v>
      </c>
      <c r="E88" s="1">
        <v>1973.0</v>
      </c>
      <c r="F88" s="1" t="s">
        <v>253</v>
      </c>
      <c r="G88" s="1" t="s">
        <v>204</v>
      </c>
      <c r="H88" s="1" t="s">
        <v>204</v>
      </c>
      <c r="I88" s="1" t="s">
        <v>96</v>
      </c>
      <c r="J88" s="2" t="s">
        <v>24</v>
      </c>
      <c r="L88" s="1" t="str">
        <f t="array" ref="L88">XLOOKUP(D88,'Other Data Fuckery'!$A$2:$A$101, 'Other Data Fuckery'!$B$2:$B$101)</f>
        <v>1970s</v>
      </c>
    </row>
    <row r="89" ht="14.25" customHeight="1">
      <c r="A89" s="1" t="str">
        <f>IFERROR(__xludf.DUMMYFUNCTION("LEFT(REGEXREPLACE(B89, ""[^A-Za-z]"", """"), 3) &amp; RIGHT(D89, 2) &amp; LEFT(REGEXREPLACE(C89, ""[^A-Za-z]"", """"), 3)"),"Dis73Chr")</f>
        <v>Dis73Chr</v>
      </c>
      <c r="B89" s="2" t="s">
        <v>251</v>
      </c>
      <c r="C89" s="1" t="s">
        <v>262</v>
      </c>
      <c r="D89" s="1">
        <v>1973.0</v>
      </c>
      <c r="E89" s="1">
        <v>1973.0</v>
      </c>
      <c r="F89" s="1" t="s">
        <v>253</v>
      </c>
      <c r="G89" s="1" t="s">
        <v>204</v>
      </c>
      <c r="H89" s="1" t="s">
        <v>204</v>
      </c>
      <c r="I89" s="1" t="s">
        <v>96</v>
      </c>
      <c r="J89" s="2" t="s">
        <v>24</v>
      </c>
      <c r="L89" s="1" t="str">
        <f t="array" ref="L89">XLOOKUP(D89,'Other Data Fuckery'!$A$2:$A$101, 'Other Data Fuckery'!$B$2:$B$101)</f>
        <v>1970s</v>
      </c>
    </row>
    <row r="90" ht="14.25" customHeight="1">
      <c r="A90" s="1" t="str">
        <f>IFERROR(__xludf.DUMMYFUNCTION("LEFT(REGEXREPLACE(B90, ""[^A-Za-z]"", """"), 3) &amp; RIGHT(D90, 2) &amp; LEFT(REGEXREPLACE(C90, ""[^A-Za-z]"", """"), 3)"),"Dis16Jaz")</f>
        <v>Dis16Jaz</v>
      </c>
      <c r="B90" s="2" t="s">
        <v>251</v>
      </c>
      <c r="C90" s="2" t="s">
        <v>263</v>
      </c>
      <c r="D90" s="2">
        <v>2016.0</v>
      </c>
      <c r="E90" s="2">
        <v>2016.0</v>
      </c>
      <c r="F90" s="2" t="s">
        <v>264</v>
      </c>
      <c r="G90" s="2" t="s">
        <v>29</v>
      </c>
      <c r="H90" s="2" t="s">
        <v>29</v>
      </c>
      <c r="I90" s="2" t="s">
        <v>265</v>
      </c>
      <c r="J90" s="2" t="s">
        <v>24</v>
      </c>
      <c r="L90" s="1" t="str">
        <f t="array" ref="L90">XLOOKUP(D90,'Other Data Fuckery'!$A$2:$A$101, 'Other Data Fuckery'!$B$2:$B$101)</f>
        <v>2010s</v>
      </c>
    </row>
    <row r="91" ht="14.25" customHeight="1">
      <c r="A91" s="1" t="str">
        <f>IFERROR(__xludf.DUMMYFUNCTION("LEFT(REGEXREPLACE(B91, ""[^A-Za-z]"", """"), 3) &amp; RIGHT(D91, 2) &amp; LEFT(REGEXREPLACE(C91, ""[^A-Za-z]"", """"), 3)"),"Dis22Lof")</f>
        <v>Dis22Lof</v>
      </c>
      <c r="B91" s="2" t="s">
        <v>251</v>
      </c>
      <c r="C91" s="1" t="s">
        <v>266</v>
      </c>
      <c r="D91" s="1">
        <v>2022.0</v>
      </c>
      <c r="E91" s="1">
        <v>2022.0</v>
      </c>
      <c r="F91" s="1" t="s">
        <v>267</v>
      </c>
      <c r="G91" s="2" t="s">
        <v>204</v>
      </c>
      <c r="H91" s="2" t="s">
        <v>268</v>
      </c>
      <c r="I91" s="1" t="s">
        <v>53</v>
      </c>
      <c r="J91" s="2" t="s">
        <v>24</v>
      </c>
      <c r="L91" s="1" t="str">
        <f t="array" ref="L91">XLOOKUP(D91,'Other Data Fuckery'!$A$2:$A$101, 'Other Data Fuckery'!$B$2:$B$101)</f>
        <v>2020s</v>
      </c>
    </row>
    <row r="92" ht="14.25" customHeight="1">
      <c r="A92" s="1" t="str">
        <f>IFERROR(__xludf.DUMMYFUNCTION("LEFT(REGEXREPLACE(B92, ""[^A-Za-z]"", """"), 3) &amp; RIGHT(D92, 2) &amp; LEFT(REGEXREPLACE(C92, ""[^A-Za-z]"", """"), 3)"),"Dis23Dis")</f>
        <v>Dis23Dis</v>
      </c>
      <c r="B92" s="2" t="s">
        <v>251</v>
      </c>
      <c r="C92" s="1" t="s">
        <v>269</v>
      </c>
      <c r="D92" s="1">
        <v>2023.0</v>
      </c>
      <c r="E92" s="1">
        <v>2023.0</v>
      </c>
      <c r="F92" s="1" t="s">
        <v>267</v>
      </c>
      <c r="G92" s="1" t="s">
        <v>75</v>
      </c>
      <c r="H92" s="1" t="s">
        <v>75</v>
      </c>
      <c r="I92" s="1" t="s">
        <v>53</v>
      </c>
      <c r="J92" s="2" t="s">
        <v>24</v>
      </c>
      <c r="L92" s="1" t="str">
        <f t="array" ref="L92">XLOOKUP(D92,'Other Data Fuckery'!$A$2:$A$101, 'Other Data Fuckery'!$B$2:$B$101)</f>
        <v>2020s</v>
      </c>
    </row>
    <row r="93" ht="14.25" customHeight="1">
      <c r="A93" s="1" t="str">
        <f>IFERROR(__xludf.DUMMYFUNCTION("LEFT(REGEXREPLACE(B93, ""[^A-Za-z]"", """"), 3) &amp; RIGHT(D93, 2) &amp; LEFT(REGEXREPLACE(C93, ""[^A-Za-z]"", """"), 3)"),"Doc67Doc")</f>
        <v>Doc67Doc</v>
      </c>
      <c r="B93" s="2" t="s">
        <v>270</v>
      </c>
      <c r="C93" s="1" t="s">
        <v>271</v>
      </c>
      <c r="D93" s="2">
        <v>1967.0</v>
      </c>
      <c r="E93" s="1">
        <v>2018.0</v>
      </c>
      <c r="F93" s="1" t="s">
        <v>272</v>
      </c>
      <c r="G93" s="1" t="s">
        <v>75</v>
      </c>
      <c r="H93" s="1" t="s">
        <v>75</v>
      </c>
      <c r="I93" s="1" t="s">
        <v>53</v>
      </c>
      <c r="J93" s="2" t="s">
        <v>24</v>
      </c>
      <c r="K93" s="1" t="s">
        <v>151</v>
      </c>
      <c r="L93" s="1" t="str">
        <f t="array" ref="L93">XLOOKUP(D93,'Other Data Fuckery'!$A$2:$A$101, 'Other Data Fuckery'!$B$2:$B$101)</f>
        <v>1960s</v>
      </c>
    </row>
    <row r="94" ht="14.25" customHeight="1">
      <c r="A94" s="1" t="str">
        <f>IFERROR(__xludf.DUMMYFUNCTION("LEFT(REGEXREPLACE(B94, ""[^A-Za-z]"", """"), 3) &amp; RIGHT(D94, 2) &amp; LEFT(REGEXREPLACE(C94, ""[^A-Za-z]"", """"), 3)"),"Doc79Doc")</f>
        <v>Doc79Doc</v>
      </c>
      <c r="B94" s="2" t="s">
        <v>270</v>
      </c>
      <c r="C94" s="1" t="s">
        <v>273</v>
      </c>
      <c r="D94" s="2">
        <v>1979.0</v>
      </c>
      <c r="E94" s="1">
        <v>2018.0</v>
      </c>
      <c r="F94" s="1" t="s">
        <v>272</v>
      </c>
      <c r="G94" s="1" t="s">
        <v>75</v>
      </c>
      <c r="H94" s="1" t="s">
        <v>75</v>
      </c>
      <c r="I94" s="1" t="s">
        <v>53</v>
      </c>
      <c r="J94" s="2" t="s">
        <v>24</v>
      </c>
      <c r="K94" s="1" t="s">
        <v>151</v>
      </c>
      <c r="L94" s="1" t="str">
        <f t="array" ref="L94">XLOOKUP(D94,'Other Data Fuckery'!$A$2:$A$101, 'Other Data Fuckery'!$B$2:$B$101)</f>
        <v>1970s</v>
      </c>
    </row>
    <row r="95" ht="14.25" customHeight="1">
      <c r="A95" s="1" t="str">
        <f>IFERROR(__xludf.DUMMYFUNCTION("LEFT(REGEXREPLACE(B95, ""[^A-Za-z]"", """"), 3) &amp; RIGHT(D95, 2) &amp; LEFT(REGEXREPLACE(C95, ""[^A-Za-z]"", """"), 3)"),"Ear02For")</f>
        <v>Ear02For</v>
      </c>
      <c r="B95" s="2" t="s">
        <v>274</v>
      </c>
      <c r="C95" s="2" t="s">
        <v>275</v>
      </c>
      <c r="D95" s="2">
        <v>2002.0</v>
      </c>
      <c r="E95" s="2">
        <v>2023.0</v>
      </c>
      <c r="F95" s="2" t="s">
        <v>276</v>
      </c>
      <c r="G95" s="2" t="s">
        <v>15</v>
      </c>
      <c r="H95" s="2" t="s">
        <v>16</v>
      </c>
      <c r="I95" s="2" t="s">
        <v>216</v>
      </c>
      <c r="J95" s="2" t="s">
        <v>18</v>
      </c>
      <c r="L95" s="1" t="str">
        <f t="array" ref="L95">XLOOKUP(D95,'Other Data Fuckery'!$A$2:$A$101, 'Other Data Fuckery'!$B$2:$B$101)</f>
        <v>2000s</v>
      </c>
    </row>
    <row r="96" ht="14.25" customHeight="1">
      <c r="A96" s="1" t="str">
        <f>IFERROR(__xludf.DUMMYFUNCTION("LEFT(REGEXREPLACE(B96, ""[^A-Za-z]"", """"), 3) &amp; RIGHT(D96, 2) &amp; LEFT(REGEXREPLACE(C96, ""[^A-Za-z]"", """"), 3)"),"Edg72The")</f>
        <v>Edg72The</v>
      </c>
      <c r="B96" s="2" t="s">
        <v>277</v>
      </c>
      <c r="C96" s="1" t="s">
        <v>278</v>
      </c>
      <c r="D96" s="1">
        <v>1972.0</v>
      </c>
      <c r="E96" s="1">
        <v>1972.0</v>
      </c>
      <c r="F96" s="1" t="s">
        <v>279</v>
      </c>
      <c r="G96" s="1" t="s">
        <v>15</v>
      </c>
      <c r="H96" s="2" t="s">
        <v>35</v>
      </c>
      <c r="I96" s="1" t="s">
        <v>154</v>
      </c>
      <c r="J96" s="2" t="s">
        <v>18</v>
      </c>
      <c r="L96" s="1" t="str">
        <f t="array" ref="L96">XLOOKUP(D96,'Other Data Fuckery'!$A$2:$A$101, 'Other Data Fuckery'!$B$2:$B$101)</f>
        <v>1970s</v>
      </c>
    </row>
    <row r="97" ht="14.25" customHeight="1">
      <c r="A97" s="1" t="str">
        <f>IFERROR(__xludf.DUMMYFUNCTION("LEFT(REGEXREPLACE(B97, ""[^A-Za-z]"", """"), 3) &amp; RIGHT(D97, 2) &amp; LEFT(REGEXREPLACE(C97, ""[^A-Za-z]"", """"), 3)"),"Eme21The")</f>
        <v>Eme21The</v>
      </c>
      <c r="B97" s="2" t="s">
        <v>280</v>
      </c>
      <c r="C97" s="2" t="s">
        <v>281</v>
      </c>
      <c r="D97" s="2">
        <v>2021.0</v>
      </c>
      <c r="E97" s="2">
        <v>2021.0</v>
      </c>
      <c r="F97" s="2" t="s">
        <v>282</v>
      </c>
      <c r="G97" s="2" t="s">
        <v>15</v>
      </c>
      <c r="H97" s="2" t="s">
        <v>16</v>
      </c>
      <c r="I97" s="1" t="s">
        <v>216</v>
      </c>
      <c r="J97" s="2" t="s">
        <v>18</v>
      </c>
      <c r="L97" s="1" t="str">
        <f t="array" ref="L97">XLOOKUP(D97,'Other Data Fuckery'!$A$2:$A$101, 'Other Data Fuckery'!$B$2:$B$101)</f>
        <v>2020s</v>
      </c>
    </row>
    <row r="98" ht="14.25" customHeight="1">
      <c r="A98" s="1" t="str">
        <f>IFERROR(__xludf.DUMMYFUNCTION("LEFT(REGEXREPLACE(B98, ""[^A-Za-z]"", """"), 3) &amp; RIGHT(D98, 2) &amp; LEFT(REGEXREPLACE(C98, ""[^A-Za-z]"", """"), 3)"),"Eme22The")</f>
        <v>Eme22The</v>
      </c>
      <c r="B98" s="2" t="s">
        <v>280</v>
      </c>
      <c r="C98" s="2" t="s">
        <v>283</v>
      </c>
      <c r="D98" s="2">
        <v>2022.0</v>
      </c>
      <c r="E98" s="2">
        <v>2022.0</v>
      </c>
      <c r="F98" s="2" t="s">
        <v>284</v>
      </c>
      <c r="G98" s="2" t="s">
        <v>15</v>
      </c>
      <c r="H98" s="2" t="s">
        <v>16</v>
      </c>
      <c r="I98" s="2" t="s">
        <v>285</v>
      </c>
      <c r="J98" s="2" t="s">
        <v>18</v>
      </c>
      <c r="L98" s="1" t="str">
        <f t="array" ref="L98">XLOOKUP(D98,'Other Data Fuckery'!$A$2:$A$101, 'Other Data Fuckery'!$B$2:$B$101)</f>
        <v>2020s</v>
      </c>
    </row>
    <row r="99" ht="14.25" customHeight="1">
      <c r="A99" s="1" t="str">
        <f>IFERROR(__xludf.DUMMYFUNCTION("LEFT(REGEXREPLACE(B99, ""[^A-Za-z]"", """"), 3) &amp; RIGHT(D99, 2) &amp; LEFT(REGEXREPLACE(C99, ""[^A-Za-z]"", """"), 3)"),"Eva60Por")</f>
        <v>Eva60Por</v>
      </c>
      <c r="B99" s="1" t="s">
        <v>286</v>
      </c>
      <c r="C99" s="1" t="s">
        <v>287</v>
      </c>
      <c r="D99" s="1">
        <v>1960.0</v>
      </c>
      <c r="E99" s="1">
        <v>2020.0</v>
      </c>
      <c r="F99" s="1" t="s">
        <v>288</v>
      </c>
      <c r="G99" s="1" t="s">
        <v>29</v>
      </c>
      <c r="H99" s="1" t="s">
        <v>29</v>
      </c>
      <c r="I99" s="1" t="s">
        <v>53</v>
      </c>
      <c r="J99" s="2" t="s">
        <v>18</v>
      </c>
      <c r="L99" s="1" t="str">
        <f t="array" ref="L99">XLOOKUP(D99,'Other Data Fuckery'!$A$2:$A$101, 'Other Data Fuckery'!$B$2:$B$101)</f>
        <v>1960s</v>
      </c>
    </row>
    <row r="100" ht="14.25" customHeight="1">
      <c r="A100" s="1" t="str">
        <f>IFERROR(__xludf.DUMMYFUNCTION("LEFT(REGEXREPLACE(B100, ""[^A-Za-z]"", """"), 3) &amp; RIGHT(D100, 2) &amp; LEFT(REGEXREPLACE(C100, ""[^A-Za-z]"", """"), 3)"),"Fal03Tak")</f>
        <v>Fal03Tak</v>
      </c>
      <c r="B100" s="2" t="s">
        <v>289</v>
      </c>
      <c r="C100" s="2" t="s">
        <v>290</v>
      </c>
      <c r="D100" s="2">
        <v>2003.0</v>
      </c>
      <c r="E100" s="2">
        <v>2021.0</v>
      </c>
      <c r="F100" s="2" t="s">
        <v>14</v>
      </c>
      <c r="G100" s="2" t="s">
        <v>15</v>
      </c>
      <c r="H100" s="2" t="s">
        <v>194</v>
      </c>
      <c r="I100" s="2" t="s">
        <v>17</v>
      </c>
      <c r="J100" s="2" t="s">
        <v>18</v>
      </c>
      <c r="K100" s="2" t="s">
        <v>291</v>
      </c>
      <c r="L100" s="1" t="str">
        <f t="array" ref="L100">XLOOKUP(D100,'Other Data Fuckery'!$A$2:$A$101, 'Other Data Fuckery'!$B$2:$B$101)</f>
        <v>2000s</v>
      </c>
    </row>
    <row r="101" ht="14.25" customHeight="1">
      <c r="A101" s="1" t="str">
        <f>IFERROR(__xludf.DUMMYFUNCTION("LEFT(REGEXREPLACE(B101, ""[^A-Za-z]"", """"), 3) &amp; RIGHT(D101, 2) &amp; LEFT(REGEXREPLACE(C101, ""[^A-Za-z]"", """"), 3)"),"Fal23SoM")</f>
        <v>Fal23SoM</v>
      </c>
      <c r="B101" s="2" t="s">
        <v>289</v>
      </c>
      <c r="C101" s="2" t="s">
        <v>292</v>
      </c>
      <c r="D101" s="2">
        <v>2023.0</v>
      </c>
      <c r="E101" s="2">
        <v>2023.0</v>
      </c>
      <c r="F101" s="2" t="s">
        <v>14</v>
      </c>
      <c r="G101" s="2" t="s">
        <v>15</v>
      </c>
      <c r="H101" s="2" t="s">
        <v>194</v>
      </c>
      <c r="I101" s="2" t="s">
        <v>17</v>
      </c>
      <c r="J101" s="2" t="s">
        <v>18</v>
      </c>
      <c r="K101" s="2" t="s">
        <v>293</v>
      </c>
      <c r="L101" s="1" t="str">
        <f t="array" ref="L101">XLOOKUP(D101,'Other Data Fuckery'!$A$2:$A$101, 'Other Data Fuckery'!$B$2:$B$101)</f>
        <v>2020s</v>
      </c>
    </row>
    <row r="102" ht="14.25" customHeight="1">
      <c r="A102" s="1" t="str">
        <f>IFERROR(__xludf.DUMMYFUNCTION("LEFT(REGEXREPLACE(B102, ""[^A-Za-z]"", """"), 3) &amp; RIGHT(D102, 2) &amp; LEFT(REGEXREPLACE(C102, ""[^A-Za-z]"", """"), 3)"),"Fat12Fea")</f>
        <v>Fat12Fea</v>
      </c>
      <c r="B102" s="1" t="s">
        <v>294</v>
      </c>
      <c r="C102" s="1" t="s">
        <v>295</v>
      </c>
      <c r="D102" s="1">
        <v>2012.0</v>
      </c>
      <c r="E102" s="1">
        <v>2012.0</v>
      </c>
      <c r="F102" s="1" t="s">
        <v>296</v>
      </c>
      <c r="G102" s="2" t="s">
        <v>15</v>
      </c>
      <c r="H102" s="1" t="s">
        <v>22</v>
      </c>
      <c r="I102" s="1" t="s">
        <v>53</v>
      </c>
      <c r="J102" s="2" t="s">
        <v>18</v>
      </c>
      <c r="L102" s="1" t="str">
        <f t="array" ref="L102">XLOOKUP(D102,'Other Data Fuckery'!$A$2:$A$101, 'Other Data Fuckery'!$B$2:$B$101)</f>
        <v>2010s</v>
      </c>
    </row>
    <row r="103" ht="14.25" customHeight="1">
      <c r="A103" s="1" t="str">
        <f>IFERROR(__xludf.DUMMYFUNCTION("LEFT(REGEXREPLACE(B103, ""[^A-Za-z]"", """"), 3) &amp; RIGHT(D103, 2) &amp; LEFT(REGEXREPLACE(C103, ""[^A-Za-z]"", """"), 3)"),"Fat15ILo")</f>
        <v>Fat15ILo</v>
      </c>
      <c r="B103" s="1" t="s">
        <v>294</v>
      </c>
      <c r="C103" s="1" t="s">
        <v>297</v>
      </c>
      <c r="D103" s="1">
        <v>2015.0</v>
      </c>
      <c r="E103" s="1">
        <v>2015.0</v>
      </c>
      <c r="F103" s="1" t="s">
        <v>296</v>
      </c>
      <c r="G103" s="2" t="s">
        <v>15</v>
      </c>
      <c r="H103" s="1" t="s">
        <v>22</v>
      </c>
      <c r="I103" s="1" t="s">
        <v>53</v>
      </c>
      <c r="J103" s="2" t="s">
        <v>18</v>
      </c>
      <c r="L103" s="1" t="str">
        <f t="array" ref="L103">XLOOKUP(D103,'Other Data Fuckery'!$A$2:$A$101, 'Other Data Fuckery'!$B$2:$B$101)</f>
        <v>2010s</v>
      </c>
    </row>
    <row r="104" ht="14.25" customHeight="1">
      <c r="A104" s="1" t="str">
        <f>IFERROR(__xludf.DUMMYFUNCTION("LEFT(REGEXREPLACE(B104, ""[^A-Za-z]"", """"), 3) &amp; RIGHT(D104, 2) &amp; LEFT(REGEXREPLACE(C104, ""[^A-Za-z]"", """"), 3)"),"Fat17Pur")</f>
        <v>Fat17Pur</v>
      </c>
      <c r="B104" s="1" t="s">
        <v>294</v>
      </c>
      <c r="C104" s="1" t="s">
        <v>298</v>
      </c>
      <c r="D104" s="1">
        <v>2017.0</v>
      </c>
      <c r="E104" s="1">
        <v>2017.0</v>
      </c>
      <c r="F104" s="1" t="s">
        <v>296</v>
      </c>
      <c r="G104" s="2" t="s">
        <v>15</v>
      </c>
      <c r="H104" s="1" t="s">
        <v>22</v>
      </c>
      <c r="I104" s="1" t="s">
        <v>53</v>
      </c>
      <c r="J104" s="2" t="s">
        <v>18</v>
      </c>
      <c r="L104" s="1" t="str">
        <f t="array" ref="L104">XLOOKUP(D104,'Other Data Fuckery'!$A$2:$A$101, 'Other Data Fuckery'!$B$2:$B$101)</f>
        <v>2010s</v>
      </c>
    </row>
    <row r="105" ht="14.25" customHeight="1">
      <c r="A105" s="1" t="str">
        <f>IFERROR(__xludf.DUMMYFUNCTION("LEFT(REGEXREPLACE(B105, ""[^A-Za-z]"", """"), 3) &amp; RIGHT(D105, 2) &amp; LEFT(REGEXREPLACE(C105, ""[^A-Za-z]"", """"), 3)"),"Fat18God")</f>
        <v>Fat18God</v>
      </c>
      <c r="B105" s="1" t="s">
        <v>294</v>
      </c>
      <c r="C105" s="1" t="s">
        <v>299</v>
      </c>
      <c r="D105" s="1">
        <v>2018.0</v>
      </c>
      <c r="E105" s="1">
        <v>2018.0</v>
      </c>
      <c r="F105" s="1" t="s">
        <v>296</v>
      </c>
      <c r="G105" s="2" t="s">
        <v>15</v>
      </c>
      <c r="H105" s="1" t="s">
        <v>22</v>
      </c>
      <c r="I105" s="1" t="s">
        <v>53</v>
      </c>
      <c r="J105" s="2" t="s">
        <v>18</v>
      </c>
      <c r="L105" s="1" t="str">
        <f t="array" ref="L105">XLOOKUP(D105,'Other Data Fuckery'!$A$2:$A$101, 'Other Data Fuckery'!$B$2:$B$101)</f>
        <v>2010s</v>
      </c>
    </row>
    <row r="106" ht="14.25" customHeight="1">
      <c r="A106" s="1" t="str">
        <f>IFERROR(__xludf.DUMMYFUNCTION("LEFT(REGEXREPLACE(B106, ""[^A-Za-z]"", """"), 3) &amp; RIGHT(D106, 2) &amp; LEFT(REGEXREPLACE(C106, ""[^A-Za-z]"", """"), 3)"),"Fat22Chl")</f>
        <v>Fat22Chl</v>
      </c>
      <c r="B106" s="1" t="s">
        <v>294</v>
      </c>
      <c r="C106" s="1" t="s">
        <v>300</v>
      </c>
      <c r="D106" s="1">
        <v>2022.0</v>
      </c>
      <c r="E106" s="1">
        <v>2022.0</v>
      </c>
      <c r="F106" s="1" t="s">
        <v>296</v>
      </c>
      <c r="G106" s="2" t="s">
        <v>15</v>
      </c>
      <c r="H106" s="1" t="s">
        <v>22</v>
      </c>
      <c r="I106" s="1" t="s">
        <v>53</v>
      </c>
      <c r="J106" s="2" t="s">
        <v>18</v>
      </c>
      <c r="L106" s="1" t="str">
        <f t="array" ref="L106">XLOOKUP(D106,'Other Data Fuckery'!$A$2:$A$101, 'Other Data Fuckery'!$B$2:$B$101)</f>
        <v>2020s</v>
      </c>
    </row>
    <row r="107" ht="14.25" customHeight="1">
      <c r="A107" s="1" t="str">
        <f>IFERROR(__xludf.DUMMYFUNCTION("LEFT(REGEXREPLACE(B107, ""[^A-Za-z]"", """"), 3) &amp; RIGHT(D107, 2) &amp; LEFT(REGEXREPLACE(C107, ""[^A-Za-z]"", """"), 3)"),"Fla15Cra")</f>
        <v>Fla15Cra</v>
      </c>
      <c r="B107" s="1" t="s">
        <v>301</v>
      </c>
      <c r="C107" s="1" t="s">
        <v>302</v>
      </c>
      <c r="D107" s="1">
        <v>2015.0</v>
      </c>
      <c r="E107" s="1">
        <v>2015.0</v>
      </c>
      <c r="F107" s="1" t="s">
        <v>303</v>
      </c>
      <c r="G107" s="2" t="s">
        <v>46</v>
      </c>
      <c r="H107" s="2" t="s">
        <v>304</v>
      </c>
      <c r="I107" s="1" t="s">
        <v>305</v>
      </c>
      <c r="J107" s="2" t="s">
        <v>24</v>
      </c>
      <c r="L107" s="1" t="str">
        <f t="array" ref="L107">XLOOKUP(D107,'Other Data Fuckery'!$A$2:$A$101, 'Other Data Fuckery'!$B$2:$B$101)</f>
        <v>2010s</v>
      </c>
    </row>
    <row r="108" ht="15.0" customHeight="1">
      <c r="A108" s="1" t="str">
        <f>IFERROR(__xludf.DUMMYFUNCTION("LEFT(REGEXREPLACE(B108, ""[^A-Za-z]"", """"), 3) &amp; RIGHT(D108, 2) &amp; LEFT(REGEXREPLACE(C108, ""[^A-Za-z]"", """"), 3)"),"Fle08Fle")</f>
        <v>Fle08Fle</v>
      </c>
      <c r="B108" s="1" t="s">
        <v>306</v>
      </c>
      <c r="C108" s="1" t="s">
        <v>306</v>
      </c>
      <c r="D108" s="1">
        <v>2008.0</v>
      </c>
      <c r="E108" s="1">
        <v>2008.0</v>
      </c>
      <c r="F108" s="1" t="s">
        <v>296</v>
      </c>
      <c r="G108" s="2" t="s">
        <v>197</v>
      </c>
      <c r="H108" s="2" t="s">
        <v>307</v>
      </c>
      <c r="I108" s="1" t="s">
        <v>53</v>
      </c>
      <c r="J108" s="2" t="s">
        <v>18</v>
      </c>
      <c r="L108" s="1" t="str">
        <f t="array" ref="L108">XLOOKUP(D108,'Other Data Fuckery'!$A$2:$A$101, 'Other Data Fuckery'!$B$2:$B$101)</f>
        <v>2000s</v>
      </c>
    </row>
    <row r="109" ht="14.25" customHeight="1">
      <c r="A109" s="1" t="str">
        <f>IFERROR(__xludf.DUMMYFUNCTION("LEFT(REGEXREPLACE(B109, ""[^A-Za-z]"", """"), 3) &amp; RIGHT(D109, 2) &amp; LEFT(REGEXREPLACE(C109, ""[^A-Za-z]"", """"), 3)"),"Fle20Sho")</f>
        <v>Fle20Sho</v>
      </c>
      <c r="B109" s="1" t="s">
        <v>306</v>
      </c>
      <c r="C109" s="1" t="s">
        <v>308</v>
      </c>
      <c r="D109" s="1">
        <v>2020.0</v>
      </c>
      <c r="E109" s="1">
        <v>2020.0</v>
      </c>
      <c r="F109" s="1" t="s">
        <v>309</v>
      </c>
      <c r="G109" s="2" t="s">
        <v>197</v>
      </c>
      <c r="H109" s="2" t="s">
        <v>307</v>
      </c>
      <c r="I109" s="1" t="s">
        <v>53</v>
      </c>
      <c r="J109" s="2" t="s">
        <v>18</v>
      </c>
      <c r="L109" s="1" t="str">
        <f t="array" ref="L109">XLOOKUP(D109,'Other Data Fuckery'!$A$2:$A$101, 'Other Data Fuckery'!$B$2:$B$101)</f>
        <v>2020s</v>
      </c>
    </row>
    <row r="110" ht="14.25" customHeight="1">
      <c r="A110" s="1" t="str">
        <f>IFERROR(__xludf.DUMMYFUNCTION("LEFT(REGEXREPLACE(B110, ""[^A-Za-z]"", """"), 3) &amp; RIGHT(D110, 2) &amp; LEFT(REGEXREPLACE(C110, ""[^A-Za-z]"", """"), 3)"),"Fle77Rum")</f>
        <v>Fle77Rum</v>
      </c>
      <c r="B110" s="2" t="s">
        <v>310</v>
      </c>
      <c r="C110" s="2" t="s">
        <v>311</v>
      </c>
      <c r="D110" s="2">
        <v>1977.0</v>
      </c>
      <c r="E110" s="2">
        <v>2009.0</v>
      </c>
      <c r="F110" s="2" t="s">
        <v>61</v>
      </c>
      <c r="G110" s="2" t="s">
        <v>15</v>
      </c>
      <c r="H110" s="2" t="s">
        <v>35</v>
      </c>
      <c r="I110" s="2" t="s">
        <v>83</v>
      </c>
      <c r="J110" s="2" t="s">
        <v>24</v>
      </c>
      <c r="K110" s="2" t="s">
        <v>312</v>
      </c>
      <c r="L110" s="1" t="str">
        <f t="array" ref="L110">XLOOKUP(D110,'Other Data Fuckery'!$A$2:$A$101, 'Other Data Fuckery'!$B$2:$B$101)</f>
        <v>1970s</v>
      </c>
    </row>
    <row r="111" ht="14.25" customHeight="1">
      <c r="A111" s="1" t="str">
        <f>IFERROR(__xludf.DUMMYFUNCTION("LEFT(REGEXREPLACE(B111, ""[^A-Za-z]"", """"), 3) &amp; RIGHT(D111, 2) &amp; LEFT(REGEXREPLACE(C111, ""[^A-Za-z]"", """"), 3)"),"Foo02One")</f>
        <v>Foo02One</v>
      </c>
      <c r="B111" s="1" t="s">
        <v>313</v>
      </c>
      <c r="C111" s="1" t="s">
        <v>314</v>
      </c>
      <c r="D111" s="1">
        <v>2002.0</v>
      </c>
      <c r="E111" s="1">
        <v>2011.0</v>
      </c>
      <c r="F111" s="1" t="s">
        <v>315</v>
      </c>
      <c r="G111" s="1" t="s">
        <v>15</v>
      </c>
      <c r="H111" s="1" t="s">
        <v>15</v>
      </c>
      <c r="I111" s="1" t="s">
        <v>96</v>
      </c>
      <c r="J111" s="2" t="s">
        <v>24</v>
      </c>
      <c r="L111" s="1" t="str">
        <f t="array" ref="L111">XLOOKUP(D111,'Other Data Fuckery'!$A$2:$A$101, 'Other Data Fuckery'!$B$2:$B$101)</f>
        <v>2000s</v>
      </c>
    </row>
    <row r="112" ht="14.25" customHeight="1">
      <c r="A112" s="1" t="str">
        <f>IFERROR(__xludf.DUMMYFUNCTION("LEFT(REGEXREPLACE(B112, ""[^A-Za-z]"", """"), 3) &amp; RIGHT(D112, 2) &amp; LEFT(REGEXREPLACE(C112, ""[^A-Za-z]"", """"), 3)"),"Foo97Foo")</f>
        <v>Foo97Foo</v>
      </c>
      <c r="B112" s="1" t="s">
        <v>313</v>
      </c>
      <c r="C112" s="1" t="s">
        <v>313</v>
      </c>
      <c r="D112" s="1">
        <v>1997.0</v>
      </c>
      <c r="E112" s="1">
        <v>2011.0</v>
      </c>
      <c r="F112" s="1" t="s">
        <v>315</v>
      </c>
      <c r="G112" s="1" t="s">
        <v>15</v>
      </c>
      <c r="H112" s="1" t="s">
        <v>15</v>
      </c>
      <c r="I112" s="1" t="s">
        <v>96</v>
      </c>
      <c r="J112" s="2" t="s">
        <v>24</v>
      </c>
      <c r="L112" s="1" t="str">
        <f t="array" ref="L112">XLOOKUP(D112,'Other Data Fuckery'!$A$2:$A$101, 'Other Data Fuckery'!$B$2:$B$101)</f>
        <v>1990s</v>
      </c>
    </row>
    <row r="113" ht="14.25" customHeight="1">
      <c r="A113" s="1" t="str">
        <f>IFERROR(__xludf.DUMMYFUNCTION("LEFT(REGEXREPLACE(B113, ""[^A-Za-z]"", """"), 3) &amp; RIGHT(D113, 2) &amp; LEFT(REGEXREPLACE(C113, ""[^A-Za-z]"", """"), 3)"),"Foo20Med")</f>
        <v>Foo20Med</v>
      </c>
      <c r="B113" s="1" t="s">
        <v>313</v>
      </c>
      <c r="C113" s="1" t="s">
        <v>316</v>
      </c>
      <c r="D113" s="1">
        <v>2020.0</v>
      </c>
      <c r="E113" s="1">
        <v>2020.0</v>
      </c>
      <c r="F113" s="1" t="s">
        <v>315</v>
      </c>
      <c r="G113" s="1" t="s">
        <v>15</v>
      </c>
      <c r="H113" s="1" t="s">
        <v>15</v>
      </c>
      <c r="I113" s="1" t="s">
        <v>53</v>
      </c>
      <c r="J113" s="2" t="s">
        <v>24</v>
      </c>
      <c r="L113" s="1" t="str">
        <f t="array" ref="L113">XLOOKUP(D113,'Other Data Fuckery'!$A$2:$A$101, 'Other Data Fuckery'!$B$2:$B$101)</f>
        <v>2020s</v>
      </c>
    </row>
    <row r="114" ht="14.25" customHeight="1">
      <c r="A114" s="1" t="str">
        <f>IFERROR(__xludf.DUMMYFUNCTION("LEFT(REGEXREPLACE(B114, ""[^A-Za-z]"", """"), 3) &amp; RIGHT(D114, 2) &amp; LEFT(REGEXREPLACE(C114, ""[^A-Za-z]"", """"), 3)"),"For03Int")</f>
        <v>For03Int</v>
      </c>
      <c r="B114" s="2" t="s">
        <v>317</v>
      </c>
      <c r="C114" s="2" t="s">
        <v>318</v>
      </c>
      <c r="D114" s="2">
        <v>2003.0</v>
      </c>
      <c r="E114" s="2">
        <v>2014.0</v>
      </c>
      <c r="F114" s="1" t="s">
        <v>319</v>
      </c>
      <c r="G114" s="2" t="s">
        <v>15</v>
      </c>
      <c r="H114" s="2" t="s">
        <v>16</v>
      </c>
      <c r="I114" s="2" t="s">
        <v>17</v>
      </c>
      <c r="J114" s="2" t="s">
        <v>18</v>
      </c>
      <c r="L114" s="1" t="str">
        <f t="array" ref="L114">XLOOKUP(D114,'Other Data Fuckery'!$A$2:$A$101, 'Other Data Fuckery'!$B$2:$B$101)</f>
        <v>2000s</v>
      </c>
    </row>
    <row r="115" ht="14.25" customHeight="1">
      <c r="A115" s="1" t="str">
        <f>IFERROR(__xludf.DUMMYFUNCTION("LEFT(REGEXREPLACE(B115, ""[^A-Za-z]"", """"), 3) &amp; RIGHT(D115, 2) &amp; LEFT(REGEXREPLACE(C115, ""[^A-Za-z]"", """"), 3)"),"Gar56Con")</f>
        <v>Gar56Con</v>
      </c>
      <c r="B115" s="1" t="s">
        <v>320</v>
      </c>
      <c r="C115" s="1" t="s">
        <v>321</v>
      </c>
      <c r="D115" s="1">
        <v>1956.0</v>
      </c>
      <c r="F115" s="1" t="s">
        <v>165</v>
      </c>
      <c r="G115" s="1" t="s">
        <v>29</v>
      </c>
      <c r="H115" s="1" t="s">
        <v>29</v>
      </c>
      <c r="I115" s="1" t="s">
        <v>96</v>
      </c>
      <c r="J115" s="2" t="s">
        <v>18</v>
      </c>
      <c r="L115" s="1" t="str">
        <f t="array" ref="L115">XLOOKUP(D115,'Other Data Fuckery'!$A$2:$A$101, 'Other Data Fuckery'!$B$2:$B$101)</f>
        <v>1950s</v>
      </c>
    </row>
    <row r="116" ht="14.25" customHeight="1">
      <c r="A116" s="1" t="str">
        <f>IFERROR(__xludf.DUMMYFUNCTION("LEFT(REGEXREPLACE(B116, ""[^A-Za-z]"", """"), 3) &amp; RIGHT(D116, 2) &amp; LEFT(REGEXREPLACE(C116, ""[^A-Za-z]"", """"), 3)"),"Get04Gui")</f>
        <v>Get04Gui</v>
      </c>
      <c r="B116" s="2" t="s">
        <v>322</v>
      </c>
      <c r="C116" s="2" t="s">
        <v>323</v>
      </c>
      <c r="D116" s="2">
        <v>2004.0</v>
      </c>
      <c r="E116" s="2">
        <v>2024.0</v>
      </c>
      <c r="F116" s="2" t="s">
        <v>324</v>
      </c>
      <c r="G116" s="2" t="s">
        <v>15</v>
      </c>
      <c r="H116" s="2" t="s">
        <v>16</v>
      </c>
      <c r="I116" s="2" t="s">
        <v>17</v>
      </c>
      <c r="J116" s="2" t="s">
        <v>18</v>
      </c>
      <c r="L116" s="1" t="str">
        <f t="array" ref="L116">XLOOKUP(D116,'Other Data Fuckery'!$A$2:$A$101, 'Other Data Fuckery'!$B$2:$B$101)</f>
        <v>2000s</v>
      </c>
    </row>
    <row r="117" ht="14.25" customHeight="1">
      <c r="A117" s="1" t="str">
        <f>IFERROR(__xludf.DUMMYFUNCTION("LEFT(REGEXREPLACE(B117, ""[^A-Za-z]"", """"), 3) &amp; RIGHT(D117, 2) &amp; LEFT(REGEXREPLACE(C117, ""[^A-Za-z]"", """"), 3)"),"Get64Get")</f>
        <v>Get64Get</v>
      </c>
      <c r="B117" s="1" t="s">
        <v>325</v>
      </c>
      <c r="C117" s="1" t="s">
        <v>326</v>
      </c>
      <c r="D117" s="1">
        <v>1964.0</v>
      </c>
      <c r="E117" s="1">
        <v>2018.0</v>
      </c>
      <c r="F117" s="1" t="s">
        <v>327</v>
      </c>
      <c r="G117" s="1" t="s">
        <v>29</v>
      </c>
      <c r="H117" s="1" t="s">
        <v>29</v>
      </c>
      <c r="I117" s="1" t="s">
        <v>96</v>
      </c>
      <c r="J117" s="2" t="s">
        <v>18</v>
      </c>
      <c r="L117" s="1" t="str">
        <f t="array" ref="L117">XLOOKUP(D117,'Other Data Fuckery'!$A$2:$A$101, 'Other Data Fuckery'!$B$2:$B$101)</f>
        <v>1960s</v>
      </c>
    </row>
    <row r="118" ht="14.25" customHeight="1">
      <c r="A118" s="1" t="str">
        <f>IFERROR(__xludf.DUMMYFUNCTION("LEFT(REGEXREPLACE(B118, ""[^A-Za-z]"", """"), 3) &amp; RIGHT(D118, 2) &amp; LEFT(REGEXREPLACE(C118, ""[^A-Za-z]"", """"), 3)"),"Gia22Rou")</f>
        <v>Gia22Rou</v>
      </c>
      <c r="B118" s="1" t="s">
        <v>328</v>
      </c>
      <c r="C118" s="1" t="s">
        <v>329</v>
      </c>
      <c r="D118" s="1">
        <v>2022.0</v>
      </c>
      <c r="E118" s="1">
        <v>2022.0</v>
      </c>
      <c r="F118" s="1" t="s">
        <v>267</v>
      </c>
      <c r="G118" s="1" t="s">
        <v>75</v>
      </c>
      <c r="H118" s="1" t="s">
        <v>75</v>
      </c>
      <c r="I118" s="1" t="s">
        <v>42</v>
      </c>
      <c r="J118" s="2" t="s">
        <v>18</v>
      </c>
      <c r="L118" s="1" t="str">
        <f t="array" ref="L118">XLOOKUP(D118,'Other Data Fuckery'!$A$2:$A$101, 'Other Data Fuckery'!$B$2:$B$101)</f>
        <v>2020s</v>
      </c>
    </row>
    <row r="119" ht="14.25" customHeight="1">
      <c r="A119" s="1" t="str">
        <f>IFERROR(__xludf.DUMMYFUNCTION("LEFT(REGEXREPLACE(B119, ""[^A-Za-z]"", """"), 3) &amp; RIGHT(D119, 2) &amp; LEFT(REGEXREPLACE(C119, ""[^A-Za-z]"", """"), 3)"),"Gor62Go")</f>
        <v>Gor62Go</v>
      </c>
      <c r="B119" s="2" t="s">
        <v>330</v>
      </c>
      <c r="C119" s="2" t="s">
        <v>331</v>
      </c>
      <c r="D119" s="2">
        <v>1962.0</v>
      </c>
      <c r="E119" s="2">
        <v>2021.0</v>
      </c>
      <c r="F119" s="2" t="s">
        <v>28</v>
      </c>
      <c r="G119" s="2" t="s">
        <v>29</v>
      </c>
      <c r="H119" s="2" t="s">
        <v>29</v>
      </c>
      <c r="I119" s="2" t="s">
        <v>265</v>
      </c>
      <c r="J119" s="2" t="s">
        <v>18</v>
      </c>
      <c r="L119" s="1" t="str">
        <f t="array" ref="L119">XLOOKUP(D119,'Other Data Fuckery'!$A$2:$A$101, 'Other Data Fuckery'!$B$2:$B$101)</f>
        <v>1960s</v>
      </c>
    </row>
    <row r="120" ht="14.25" customHeight="1">
      <c r="A120" s="1" t="str">
        <f>IFERROR(__xludf.DUMMYFUNCTION("LEFT(REGEXREPLACE(B120, ""[^A-Za-z]"", """"), 3) &amp; RIGHT(D120, 2) &amp; LEFT(REGEXREPLACE(C120, ""[^A-Za-z]"", """"), 3)"),"Gor64ASw")</f>
        <v>Gor64ASw</v>
      </c>
      <c r="B120" s="1" t="s">
        <v>330</v>
      </c>
      <c r="C120" s="1" t="s">
        <v>332</v>
      </c>
      <c r="D120" s="1">
        <v>1964.0</v>
      </c>
      <c r="E120" s="1">
        <v>2021.0</v>
      </c>
      <c r="F120" s="1" t="s">
        <v>28</v>
      </c>
      <c r="G120" s="1" t="s">
        <v>29</v>
      </c>
      <c r="H120" s="1" t="s">
        <v>29</v>
      </c>
      <c r="I120" s="1" t="s">
        <v>96</v>
      </c>
      <c r="J120" s="2" t="s">
        <v>18</v>
      </c>
      <c r="L120" s="1" t="str">
        <f t="array" ref="L120">XLOOKUP(D120,'Other Data Fuckery'!$A$2:$A$101, 'Other Data Fuckery'!$B$2:$B$101)</f>
        <v>1960s</v>
      </c>
    </row>
    <row r="121" ht="14.25" customHeight="1">
      <c r="A121" s="1" t="str">
        <f>IFERROR(__xludf.DUMMYFUNCTION("LEFT(REGEXREPLACE(B121, ""[^A-Za-z]"", """"), 3) &amp; RIGHT(D121, 2) &amp; LEFT(REGEXREPLACE(C121, ""[^A-Za-z]"", """"), 3)"),"Gre24Sav")</f>
        <v>Gre24Sav</v>
      </c>
      <c r="B121" s="2" t="s">
        <v>333</v>
      </c>
      <c r="C121" s="2" t="s">
        <v>334</v>
      </c>
      <c r="D121" s="2">
        <v>2024.0</v>
      </c>
      <c r="E121" s="2">
        <v>2024.0</v>
      </c>
      <c r="F121" s="2" t="s">
        <v>335</v>
      </c>
      <c r="G121" s="2" t="s">
        <v>15</v>
      </c>
      <c r="H121" s="2" t="s">
        <v>41</v>
      </c>
      <c r="I121" s="2" t="s">
        <v>53</v>
      </c>
      <c r="J121" s="2" t="s">
        <v>24</v>
      </c>
      <c r="L121" s="1" t="str">
        <f t="array" ref="L121">XLOOKUP(D121,'Other Data Fuckery'!$A$2:$A$101, 'Other Data Fuckery'!$B$2:$B$101)</f>
        <v>2020s</v>
      </c>
    </row>
    <row r="122" ht="14.25" customHeight="1">
      <c r="A122" s="1" t="str">
        <f>IFERROR(__xludf.DUMMYFUNCTION("LEFT(REGEXREPLACE(B122, ""[^A-Za-z]"", """"), 3) &amp; RIGHT(D122, 2) &amp; LEFT(REGEXREPLACE(C122, ""[^A-Za-z]"", """"), 3)"),"Gre63Fee")</f>
        <v>Gre63Fee</v>
      </c>
      <c r="B122" s="2" t="s">
        <v>336</v>
      </c>
      <c r="C122" s="2" t="s">
        <v>337</v>
      </c>
      <c r="D122" s="2">
        <v>1963.0</v>
      </c>
      <c r="E122" s="2">
        <v>2005.0</v>
      </c>
      <c r="F122" s="2" t="s">
        <v>28</v>
      </c>
      <c r="G122" s="2" t="s">
        <v>29</v>
      </c>
      <c r="H122" s="2" t="s">
        <v>29</v>
      </c>
      <c r="I122" s="2" t="s">
        <v>96</v>
      </c>
      <c r="J122" s="2" t="s">
        <v>18</v>
      </c>
      <c r="L122" s="1" t="str">
        <f t="array" ref="L122">XLOOKUP(D122,'Other Data Fuckery'!$A$2:$A$101, 'Other Data Fuckery'!$B$2:$B$101)</f>
        <v>1960s</v>
      </c>
    </row>
    <row r="123" ht="14.25" customHeight="1">
      <c r="A123" s="1" t="str">
        <f>IFERROR(__xludf.DUMMYFUNCTION("LEFT(REGEXREPLACE(B123, ""[^A-Za-z]"", """"), 3) &amp; RIGHT(D123, 2) &amp; LEFT(REGEXREPLACE(C123, ""[^A-Za-z]"", """"), 3)"),"Gre61Gre")</f>
        <v>Gre61Gre</v>
      </c>
      <c r="B123" s="2" t="s">
        <v>336</v>
      </c>
      <c r="C123" s="2" t="s">
        <v>338</v>
      </c>
      <c r="D123" s="2">
        <v>1961.0</v>
      </c>
      <c r="E123" s="2">
        <v>2013.0</v>
      </c>
      <c r="F123" s="2" t="s">
        <v>28</v>
      </c>
      <c r="G123" s="2" t="s">
        <v>29</v>
      </c>
      <c r="H123" s="2" t="s">
        <v>29</v>
      </c>
      <c r="I123" s="2" t="s">
        <v>63</v>
      </c>
      <c r="J123" s="2" t="s">
        <v>18</v>
      </c>
      <c r="L123" s="1" t="str">
        <f t="array" ref="L123">XLOOKUP(D123,'Other Data Fuckery'!$A$2:$A$101, 'Other Data Fuckery'!$B$2:$B$101)</f>
        <v>1960s</v>
      </c>
    </row>
    <row r="124" ht="14.25" customHeight="1">
      <c r="A124" s="1" t="str">
        <f>IFERROR(__xludf.DUMMYFUNCTION("LEFT(REGEXREPLACE(B124, ""[^A-Za-z]"", """"), 3) &amp; RIGHT(D124, 2) &amp; LEFT(REGEXREPLACE(C124, ""[^A-Za-z]"", """"), 3)"),"Gre64Str")</f>
        <v>Gre64Str</v>
      </c>
      <c r="B124" s="2" t="s">
        <v>336</v>
      </c>
      <c r="C124" s="2" t="s">
        <v>339</v>
      </c>
      <c r="D124" s="2">
        <v>1964.0</v>
      </c>
      <c r="E124" s="2">
        <v>2014.0</v>
      </c>
      <c r="F124" s="2" t="s">
        <v>28</v>
      </c>
      <c r="G124" s="2" t="s">
        <v>29</v>
      </c>
      <c r="H124" s="2" t="s">
        <v>29</v>
      </c>
      <c r="I124" s="2" t="s">
        <v>96</v>
      </c>
      <c r="J124" s="2" t="s">
        <v>18</v>
      </c>
      <c r="L124" s="1" t="str">
        <f t="array" ref="L124">XLOOKUP(D124,'Other Data Fuckery'!$A$2:$A$101, 'Other Data Fuckery'!$B$2:$B$101)</f>
        <v>1960s</v>
      </c>
    </row>
    <row r="125" ht="14.25" customHeight="1">
      <c r="A125" s="1" t="str">
        <f>IFERROR(__xludf.DUMMYFUNCTION("LEFT(REGEXREPLACE(B125, ""[^A-Za-z]"", """"), 3) &amp; RIGHT(D125, 2) &amp; LEFT(REGEXREPLACE(C125, ""[^A-Za-z]"", """"), 3)"),"Gre62Bor")</f>
        <v>Gre62Bor</v>
      </c>
      <c r="B125" s="1" t="s">
        <v>336</v>
      </c>
      <c r="C125" s="1" t="s">
        <v>340</v>
      </c>
      <c r="D125" s="1">
        <v>1962.0</v>
      </c>
      <c r="E125" s="1">
        <v>2019.0</v>
      </c>
      <c r="F125" s="1" t="s">
        <v>28</v>
      </c>
      <c r="G125" s="1" t="s">
        <v>29</v>
      </c>
      <c r="H125" s="1" t="s">
        <v>29</v>
      </c>
      <c r="I125" s="1" t="s">
        <v>53</v>
      </c>
      <c r="J125" s="2" t="s">
        <v>18</v>
      </c>
      <c r="L125" s="1" t="str">
        <f t="array" ref="L125">XLOOKUP(D125,'Other Data Fuckery'!$A$2:$A$101, 'Other Data Fuckery'!$B$2:$B$101)</f>
        <v>1960s</v>
      </c>
    </row>
    <row r="126" ht="14.25" customHeight="1">
      <c r="A126" s="1" t="str">
        <f>IFERROR(__xludf.DUMMYFUNCTION("LEFT(REGEXREPLACE(B126, ""[^A-Za-z]"", """"), 3) &amp; RIGHT(D126, 2) &amp; LEFT(REGEXREPLACE(C126, ""[^A-Za-z]"", """"), 3)"),"Gre61Gra")</f>
        <v>Gre61Gra</v>
      </c>
      <c r="B126" s="1" t="s">
        <v>336</v>
      </c>
      <c r="C126" s="1" t="s">
        <v>341</v>
      </c>
      <c r="D126" s="1">
        <v>1961.0</v>
      </c>
      <c r="E126" s="1">
        <v>2019.0</v>
      </c>
      <c r="F126" s="1" t="s">
        <v>28</v>
      </c>
      <c r="G126" s="1" t="s">
        <v>29</v>
      </c>
      <c r="H126" s="1" t="s">
        <v>29</v>
      </c>
      <c r="I126" s="1" t="s">
        <v>17</v>
      </c>
      <c r="J126" s="2" t="s">
        <v>18</v>
      </c>
      <c r="L126" s="1" t="str">
        <f t="array" ref="L126">XLOOKUP(D126,'Other Data Fuckery'!$A$2:$A$101, 'Other Data Fuckery'!$B$2:$B$101)</f>
        <v>1960s</v>
      </c>
    </row>
    <row r="127" ht="14.25" customHeight="1">
      <c r="A127" s="1" t="str">
        <f>IFERROR(__xludf.DUMMYFUNCTION("LEFT(REGEXREPLACE(B127, ""[^A-Za-z]"", """"), 3) &amp; RIGHT(D127, 2) &amp; LEFT(REGEXREPLACE(C127, ""[^A-Za-z]"", """"), 3)"),"Gre70Gre")</f>
        <v>Gre70Gre</v>
      </c>
      <c r="B127" s="1" t="s">
        <v>336</v>
      </c>
      <c r="C127" s="1" t="s">
        <v>342</v>
      </c>
      <c r="D127" s="1">
        <v>1970.0</v>
      </c>
      <c r="E127" s="1">
        <v>2023.0</v>
      </c>
      <c r="F127" s="1" t="s">
        <v>28</v>
      </c>
      <c r="G127" s="1" t="s">
        <v>29</v>
      </c>
      <c r="H127" s="1" t="s">
        <v>29</v>
      </c>
      <c r="I127" s="1" t="s">
        <v>53</v>
      </c>
      <c r="J127" s="2" t="s">
        <v>18</v>
      </c>
      <c r="L127" s="1" t="str">
        <f t="array" ref="L127">XLOOKUP(D127,'Other Data Fuckery'!$A$2:$A$101, 'Other Data Fuckery'!$B$2:$B$101)</f>
        <v>1970s</v>
      </c>
    </row>
    <row r="128" ht="14.25" customHeight="1">
      <c r="A128" s="1" t="str">
        <f>IFERROR(__xludf.DUMMYFUNCTION("LEFT(REGEXREPLACE(B128, ""[^A-Za-z]"", """"), 3) &amp; RIGHT(D128, 2) &amp; LEFT(REGEXREPLACE(C128, ""[^A-Za-z]"", """"), 3)"),"Gre66IWa")</f>
        <v>Gre66IWa</v>
      </c>
      <c r="B128" s="2" t="s">
        <v>336</v>
      </c>
      <c r="C128" s="2" t="s">
        <v>343</v>
      </c>
      <c r="D128" s="2">
        <v>1966.0</v>
      </c>
      <c r="E128" s="2">
        <v>2023.0</v>
      </c>
      <c r="F128" s="2" t="s">
        <v>28</v>
      </c>
      <c r="G128" s="2" t="s">
        <v>29</v>
      </c>
      <c r="H128" s="2" t="s">
        <v>29</v>
      </c>
      <c r="I128" s="2" t="s">
        <v>42</v>
      </c>
      <c r="J128" s="2" t="s">
        <v>18</v>
      </c>
      <c r="L128" s="1" t="str">
        <f t="array" ref="L128">XLOOKUP(D128,'Other Data Fuckery'!$A$2:$A$101, 'Other Data Fuckery'!$B$2:$B$101)</f>
        <v>1960s</v>
      </c>
    </row>
    <row r="129" ht="14.25" customHeight="1">
      <c r="A129" s="1" t="str">
        <f>IFERROR(__xludf.DUMMYFUNCTION("LEFT(REGEXREPLACE(B129, ""[^A-Za-z]"", """"), 3) &amp; RIGHT(D129, 2) &amp; LEFT(REGEXREPLACE(C129, ""[^A-Za-z]"", """"), 3)"),"Gre65Idl")</f>
        <v>Gre65Idl</v>
      </c>
      <c r="B129" s="2" t="s">
        <v>336</v>
      </c>
      <c r="C129" s="2" t="s">
        <v>344</v>
      </c>
      <c r="D129" s="2">
        <v>1965.0</v>
      </c>
      <c r="F129" s="2" t="s">
        <v>28</v>
      </c>
      <c r="G129" s="2" t="s">
        <v>29</v>
      </c>
      <c r="H129" s="2" t="s">
        <v>29</v>
      </c>
      <c r="I129" s="2" t="s">
        <v>96</v>
      </c>
      <c r="J129" s="2" t="s">
        <v>18</v>
      </c>
      <c r="L129" s="1" t="str">
        <f t="array" ref="L129">XLOOKUP(D129,'Other Data Fuckery'!$A$2:$A$101, 'Other Data Fuckery'!$B$2:$B$101)</f>
        <v>1960s</v>
      </c>
    </row>
    <row r="130" ht="14.25" customHeight="1">
      <c r="A130" s="1" t="str">
        <f>IFERROR(__xludf.DUMMYFUNCTION("LEFT(REGEXREPLACE(B130, ""[^A-Za-z]"", """"), 3) &amp; RIGHT(D130, 2) &amp; LEFT(REGEXREPLACE(C130, ""[^A-Za-z]"", """"), 3)"),"Gua72ACh")</f>
        <v>Gua72ACh</v>
      </c>
      <c r="B130" s="1" t="s">
        <v>345</v>
      </c>
      <c r="C130" s="1" t="s">
        <v>346</v>
      </c>
      <c r="D130" s="1">
        <v>1972.0</v>
      </c>
      <c r="E130" s="1">
        <v>2012.0</v>
      </c>
      <c r="F130" s="1" t="s">
        <v>347</v>
      </c>
      <c r="G130" s="1" t="s">
        <v>29</v>
      </c>
      <c r="H130" s="1" t="s">
        <v>29</v>
      </c>
      <c r="I130" s="1" t="s">
        <v>265</v>
      </c>
      <c r="J130" s="2" t="s">
        <v>18</v>
      </c>
      <c r="L130" s="1" t="str">
        <f t="array" ref="L130">XLOOKUP(D130,'Other Data Fuckery'!$A$2:$A$101, 'Other Data Fuckery'!$B$2:$B$101)</f>
        <v>1970s</v>
      </c>
    </row>
    <row r="131" ht="14.25" customHeight="1">
      <c r="A131" s="1" t="str">
        <f>IFERROR(__xludf.DUMMYFUNCTION("LEFT(REGEXREPLACE(B131, ""[^A-Za-z]"", """"), 3) &amp; RIGHT(D131, 2) &amp; LEFT(REGEXREPLACE(C131, ""[^A-Za-z]"", """"), 3)"),"Hal18Buz")</f>
        <v>Hal18Buz</v>
      </c>
      <c r="B131" s="1" t="s">
        <v>348</v>
      </c>
      <c r="C131" s="1" t="s">
        <v>349</v>
      </c>
      <c r="D131" s="1">
        <v>2018.0</v>
      </c>
      <c r="E131" s="1">
        <v>2018.0</v>
      </c>
      <c r="F131" s="1" t="s">
        <v>144</v>
      </c>
      <c r="G131" s="1" t="s">
        <v>15</v>
      </c>
      <c r="H131" s="2" t="s">
        <v>350</v>
      </c>
      <c r="I131" s="1" t="s">
        <v>228</v>
      </c>
      <c r="J131" s="2" t="s">
        <v>18</v>
      </c>
      <c r="L131" s="1" t="str">
        <f t="array" ref="L131">XLOOKUP(D131,'Other Data Fuckery'!$A$2:$A$101, 'Other Data Fuckery'!$B$2:$B$101)</f>
        <v>2010s</v>
      </c>
    </row>
    <row r="132" ht="14.25" customHeight="1">
      <c r="A132" s="1" t="str">
        <f>IFERROR(__xludf.DUMMYFUNCTION("LEFT(REGEXREPLACE(B132, ""[^A-Za-z]"", """"), 3) &amp; RIGHT(D132, 2) &amp; LEFT(REGEXREPLACE(C132, ""[^A-Za-z]"", """"), 3)"),"Han62Tak")</f>
        <v>Han62Tak</v>
      </c>
      <c r="B132" s="2" t="s">
        <v>351</v>
      </c>
      <c r="C132" s="2" t="s">
        <v>352</v>
      </c>
      <c r="D132" s="2">
        <v>1962.0</v>
      </c>
      <c r="E132" s="2">
        <v>2019.0</v>
      </c>
      <c r="F132" s="2" t="s">
        <v>28</v>
      </c>
      <c r="G132" s="2" t="s">
        <v>29</v>
      </c>
      <c r="H132" s="2" t="s">
        <v>29</v>
      </c>
      <c r="I132" s="2" t="s">
        <v>265</v>
      </c>
      <c r="J132" s="2" t="s">
        <v>18</v>
      </c>
      <c r="L132" s="1" t="str">
        <f t="array" ref="L132">XLOOKUP(D132,'Other Data Fuckery'!$A$2:$A$101, 'Other Data Fuckery'!$B$2:$B$101)</f>
        <v>1960s</v>
      </c>
    </row>
    <row r="133" ht="14.25" customHeight="1">
      <c r="A133" s="1" t="str">
        <f>IFERROR(__xludf.DUMMYFUNCTION("LEFT(REGEXREPLACE(B133, ""[^A-Za-z]"", """"), 3) &amp; RIGHT(D133, 2) &amp; LEFT(REGEXREPLACE(C133, ""[^A-Za-z]"", """"), 3)"),"Han64Mai")</f>
        <v>Han64Mai</v>
      </c>
      <c r="B133" s="1" t="s">
        <v>351</v>
      </c>
      <c r="C133" s="1" t="s">
        <v>353</v>
      </c>
      <c r="D133" s="1">
        <v>1964.0</v>
      </c>
      <c r="E133" s="1">
        <v>2021.0</v>
      </c>
      <c r="F133" s="1" t="s">
        <v>28</v>
      </c>
      <c r="G133" s="1" t="s">
        <v>29</v>
      </c>
      <c r="H133" s="1" t="s">
        <v>29</v>
      </c>
      <c r="I133" s="1" t="s">
        <v>265</v>
      </c>
      <c r="J133" s="2" t="s">
        <v>18</v>
      </c>
      <c r="L133" s="1" t="str">
        <f t="array" ref="L133">XLOOKUP(D133,'Other Data Fuckery'!$A$2:$A$101, 'Other Data Fuckery'!$B$2:$B$101)</f>
        <v>1960s</v>
      </c>
    </row>
    <row r="134" ht="14.25" customHeight="1">
      <c r="A134" s="1" t="str">
        <f>IFERROR(__xludf.DUMMYFUNCTION("LEFT(REGEXREPLACE(B134, ""[^A-Za-z]"", """"), 3) &amp; RIGHT(D134, 2) &amp; LEFT(REGEXREPLACE(C134, ""[^A-Za-z]"", """"), 3)"),"Han64Emp")</f>
        <v>Han64Emp</v>
      </c>
      <c r="B134" s="1" t="s">
        <v>351</v>
      </c>
      <c r="C134" s="1" t="s">
        <v>354</v>
      </c>
      <c r="D134" s="1">
        <v>1964.0</v>
      </c>
      <c r="E134" s="1">
        <v>2023.0</v>
      </c>
      <c r="F134" s="1" t="s">
        <v>28</v>
      </c>
      <c r="G134" s="1" t="s">
        <v>29</v>
      </c>
      <c r="H134" s="1" t="s">
        <v>29</v>
      </c>
      <c r="I134" s="1" t="s">
        <v>53</v>
      </c>
      <c r="J134" s="2" t="s">
        <v>18</v>
      </c>
      <c r="L134" s="1" t="str">
        <f t="array" ref="L134">XLOOKUP(D134,'Other Data Fuckery'!$A$2:$A$101, 'Other Data Fuckery'!$B$2:$B$101)</f>
        <v>1960s</v>
      </c>
    </row>
    <row r="135" ht="14.25" customHeight="1">
      <c r="A135" s="1" t="str">
        <f>IFERROR(__xludf.DUMMYFUNCTION("LEFT(REGEXREPLACE(B135, ""[^A-Za-z]"", """"), 3) &amp; RIGHT(D135, 2) &amp; LEFT(REGEXREPLACE(C135, ""[^A-Za-z]"", """"), 3)"),"Har70All")</f>
        <v>Har70All</v>
      </c>
      <c r="B135" s="1" t="s">
        <v>355</v>
      </c>
      <c r="C135" s="1" t="s">
        <v>356</v>
      </c>
      <c r="D135" s="1">
        <v>1970.0</v>
      </c>
      <c r="E135" s="1">
        <v>2021.0</v>
      </c>
      <c r="F135" s="1" t="s">
        <v>357</v>
      </c>
      <c r="G135" s="1" t="s">
        <v>15</v>
      </c>
      <c r="H135" s="2" t="s">
        <v>35</v>
      </c>
      <c r="I135" s="2" t="s">
        <v>358</v>
      </c>
      <c r="J135" s="2" t="s">
        <v>18</v>
      </c>
      <c r="K135" s="1" t="s">
        <v>359</v>
      </c>
      <c r="L135" s="1" t="str">
        <f t="array" ref="L135">XLOOKUP(D135,'Other Data Fuckery'!$A$2:$A$101, 'Other Data Fuckery'!$B$2:$B$101)</f>
        <v>1970s</v>
      </c>
    </row>
    <row r="136" ht="14.25" customHeight="1">
      <c r="A136" s="1" t="str">
        <f>IFERROR(__xludf.DUMMYFUNCTION("LEFT(REGEXREPLACE(B136, ""[^A-Za-z]"", """"), 3) &amp; RIGHT(D136, 2) &amp; LEFT(REGEXREPLACE(C136, ""[^A-Za-z]"", """"), 3)"),"Hen63Pag")</f>
        <v>Hen63Pag</v>
      </c>
      <c r="B136" s="1" t="s">
        <v>360</v>
      </c>
      <c r="C136" s="1" t="s">
        <v>361</v>
      </c>
      <c r="D136" s="1">
        <v>1963.0</v>
      </c>
      <c r="E136" s="1">
        <v>2021.0</v>
      </c>
      <c r="F136" s="1" t="s">
        <v>28</v>
      </c>
      <c r="G136" s="1" t="s">
        <v>29</v>
      </c>
      <c r="H136" s="1" t="s">
        <v>29</v>
      </c>
      <c r="I136" s="1" t="s">
        <v>53</v>
      </c>
      <c r="J136" s="2" t="s">
        <v>18</v>
      </c>
      <c r="L136" s="1" t="str">
        <f t="array" ref="L136">XLOOKUP(D136,'Other Data Fuckery'!$A$2:$A$101, 'Other Data Fuckery'!$B$2:$B$101)</f>
        <v>1960s</v>
      </c>
    </row>
    <row r="137" ht="14.25" customHeight="1">
      <c r="A137" s="1" t="str">
        <f>IFERROR(__xludf.DUMMYFUNCTION("LEFT(REGEXREPLACE(B137, ""[^A-Za-z]"", """"), 3) &amp; RIGHT(D137, 2) &amp; LEFT(REGEXREPLACE(C137, ""[^A-Za-z]"", """"), 3)"),"Hen69Ele")</f>
        <v>Hen69Ele</v>
      </c>
      <c r="B137" s="2" t="s">
        <v>362</v>
      </c>
      <c r="C137" s="2" t="s">
        <v>363</v>
      </c>
      <c r="D137" s="2">
        <v>1969.0</v>
      </c>
      <c r="E137" s="2">
        <v>2010.0</v>
      </c>
      <c r="F137" s="2" t="s">
        <v>364</v>
      </c>
      <c r="G137" s="2" t="s">
        <v>15</v>
      </c>
      <c r="H137" s="2" t="s">
        <v>35</v>
      </c>
      <c r="I137" s="2" t="s">
        <v>53</v>
      </c>
      <c r="J137" s="2" t="s">
        <v>18</v>
      </c>
      <c r="L137" s="1" t="str">
        <f t="array" ref="L137">XLOOKUP(D137,'Other Data Fuckery'!$A$2:$A$101, 'Other Data Fuckery'!$B$2:$B$101)</f>
        <v>1960s</v>
      </c>
    </row>
    <row r="138" ht="14.25" customHeight="1">
      <c r="A138" s="1" t="str">
        <f>IFERROR(__xludf.DUMMYFUNCTION("LEFT(REGEXREPLACE(B138, ""[^A-Za-z]"", """"), 3) &amp; RIGHT(D138, 2) &amp; LEFT(REGEXREPLACE(C138, ""[^A-Za-z]"", """"), 3)"),"How59Moa")</f>
        <v>How59Moa</v>
      </c>
      <c r="B138" s="2" t="s">
        <v>365</v>
      </c>
      <c r="C138" s="2" t="s">
        <v>366</v>
      </c>
      <c r="D138" s="2">
        <v>1959.0</v>
      </c>
      <c r="E138" s="2">
        <v>2024.0</v>
      </c>
      <c r="F138" s="2" t="s">
        <v>367</v>
      </c>
      <c r="G138" s="2" t="s">
        <v>29</v>
      </c>
      <c r="H138" s="2" t="s">
        <v>29</v>
      </c>
      <c r="I138" s="2" t="s">
        <v>42</v>
      </c>
      <c r="J138" s="2" t="s">
        <v>18</v>
      </c>
      <c r="L138" s="1" t="str">
        <f t="array" ref="L138">XLOOKUP(D138,'Other Data Fuckery'!$A$2:$A$101, 'Other Data Fuckery'!$B$2:$B$101)</f>
        <v>1950s</v>
      </c>
    </row>
    <row r="139" ht="14.25" customHeight="1">
      <c r="A139" s="1" t="str">
        <f>IFERROR(__xludf.DUMMYFUNCTION("LEFT(REGEXREPLACE(B139, ""[^A-Za-z]"", """"), 3) &amp; RIGHT(D139, 2) &amp; LEFT(REGEXREPLACE(C139, ""[^A-Za-z]"", """"), 3)"),"Isb15Som")</f>
        <v>Isb15Som</v>
      </c>
      <c r="B139" s="2" t="s">
        <v>368</v>
      </c>
      <c r="C139" s="2" t="s">
        <v>369</v>
      </c>
      <c r="D139" s="2">
        <v>2015.0</v>
      </c>
      <c r="E139" s="2">
        <v>2015.0</v>
      </c>
      <c r="F139" s="2" t="s">
        <v>370</v>
      </c>
      <c r="G139" s="2" t="s">
        <v>197</v>
      </c>
      <c r="H139" s="2" t="s">
        <v>371</v>
      </c>
      <c r="I139" s="2" t="s">
        <v>96</v>
      </c>
      <c r="J139" s="2" t="s">
        <v>18</v>
      </c>
      <c r="L139" s="1" t="str">
        <f t="array" ref="L139">XLOOKUP(D139,'Other Data Fuckery'!$A$2:$A$101, 'Other Data Fuckery'!$B$2:$B$101)</f>
        <v>2010s</v>
      </c>
    </row>
    <row r="140" ht="14.25" customHeight="1">
      <c r="A140" s="1" t="str">
        <f>IFERROR(__xludf.DUMMYFUNCTION("LEFT(REGEXREPLACE(B140, ""[^A-Za-z]"", """"), 3) &amp; RIGHT(D140, 2) &amp; LEFT(REGEXREPLACE(C140, ""[^A-Za-z]"", """"), 3)"),"Isb18Sir")</f>
        <v>Isb18Sir</v>
      </c>
      <c r="B140" s="2" t="s">
        <v>368</v>
      </c>
      <c r="C140" s="2" t="s">
        <v>372</v>
      </c>
      <c r="D140" s="2">
        <v>2018.0</v>
      </c>
      <c r="E140" s="2">
        <v>2023.0</v>
      </c>
      <c r="F140" s="2" t="s">
        <v>373</v>
      </c>
      <c r="G140" s="2" t="s">
        <v>197</v>
      </c>
      <c r="H140" s="2" t="s">
        <v>371</v>
      </c>
      <c r="I140" s="2" t="s">
        <v>53</v>
      </c>
      <c r="J140" s="2" t="s">
        <v>18</v>
      </c>
      <c r="L140" s="1" t="str">
        <f t="array" ref="L140">XLOOKUP(D140,'Other Data Fuckery'!$A$2:$A$101, 'Other Data Fuckery'!$B$2:$B$101)</f>
        <v>2010s</v>
      </c>
    </row>
    <row r="141" ht="14.25" customHeight="1">
      <c r="A141" s="1" t="str">
        <f>IFERROR(__xludf.DUMMYFUNCTION("LEFT(REGEXREPLACE(B141, ""[^A-Za-z]"", """"), 3) &amp; RIGHT(D141, 2) &amp; LEFT(REGEXREPLACE(C141, ""[^A-Za-z]"", """"), 3)"),"Isb03Sou")</f>
        <v>Isb03Sou</v>
      </c>
      <c r="B141" s="2" t="s">
        <v>368</v>
      </c>
      <c r="C141" s="2" t="s">
        <v>374</v>
      </c>
      <c r="D141" s="2">
        <v>2003.0</v>
      </c>
      <c r="E141" s="2">
        <v>2023.0</v>
      </c>
      <c r="F141" s="2" t="s">
        <v>370</v>
      </c>
      <c r="G141" s="2" t="s">
        <v>197</v>
      </c>
      <c r="H141" s="2" t="s">
        <v>371</v>
      </c>
      <c r="I141" s="2" t="s">
        <v>42</v>
      </c>
      <c r="J141" s="2" t="s">
        <v>18</v>
      </c>
      <c r="L141" s="1" t="str">
        <f t="array" ref="L141">XLOOKUP(D141,'Other Data Fuckery'!$A$2:$A$101, 'Other Data Fuckery'!$B$2:$B$101)</f>
        <v>2000s</v>
      </c>
    </row>
    <row r="142" ht="14.25" customHeight="1">
      <c r="A142" s="1" t="str">
        <f>IFERROR(__xludf.DUMMYFUNCTION("LEFT(REGEXREPLACE(B142, ""[^A-Za-z]"", """"), 3) &amp; RIGHT(D142, 2) &amp; LEFT(REGEXREPLACE(C142, ""[^A-Za-z]"", """"), 3)"),"Isb19Her")</f>
        <v>Isb19Her</v>
      </c>
      <c r="B142" s="2" t="s">
        <v>375</v>
      </c>
      <c r="C142" s="2" t="s">
        <v>376</v>
      </c>
      <c r="D142" s="2">
        <v>2019.0</v>
      </c>
      <c r="E142" s="2">
        <v>2019.0</v>
      </c>
      <c r="F142" s="2" t="s">
        <v>370</v>
      </c>
      <c r="G142" s="2" t="s">
        <v>197</v>
      </c>
      <c r="H142" s="2" t="s">
        <v>371</v>
      </c>
      <c r="I142" s="2" t="s">
        <v>53</v>
      </c>
      <c r="J142" s="2" t="s">
        <v>18</v>
      </c>
      <c r="L142" s="1" t="str">
        <f t="array" ref="L142">XLOOKUP(D142,'Other Data Fuckery'!$A$2:$A$101, 'Other Data Fuckery'!$B$2:$B$101)</f>
        <v>2010s</v>
      </c>
    </row>
    <row r="143" ht="14.25" customHeight="1">
      <c r="A143" s="1" t="str">
        <f>IFERROR(__xludf.DUMMYFUNCTION("LEFT(REGEXREPLACE(B143, ""[^A-Za-z]"", """"), 3) &amp; RIGHT(D143, 2) &amp; LEFT(REGEXREPLACE(C143, ""[^A-Za-z]"", """"), 3)"),"Isb20Reu")</f>
        <v>Isb20Reu</v>
      </c>
      <c r="B143" s="2" t="s">
        <v>375</v>
      </c>
      <c r="C143" s="2" t="s">
        <v>377</v>
      </c>
      <c r="D143" s="2">
        <v>2020.0</v>
      </c>
      <c r="E143" s="2">
        <v>2020.0</v>
      </c>
      <c r="F143" s="2" t="s">
        <v>370</v>
      </c>
      <c r="G143" s="2" t="s">
        <v>197</v>
      </c>
      <c r="H143" s="2" t="s">
        <v>371</v>
      </c>
      <c r="I143" s="2" t="s">
        <v>53</v>
      </c>
      <c r="J143" s="2" t="s">
        <v>18</v>
      </c>
      <c r="L143" s="1" t="str">
        <f t="array" ref="L143">XLOOKUP(D143,'Other Data Fuckery'!$A$2:$A$101, 'Other Data Fuckery'!$B$2:$B$101)</f>
        <v>2020s</v>
      </c>
    </row>
    <row r="144" ht="14.25" customHeight="1">
      <c r="A144" s="1" t="str">
        <f>IFERROR(__xludf.DUMMYFUNCTION("LEFT(REGEXREPLACE(B144, ""[^A-Za-z]"", """"), 3) &amp; RIGHT(D144, 2) &amp; LEFT(REGEXREPLACE(C144, ""[^A-Za-z]"", """"), 3)"),"Isb17The")</f>
        <v>Isb17The</v>
      </c>
      <c r="B144" s="2" t="s">
        <v>375</v>
      </c>
      <c r="C144" s="2" t="s">
        <v>378</v>
      </c>
      <c r="D144" s="2">
        <v>2017.0</v>
      </c>
      <c r="E144" s="2">
        <v>2022.0</v>
      </c>
      <c r="F144" s="2" t="s">
        <v>370</v>
      </c>
      <c r="G144" s="2" t="s">
        <v>197</v>
      </c>
      <c r="H144" s="2" t="s">
        <v>371</v>
      </c>
      <c r="I144" s="2" t="s">
        <v>31</v>
      </c>
      <c r="J144" s="2" t="s">
        <v>18</v>
      </c>
      <c r="L144" s="1" t="str">
        <f t="array" ref="L144">XLOOKUP(D144,'Other Data Fuckery'!$A$2:$A$101, 'Other Data Fuckery'!$B$2:$B$101)</f>
        <v>2010s</v>
      </c>
    </row>
    <row r="145" ht="14.25" customHeight="1">
      <c r="A145" s="1" t="str">
        <f>IFERROR(__xludf.DUMMYFUNCTION("LEFT(REGEXREPLACE(B145, ""[^A-Za-z]"", """"), 3) &amp; RIGHT(D145, 2) &amp; LEFT(REGEXREPLACE(C145, ""[^A-Za-z]"", """"), 3)"),"Isb23Wea")</f>
        <v>Isb23Wea</v>
      </c>
      <c r="B145" s="2" t="s">
        <v>375</v>
      </c>
      <c r="C145" s="1" t="s">
        <v>379</v>
      </c>
      <c r="D145" s="1">
        <v>2023.0</v>
      </c>
      <c r="E145" s="1">
        <v>2023.0</v>
      </c>
      <c r="F145" s="1" t="s">
        <v>370</v>
      </c>
      <c r="G145" s="2" t="s">
        <v>197</v>
      </c>
      <c r="H145" s="2" t="s">
        <v>371</v>
      </c>
      <c r="I145" s="1" t="s">
        <v>53</v>
      </c>
      <c r="J145" s="2" t="s">
        <v>18</v>
      </c>
      <c r="L145" s="1" t="str">
        <f t="array" ref="L145">XLOOKUP(D145,'Other Data Fuckery'!$A$2:$A$101, 'Other Data Fuckery'!$B$2:$B$101)</f>
        <v>2020s</v>
      </c>
    </row>
    <row r="146" ht="14.25" customHeight="1">
      <c r="A146" s="1" t="str">
        <f>IFERROR(__xludf.DUMMYFUNCTION("LEFT(REGEXREPLACE(B146, ""[^A-Za-z]"", """"), 3) &amp; RIGHT(D146, 2) &amp; LEFT(REGEXREPLACE(C146, ""[^A-Za-z]"", """"), 3)"),"Jac05Eve")</f>
        <v>Jac05Eve</v>
      </c>
      <c r="B146" s="2" t="s">
        <v>380</v>
      </c>
      <c r="C146" s="2" t="s">
        <v>381</v>
      </c>
      <c r="D146" s="2">
        <v>2005.0</v>
      </c>
      <c r="E146" s="2">
        <v>2005.0</v>
      </c>
      <c r="F146" s="1" t="s">
        <v>61</v>
      </c>
      <c r="G146" s="2" t="s">
        <v>15</v>
      </c>
      <c r="H146" s="2" t="s">
        <v>194</v>
      </c>
      <c r="I146" s="2" t="s">
        <v>265</v>
      </c>
      <c r="J146" s="2" t="s">
        <v>18</v>
      </c>
      <c r="L146" s="1" t="str">
        <f t="array" ref="L146">XLOOKUP(D146,'Other Data Fuckery'!$A$2:$A$101, 'Other Data Fuckery'!$B$2:$B$101)</f>
        <v>2000s</v>
      </c>
    </row>
    <row r="147" ht="14.25" customHeight="1">
      <c r="A147" s="1" t="str">
        <f>IFERROR(__xludf.DUMMYFUNCTION("LEFT(REGEXREPLACE(B147, ""[^A-Za-z]"", """"), 3) &amp; RIGHT(D147, 2) &amp; LEFT(REGEXREPLACE(C147, ""[^A-Za-z]"", """"), 3)"),"Jac55Blu")</f>
        <v>Jac55Blu</v>
      </c>
      <c r="B147" s="1" t="s">
        <v>382</v>
      </c>
      <c r="C147" s="1" t="s">
        <v>383</v>
      </c>
      <c r="D147" s="1">
        <v>1955.0</v>
      </c>
      <c r="E147" s="1">
        <v>2022.0</v>
      </c>
      <c r="F147" s="1" t="s">
        <v>28</v>
      </c>
      <c r="G147" s="1" t="s">
        <v>29</v>
      </c>
      <c r="H147" s="1" t="s">
        <v>29</v>
      </c>
      <c r="I147" s="1" t="s">
        <v>96</v>
      </c>
      <c r="J147" s="2" t="s">
        <v>18</v>
      </c>
      <c r="L147" s="1" t="str">
        <f t="array" ref="L147">XLOOKUP(D147,'Other Data Fuckery'!$A$2:$A$101, 'Other Data Fuckery'!$B$2:$B$101)</f>
        <v>1950s</v>
      </c>
    </row>
    <row r="148" ht="14.25" customHeight="1">
      <c r="A148" s="1" t="str">
        <f>IFERROR(__xludf.DUMMYFUNCTION("LEFT(REGEXREPLACE(B148, ""[^A-Za-z]"", """"), 3) &amp; RIGHT(D148, 2) &amp; LEFT(REGEXREPLACE(C148, ""[^A-Za-z]"", """"), 3)"),"Jay16Pag")</f>
        <v>Jay16Pag</v>
      </c>
      <c r="B148" s="2" t="s">
        <v>384</v>
      </c>
      <c r="C148" s="1" t="s">
        <v>385</v>
      </c>
      <c r="D148" s="1">
        <v>2016.0</v>
      </c>
      <c r="E148" s="1">
        <v>2016.0</v>
      </c>
      <c r="F148" s="1" t="s">
        <v>386</v>
      </c>
      <c r="G148" s="2" t="s">
        <v>197</v>
      </c>
      <c r="H148" s="2" t="s">
        <v>371</v>
      </c>
      <c r="I148" s="1" t="s">
        <v>265</v>
      </c>
      <c r="J148" s="2" t="s">
        <v>18</v>
      </c>
      <c r="L148" s="1" t="str">
        <f t="array" ref="L148">XLOOKUP(D148,'Other Data Fuckery'!$A$2:$A$101, 'Other Data Fuckery'!$B$2:$B$101)</f>
        <v>2010s</v>
      </c>
    </row>
    <row r="149" ht="14.25" customHeight="1">
      <c r="A149" s="1" t="str">
        <f>IFERROR(__xludf.DUMMYFUNCTION("LEFT(REGEXREPLACE(B149, ""[^A-Za-z]"", """"), 3) &amp; RIGHT(D149, 2) &amp; LEFT(REGEXREPLACE(C149, ""[^A-Za-z]"", """"), 3)"),"Jep15Tug")</f>
        <v>Jep15Tug</v>
      </c>
      <c r="B149" s="2" t="s">
        <v>387</v>
      </c>
      <c r="C149" s="2" t="s">
        <v>388</v>
      </c>
      <c r="D149" s="2">
        <v>2015.0</v>
      </c>
      <c r="E149" s="2">
        <v>2023.0</v>
      </c>
      <c r="F149" s="2" t="s">
        <v>389</v>
      </c>
      <c r="G149" s="2" t="s">
        <v>46</v>
      </c>
      <c r="H149" s="2" t="s">
        <v>390</v>
      </c>
      <c r="I149" s="2" t="s">
        <v>42</v>
      </c>
      <c r="J149" s="2" t="s">
        <v>24</v>
      </c>
      <c r="L149" s="1" t="str">
        <f t="array" ref="L149">XLOOKUP(D149,'Other Data Fuckery'!$A$2:$A$101, 'Other Data Fuckery'!$B$2:$B$101)</f>
        <v>2010s</v>
      </c>
    </row>
    <row r="150" ht="14.25" customHeight="1">
      <c r="A150" s="1" t="str">
        <f>IFERROR(__xludf.DUMMYFUNCTION("LEFT(REGEXREPLACE(B150, ""[^A-Za-z]"", """"), 3) &amp; RIGHT(D150, 2) &amp; LEFT(REGEXREPLACE(C150, ""[^A-Za-z]"", """"), 3)"),"Jim04Ble")</f>
        <v>Jim04Ble</v>
      </c>
      <c r="B150" s="2" t="s">
        <v>391</v>
      </c>
      <c r="C150" s="2" t="s">
        <v>392</v>
      </c>
      <c r="D150" s="2">
        <v>2004.0</v>
      </c>
      <c r="E150" s="2">
        <v>2015.0</v>
      </c>
      <c r="F150" s="2" t="s">
        <v>393</v>
      </c>
      <c r="G150" s="2" t="s">
        <v>15</v>
      </c>
      <c r="H150" s="2" t="s">
        <v>16</v>
      </c>
      <c r="I150" s="2" t="s">
        <v>17</v>
      </c>
      <c r="J150" s="2" t="s">
        <v>18</v>
      </c>
      <c r="L150" s="1" t="str">
        <f t="array" ref="L150">XLOOKUP(D150,'Other Data Fuckery'!$A$2:$A$101, 'Other Data Fuckery'!$B$2:$B$101)</f>
        <v>2000s</v>
      </c>
    </row>
    <row r="151" ht="14.25" customHeight="1">
      <c r="A151" s="1" t="str">
        <f>IFERROR(__xludf.DUMMYFUNCTION("LEFT(REGEXREPLACE(B151, ""[^A-Za-z]"", """"), 3) &amp; RIGHT(D151, 2) &amp; LEFT(REGEXREPLACE(C151, ""[^A-Za-z]"", """"), 3)"),"Joh84bre")</f>
        <v>Joh84bre</v>
      </c>
      <c r="B151" s="1" t="s">
        <v>394</v>
      </c>
      <c r="C151" s="1" t="s">
        <v>395</v>
      </c>
      <c r="D151" s="1">
        <v>1984.0</v>
      </c>
      <c r="E151" s="1">
        <v>1984.0</v>
      </c>
      <c r="F151" s="1" t="s">
        <v>393</v>
      </c>
      <c r="G151" s="2" t="s">
        <v>15</v>
      </c>
      <c r="H151" s="2" t="s">
        <v>150</v>
      </c>
      <c r="I151" s="1" t="s">
        <v>106</v>
      </c>
      <c r="J151" s="2" t="s">
        <v>24</v>
      </c>
      <c r="L151" s="1" t="str">
        <f t="array" ref="L151">XLOOKUP(D151,'Other Data Fuckery'!$A$2:$A$101, 'Other Data Fuckery'!$B$2:$B$101)</f>
        <v>1980s</v>
      </c>
    </row>
    <row r="152" ht="14.25" customHeight="1">
      <c r="A152" s="1" t="str">
        <f>IFERROR(__xludf.DUMMYFUNCTION("LEFT(REGEXREPLACE(B152, ""[^A-Za-z]"", """"), 3) &amp; RIGHT(D152, 2) &amp; LEFT(REGEXREPLACE(C152, ""[^A-Za-z]"", """"), 3)"),"Kac24Dee")</f>
        <v>Kac24Dee</v>
      </c>
      <c r="B152" s="2" t="s">
        <v>396</v>
      </c>
      <c r="C152" s="2" t="s">
        <v>397</v>
      </c>
      <c r="D152" s="2">
        <v>2024.0</v>
      </c>
      <c r="E152" s="2">
        <v>2024.0</v>
      </c>
      <c r="F152" s="2" t="s">
        <v>398</v>
      </c>
      <c r="G152" s="2" t="s">
        <v>197</v>
      </c>
      <c r="I152" s="2" t="s">
        <v>53</v>
      </c>
      <c r="J152" s="2" t="s">
        <v>24</v>
      </c>
      <c r="L152" s="1" t="str">
        <f t="array" ref="L152">XLOOKUP(D152,'Other Data Fuckery'!$A$2:$A$101, 'Other Data Fuckery'!$B$2:$B$101)</f>
        <v>2020s</v>
      </c>
    </row>
    <row r="153" ht="14.25" customHeight="1">
      <c r="A153" s="1" t="str">
        <f>IFERROR(__xludf.DUMMYFUNCTION("LEFT(REGEXREPLACE(B153, ""[^A-Za-z]"", """"), 3) &amp; RIGHT(D153, 2) &amp; LEFT(REGEXREPLACE(C153, ""[^A-Za-z]"", """"), 3)"),"Led73Hou")</f>
        <v>Led73Hou</v>
      </c>
      <c r="B153" s="1" t="s">
        <v>399</v>
      </c>
      <c r="C153" s="1" t="s">
        <v>400</v>
      </c>
      <c r="D153" s="1">
        <v>1973.0</v>
      </c>
      <c r="E153" s="1">
        <v>2021.0</v>
      </c>
      <c r="F153" s="1" t="s">
        <v>144</v>
      </c>
      <c r="G153" s="1" t="s">
        <v>15</v>
      </c>
      <c r="H153" s="2" t="s">
        <v>35</v>
      </c>
      <c r="I153" s="1" t="s">
        <v>154</v>
      </c>
      <c r="J153" s="2" t="s">
        <v>18</v>
      </c>
      <c r="L153" s="1" t="str">
        <f t="array" ref="L153">XLOOKUP(D153,'Other Data Fuckery'!$A$2:$A$101, 'Other Data Fuckery'!$B$2:$B$101)</f>
        <v>1970s</v>
      </c>
    </row>
    <row r="154" ht="14.25" customHeight="1">
      <c r="A154" s="1" t="str">
        <f>IFERROR(__xludf.DUMMYFUNCTION("LEFT(REGEXREPLACE(B154, ""[^A-Za-z]"", """"), 3) &amp; RIGHT(D154, 2) &amp; LEFT(REGEXREPLACE(C154, ""[^A-Za-z]"", """"), 3)"),"Led69I")</f>
        <v>Led69I</v>
      </c>
      <c r="B154" s="1" t="s">
        <v>399</v>
      </c>
      <c r="C154" s="1" t="s">
        <v>401</v>
      </c>
      <c r="D154" s="1">
        <v>1969.0</v>
      </c>
      <c r="E154" s="1">
        <v>2021.0</v>
      </c>
      <c r="F154" s="1" t="s">
        <v>144</v>
      </c>
      <c r="G154" s="1" t="s">
        <v>15</v>
      </c>
      <c r="H154" s="2" t="s">
        <v>35</v>
      </c>
      <c r="I154" s="1" t="s">
        <v>358</v>
      </c>
      <c r="J154" s="2" t="s">
        <v>18</v>
      </c>
      <c r="L154" s="1" t="str">
        <f t="array" ref="L154">XLOOKUP(D154,'Other Data Fuckery'!$A$2:$A$101, 'Other Data Fuckery'!$B$2:$B$101)</f>
        <v>1960s</v>
      </c>
    </row>
    <row r="155" ht="14.25" customHeight="1">
      <c r="A155" s="1" t="str">
        <f>IFERROR(__xludf.DUMMYFUNCTION("LEFT(REGEXREPLACE(B155, ""[^A-Za-z]"", """"), 3) &amp; RIGHT(D155, 2) &amp; LEFT(REGEXREPLACE(C155, ""[^A-Za-z]"", """"), 3)"),"Led71IV")</f>
        <v>Led71IV</v>
      </c>
      <c r="B155" s="1" t="s">
        <v>399</v>
      </c>
      <c r="C155" s="1" t="s">
        <v>402</v>
      </c>
      <c r="D155" s="1">
        <v>1971.0</v>
      </c>
      <c r="E155" s="1">
        <v>2021.0</v>
      </c>
      <c r="F155" s="1" t="s">
        <v>144</v>
      </c>
      <c r="G155" s="1" t="s">
        <v>15</v>
      </c>
      <c r="H155" s="2" t="s">
        <v>35</v>
      </c>
      <c r="I155" s="1" t="s">
        <v>53</v>
      </c>
      <c r="J155" s="2" t="s">
        <v>18</v>
      </c>
      <c r="L155" s="1" t="str">
        <f t="array" ref="L155">XLOOKUP(D155,'Other Data Fuckery'!$A$2:$A$101, 'Other Data Fuckery'!$B$2:$B$101)</f>
        <v>1970s</v>
      </c>
    </row>
    <row r="156" ht="14.25" customHeight="1">
      <c r="A156" s="1" t="str">
        <f>IFERROR(__xludf.DUMMYFUNCTION("LEFT(REGEXREPLACE(B156, ""[^A-Za-z]"", """"), 3) &amp; RIGHT(D156, 2) &amp; LEFT(REGEXREPLACE(C156, ""[^A-Za-z]"", """"), 3)"),"Len71Ima")</f>
        <v>Len71Ima</v>
      </c>
      <c r="B156" s="1" t="s">
        <v>403</v>
      </c>
      <c r="C156" s="1" t="s">
        <v>404</v>
      </c>
      <c r="D156" s="1">
        <v>1971.0</v>
      </c>
      <c r="E156" s="1">
        <v>1971.0</v>
      </c>
      <c r="F156" s="1" t="s">
        <v>103</v>
      </c>
      <c r="G156" s="1" t="s">
        <v>15</v>
      </c>
      <c r="H156" s="2" t="s">
        <v>35</v>
      </c>
      <c r="I156" s="1" t="s">
        <v>106</v>
      </c>
      <c r="J156" s="2" t="s">
        <v>24</v>
      </c>
      <c r="K156" s="1" t="s">
        <v>405</v>
      </c>
      <c r="L156" s="1" t="str">
        <f t="array" ref="L156">XLOOKUP(D156,'Other Data Fuckery'!$A$2:$A$101, 'Other Data Fuckery'!$B$2:$B$101)</f>
        <v>1970s</v>
      </c>
    </row>
    <row r="157" ht="14.25" customHeight="1">
      <c r="A157" s="1" t="str">
        <f>IFERROR(__xludf.DUMMYFUNCTION("LEFT(REGEXREPLACE(B157, ""[^A-Za-z]"", """"), 3) &amp; RIGHT(D157, 2) &amp; LEFT(REGEXREPLACE(C157, ""[^A-Za-z]"", """"), 3)"),"Mad22Fin")</f>
        <v>Mad22Fin</v>
      </c>
      <c r="B157" s="1" t="s">
        <v>406</v>
      </c>
      <c r="C157" s="1" t="s">
        <v>407</v>
      </c>
      <c r="D157" s="1">
        <v>2022.0</v>
      </c>
      <c r="E157" s="1">
        <v>2022.0</v>
      </c>
      <c r="F157" s="1" t="s">
        <v>61</v>
      </c>
      <c r="G157" s="1" t="s">
        <v>46</v>
      </c>
      <c r="H157" s="2" t="s">
        <v>390</v>
      </c>
      <c r="I157" s="1" t="s">
        <v>53</v>
      </c>
      <c r="J157" s="2" t="s">
        <v>24</v>
      </c>
      <c r="K157" s="1" t="s">
        <v>408</v>
      </c>
      <c r="L157" s="1" t="str">
        <f t="array" ref="L157">XLOOKUP(D157,'Other Data Fuckery'!$A$2:$A$101, 'Other Data Fuckery'!$B$2:$B$101)</f>
        <v>2020s</v>
      </c>
    </row>
    <row r="158" ht="14.25" customHeight="1">
      <c r="A158" s="1" t="str">
        <f>IFERROR(__xludf.DUMMYFUNCTION("LEFT(REGEXREPLACE(B158, ""[^A-Za-z]"", """"), 3) &amp; RIGHT(D158, 2) &amp; LEFT(REGEXREPLACE(C158, ""[^A-Za-z]"", """"), 3)"),"Mad82Mad")</f>
        <v>Mad82Mad</v>
      </c>
      <c r="B158" s="1" t="s">
        <v>406</v>
      </c>
      <c r="C158" s="2" t="s">
        <v>406</v>
      </c>
      <c r="D158" s="1">
        <v>1982.0</v>
      </c>
      <c r="E158" s="1">
        <v>2018.0</v>
      </c>
      <c r="F158" s="1" t="s">
        <v>61</v>
      </c>
      <c r="G158" s="1" t="s">
        <v>46</v>
      </c>
      <c r="H158" s="2" t="s">
        <v>390</v>
      </c>
      <c r="I158" s="1" t="s">
        <v>53</v>
      </c>
      <c r="J158" s="2" t="s">
        <v>24</v>
      </c>
      <c r="K158" s="1" t="s">
        <v>409</v>
      </c>
      <c r="L158" s="1" t="str">
        <f t="array" ref="L158">XLOOKUP(D158,'Other Data Fuckery'!$A$2:$A$101, 'Other Data Fuckery'!$B$2:$B$101)</f>
        <v>1980s</v>
      </c>
    </row>
    <row r="159" ht="14.25" customHeight="1">
      <c r="A159" s="1" t="str">
        <f>IFERROR(__xludf.DUMMYFUNCTION("LEFT(REGEXREPLACE(B159, ""[^A-Za-z]"", """"), 3) &amp; RIGHT(D159, 2) &amp; LEFT(REGEXREPLACE(C159, ""[^A-Za-z]"", """"), 3)"),"Mae03Des")</f>
        <v>Mae03Des</v>
      </c>
      <c r="B159" s="2" t="s">
        <v>410</v>
      </c>
      <c r="C159" s="2" t="s">
        <v>411</v>
      </c>
      <c r="D159" s="2">
        <v>2003.0</v>
      </c>
      <c r="E159" s="2">
        <v>2023.0</v>
      </c>
      <c r="F159" s="2" t="s">
        <v>56</v>
      </c>
      <c r="G159" s="2" t="s">
        <v>15</v>
      </c>
      <c r="H159" s="2" t="s">
        <v>16</v>
      </c>
      <c r="I159" s="2" t="s">
        <v>216</v>
      </c>
      <c r="J159" s="2" t="s">
        <v>18</v>
      </c>
      <c r="L159" s="1" t="str">
        <f t="array" ref="L159">XLOOKUP(D159,'Other Data Fuckery'!$A$2:$A$101, 'Other Data Fuckery'!$B$2:$B$101)</f>
        <v>2000s</v>
      </c>
    </row>
    <row r="160" ht="14.25" customHeight="1">
      <c r="A160" s="1" t="str">
        <f>IFERROR(__xludf.DUMMYFUNCTION("LEFT(REGEXREPLACE(B160, ""[^A-Za-z]"", """"), 3) &amp; RIGHT(D160, 2) &amp; LEFT(REGEXREPLACE(C160, ""[^A-Za-z]"", """"), 3)"),"Mat22The")</f>
        <v>Mat22The</v>
      </c>
      <c r="B160" s="1" t="s">
        <v>412</v>
      </c>
      <c r="C160" s="1" t="s">
        <v>413</v>
      </c>
      <c r="D160" s="1">
        <v>2022.0</v>
      </c>
      <c r="E160" s="1">
        <v>2022.0</v>
      </c>
      <c r="F160" s="1" t="s">
        <v>414</v>
      </c>
      <c r="G160" s="2" t="s">
        <v>197</v>
      </c>
      <c r="H160" s="2" t="s">
        <v>415</v>
      </c>
      <c r="I160" s="1" t="s">
        <v>216</v>
      </c>
      <c r="J160" s="2" t="s">
        <v>24</v>
      </c>
      <c r="L160" s="1" t="str">
        <f t="array" ref="L160">XLOOKUP(D160,'Other Data Fuckery'!$A$2:$A$101, 'Other Data Fuckery'!$B$2:$B$101)</f>
        <v>2020s</v>
      </c>
    </row>
    <row r="161" ht="14.25" customHeight="1">
      <c r="A161" s="1" t="str">
        <f>IFERROR(__xludf.DUMMYFUNCTION("LEFT(REGEXREPLACE(B161, ""[^A-Za-z]"", """"), 3) &amp; RIGHT(D161, 2) &amp; LEFT(REGEXREPLACE(C161, ""[^A-Za-z]"", """"), 3)"),"May66Blu")</f>
        <v>May66Blu</v>
      </c>
      <c r="B161" s="2" t="s">
        <v>416</v>
      </c>
      <c r="C161" s="2" t="s">
        <v>417</v>
      </c>
      <c r="D161" s="2">
        <v>1966.0</v>
      </c>
      <c r="E161" s="2">
        <v>2022.0</v>
      </c>
      <c r="F161" s="2" t="s">
        <v>418</v>
      </c>
      <c r="G161" s="2" t="s">
        <v>145</v>
      </c>
      <c r="H161" s="2" t="s">
        <v>419</v>
      </c>
      <c r="I161" s="2" t="s">
        <v>53</v>
      </c>
      <c r="J161" s="2" t="s">
        <v>18</v>
      </c>
      <c r="L161" s="1" t="str">
        <f t="array" ref="L161">XLOOKUP(D161,'Other Data Fuckery'!$A$2:$A$101, 'Other Data Fuckery'!$B$2:$B$101)</f>
        <v>1960s</v>
      </c>
    </row>
    <row r="162" ht="14.25" customHeight="1">
      <c r="A162" s="1" t="str">
        <f>IFERROR(__xludf.DUMMYFUNCTION("LEFT(REGEXREPLACE(B162, ""[^A-Za-z]"", """"), 3) &amp; RIGHT(D162, 2) &amp; LEFT(REGEXREPLACE(C162, ""[^A-Za-z]"", """"), 3)"),"McP17Und")</f>
        <v>McP17Und</v>
      </c>
      <c r="B162" s="1" t="s">
        <v>420</v>
      </c>
      <c r="C162" s="1" t="s">
        <v>421</v>
      </c>
      <c r="D162" s="1">
        <v>2017.0</v>
      </c>
      <c r="E162" s="1">
        <v>2017.0</v>
      </c>
      <c r="F162" s="1" t="s">
        <v>373</v>
      </c>
      <c r="G162" s="1" t="s">
        <v>15</v>
      </c>
      <c r="H162" s="2" t="s">
        <v>422</v>
      </c>
      <c r="I162" s="1" t="s">
        <v>138</v>
      </c>
      <c r="J162" s="2" t="s">
        <v>18</v>
      </c>
      <c r="L162" s="1" t="str">
        <f t="array" ref="L162">XLOOKUP(D162,'Other Data Fuckery'!$A$2:$A$101, 'Other Data Fuckery'!$B$2:$B$101)</f>
        <v>2010s</v>
      </c>
    </row>
    <row r="163" ht="14.25" customHeight="1">
      <c r="A163" s="1" t="str">
        <f>IFERROR(__xludf.DUMMYFUNCTION("LEFT(REGEXREPLACE(B163, ""[^A-Za-z]"", """"), 3) &amp; RIGHT(D163, 2) &amp; LEFT(REGEXREPLACE(C163, ""[^A-Za-z]"", """"), 3)"),"McP18Soc")</f>
        <v>McP18Soc</v>
      </c>
      <c r="B163" s="1" t="s">
        <v>420</v>
      </c>
      <c r="C163" s="1" t="s">
        <v>423</v>
      </c>
      <c r="D163" s="1">
        <v>2018.0</v>
      </c>
      <c r="E163" s="1">
        <v>2018.0</v>
      </c>
      <c r="F163" s="1" t="s">
        <v>373</v>
      </c>
      <c r="G163" s="2" t="s">
        <v>70</v>
      </c>
      <c r="H163" s="2" t="s">
        <v>422</v>
      </c>
      <c r="I163" s="2" t="s">
        <v>23</v>
      </c>
      <c r="J163" s="2" t="s">
        <v>24</v>
      </c>
      <c r="L163" s="1" t="str">
        <f t="array" ref="L163">XLOOKUP(D163,'Other Data Fuckery'!$A$2:$A$101, 'Other Data Fuckery'!$B$2:$B$101)</f>
        <v>2010s</v>
      </c>
    </row>
    <row r="164" ht="14.25" customHeight="1">
      <c r="A164" s="1" t="str">
        <f>IFERROR(__xludf.DUMMYFUNCTION("LEFT(REGEXREPLACE(B164, ""[^A-Za-z]"", """"), 3) &amp; RIGHT(D164, 2) &amp; LEFT(REGEXREPLACE(C164, ""[^A-Za-z]"", """"), 3)"),"mew04Cat")</f>
        <v>mew04Cat</v>
      </c>
      <c r="B164" s="2" t="s">
        <v>424</v>
      </c>
      <c r="C164" s="2" t="s">
        <v>425</v>
      </c>
      <c r="D164" s="2">
        <v>2004.0</v>
      </c>
      <c r="E164" s="2">
        <v>2022.0</v>
      </c>
      <c r="F164" s="2" t="s">
        <v>215</v>
      </c>
      <c r="G164" s="2" t="s">
        <v>15</v>
      </c>
      <c r="H164" s="2" t="s">
        <v>16</v>
      </c>
      <c r="I164" s="2" t="s">
        <v>17</v>
      </c>
      <c r="J164" s="2" t="s">
        <v>18</v>
      </c>
      <c r="L164" s="1" t="str">
        <f t="array" ref="L164">XLOOKUP(D164,'Other Data Fuckery'!$A$2:$A$101, 'Other Data Fuckery'!$B$2:$B$101)</f>
        <v>2000s</v>
      </c>
    </row>
    <row r="165" ht="14.25" customHeight="1">
      <c r="A165" s="1" t="str">
        <f>IFERROR(__xludf.DUMMYFUNCTION("LEFT(REGEXREPLACE(B165, ""[^A-Za-z]"", """"), 3) &amp; RIGHT(D165, 2) &amp; LEFT(REGEXREPLACE(C165, ""[^A-Za-z]"", """"), 3)"),"Mid22For")</f>
        <v>Mid22For</v>
      </c>
      <c r="B165" s="2" t="s">
        <v>426</v>
      </c>
      <c r="C165" s="2" t="s">
        <v>427</v>
      </c>
      <c r="D165" s="2">
        <v>2022.0</v>
      </c>
      <c r="E165" s="2">
        <v>2022.0</v>
      </c>
      <c r="F165" s="2" t="s">
        <v>126</v>
      </c>
      <c r="G165" s="2" t="s">
        <v>170</v>
      </c>
      <c r="H165" s="2" t="s">
        <v>428</v>
      </c>
      <c r="I165" s="2" t="s">
        <v>223</v>
      </c>
      <c r="J165" s="2" t="s">
        <v>18</v>
      </c>
      <c r="L165" s="1" t="str">
        <f t="array" ref="L165">XLOOKUP(D165,'Other Data Fuckery'!$A$2:$A$101, 'Other Data Fuckery'!$B$2:$B$101)</f>
        <v>2020s</v>
      </c>
    </row>
    <row r="166" ht="14.25" customHeight="1">
      <c r="A166" s="1" t="str">
        <f>IFERROR(__xludf.DUMMYFUNCTION("LEFT(REGEXREPLACE(B166, ""[^A-Za-z]"", """"), 3) &amp; RIGHT(D166, 2) &amp; LEFT(REGEXREPLACE(C166, ""[^A-Za-z]"", """"), 3)"),"Min59Min")</f>
        <v>Min59Min</v>
      </c>
      <c r="B166" s="1" t="s">
        <v>429</v>
      </c>
      <c r="C166" s="1" t="s">
        <v>430</v>
      </c>
      <c r="D166" s="1">
        <v>1959.0</v>
      </c>
      <c r="E166" s="1">
        <v>2020.0</v>
      </c>
      <c r="F166" s="1" t="s">
        <v>165</v>
      </c>
      <c r="G166" s="1" t="s">
        <v>29</v>
      </c>
      <c r="H166" s="1" t="s">
        <v>29</v>
      </c>
      <c r="I166" s="1" t="s">
        <v>53</v>
      </c>
      <c r="J166" s="2" t="s">
        <v>18</v>
      </c>
      <c r="L166" s="1" t="str">
        <f t="array" ref="L166">XLOOKUP(D166,'Other Data Fuckery'!$A$2:$A$101, 'Other Data Fuckery'!$B$2:$B$101)</f>
        <v>1950s</v>
      </c>
    </row>
    <row r="167" ht="14.25" customHeight="1">
      <c r="A167" s="1" t="str">
        <f>IFERROR(__xludf.DUMMYFUNCTION("LEFT(REGEXREPLACE(B167, ""[^A-Za-z]"", """"), 3) &amp; RIGHT(D167, 2) &amp; LEFT(REGEXREPLACE(C167, ""[^A-Za-z]"", """"), 3)"),"Mob60Sou")</f>
        <v>Mob60Sou</v>
      </c>
      <c r="B167" s="1" t="s">
        <v>431</v>
      </c>
      <c r="C167" s="1" t="s">
        <v>432</v>
      </c>
      <c r="D167" s="1">
        <v>1960.0</v>
      </c>
      <c r="E167" s="1">
        <v>2021.0</v>
      </c>
      <c r="F167" s="1" t="s">
        <v>28</v>
      </c>
      <c r="G167" s="1" t="s">
        <v>29</v>
      </c>
      <c r="H167" s="1" t="s">
        <v>29</v>
      </c>
      <c r="I167" s="1" t="s">
        <v>17</v>
      </c>
      <c r="J167" s="2" t="s">
        <v>18</v>
      </c>
      <c r="L167" s="1" t="str">
        <f t="array" ref="L167">XLOOKUP(D167,'Other Data Fuckery'!$A$2:$A$101, 'Other Data Fuckery'!$B$2:$B$101)</f>
        <v>1960s</v>
      </c>
    </row>
    <row r="168" ht="14.25" customHeight="1">
      <c r="A168" s="1" t="str">
        <f>IFERROR(__xludf.DUMMYFUNCTION("LEFT(REGEXREPLACE(B168, ""[^A-Za-z]"", """"), 3) &amp; RIGHT(D168, 2) &amp; LEFT(REGEXREPLACE(C168, ""[^A-Za-z]"", """"), 3)"),"Mon68Pal")</f>
        <v>Mon68Pal</v>
      </c>
      <c r="B168" s="1" t="s">
        <v>433</v>
      </c>
      <c r="C168" s="1" t="s">
        <v>434</v>
      </c>
      <c r="D168" s="1">
        <v>1968.0</v>
      </c>
      <c r="E168" s="1">
        <v>2020.0</v>
      </c>
      <c r="F168" s="1" t="s">
        <v>212</v>
      </c>
      <c r="G168" s="1" t="s">
        <v>29</v>
      </c>
      <c r="H168" s="1" t="s">
        <v>29</v>
      </c>
      <c r="I168" s="1" t="s">
        <v>17</v>
      </c>
      <c r="J168" s="2" t="s">
        <v>18</v>
      </c>
      <c r="K168" s="1" t="s">
        <v>435</v>
      </c>
      <c r="L168" s="1" t="str">
        <f t="array" ref="L168">XLOOKUP(D168,'Other Data Fuckery'!$A$2:$A$101, 'Other Data Fuckery'!$B$2:$B$101)</f>
        <v>1960s</v>
      </c>
    </row>
    <row r="169" ht="14.25" customHeight="1">
      <c r="A169" s="1" t="str">
        <f>IFERROR(__xludf.DUMMYFUNCTION("LEFT(REGEXREPLACE(B169, ""[^A-Za-z]"", """"), 3) &amp; RIGHT(D169, 2) &amp; LEFT(REGEXREPLACE(C169, ""[^A-Za-z]"", """"), 3)"),"Mon63Cri")</f>
        <v>Mon63Cri</v>
      </c>
      <c r="B169" s="1" t="s">
        <v>433</v>
      </c>
      <c r="C169" s="1" t="s">
        <v>436</v>
      </c>
      <c r="D169" s="1">
        <v>1963.0</v>
      </c>
      <c r="E169" s="1">
        <v>1963.0</v>
      </c>
      <c r="F169" s="1" t="s">
        <v>165</v>
      </c>
      <c r="G169" s="1" t="s">
        <v>29</v>
      </c>
      <c r="H169" s="1" t="s">
        <v>29</v>
      </c>
      <c r="I169" s="1" t="s">
        <v>17</v>
      </c>
      <c r="J169" s="2" t="s">
        <v>18</v>
      </c>
      <c r="L169" s="1" t="str">
        <f t="array" ref="L169">XLOOKUP(D169,'Other Data Fuckery'!$A$2:$A$101, 'Other Data Fuckery'!$B$2:$B$101)</f>
        <v>1960s</v>
      </c>
    </row>
    <row r="170" ht="14.25" customHeight="1">
      <c r="A170" s="1" t="str">
        <f>IFERROR(__xludf.DUMMYFUNCTION("LEFT(REGEXREPLACE(B170, ""[^A-Za-z]"", """"), 3) &amp; RIGHT(D170, 2) &amp; LEFT(REGEXREPLACE(C170, ""[^A-Za-z]"", """"), 3)"),"Mon73The")</f>
        <v>Mon73The</v>
      </c>
      <c r="B170" s="2" t="s">
        <v>433</v>
      </c>
      <c r="C170" s="2" t="s">
        <v>437</v>
      </c>
      <c r="D170" s="2">
        <v>1973.0</v>
      </c>
      <c r="E170" s="2">
        <v>1973.0</v>
      </c>
      <c r="F170" s="2" t="s">
        <v>438</v>
      </c>
      <c r="G170" s="2" t="s">
        <v>29</v>
      </c>
      <c r="H170" s="2" t="s">
        <v>29</v>
      </c>
      <c r="I170" s="2" t="s">
        <v>96</v>
      </c>
      <c r="J170" s="2" t="s">
        <v>18</v>
      </c>
      <c r="L170" s="1" t="str">
        <f t="array" ref="L170">XLOOKUP(D170,'Other Data Fuckery'!$A$2:$A$101, 'Other Data Fuckery'!$B$2:$B$101)</f>
        <v>1970s</v>
      </c>
    </row>
    <row r="171" ht="14.25" customHeight="1">
      <c r="A171" s="1" t="str">
        <f>IFERROR(__xludf.DUMMYFUNCTION("LEFT(REGEXREPLACE(B171, ""[^A-Za-z]"", """"), 3) &amp; RIGHT(D171, 2) &amp; LEFT(REGEXREPLACE(C171, ""[^A-Za-z]"", """"), 3)"),"Mon65Sol")</f>
        <v>Mon65Sol</v>
      </c>
      <c r="B171" s="2" t="s">
        <v>433</v>
      </c>
      <c r="C171" s="2" t="s">
        <v>439</v>
      </c>
      <c r="D171" s="2">
        <v>1965.0</v>
      </c>
      <c r="E171" s="2">
        <v>2014.0</v>
      </c>
      <c r="F171" s="2" t="s">
        <v>440</v>
      </c>
      <c r="G171" s="2" t="s">
        <v>29</v>
      </c>
      <c r="H171" s="2" t="s">
        <v>29</v>
      </c>
      <c r="I171" s="2" t="s">
        <v>63</v>
      </c>
      <c r="J171" s="2" t="s">
        <v>18</v>
      </c>
      <c r="L171" s="1" t="str">
        <f t="array" ref="L171">XLOOKUP(D171,'Other Data Fuckery'!$A$2:$A$101, 'Other Data Fuckery'!$B$2:$B$101)</f>
        <v>1960s</v>
      </c>
    </row>
    <row r="172" ht="14.25" customHeight="1">
      <c r="A172" s="1" t="str">
        <f>IFERROR(__xludf.DUMMYFUNCTION("LEFT(REGEXREPLACE(B172, ""[^A-Za-z]"", """"), 3) &amp; RIGHT(D172, 2) &amp; LEFT(REGEXREPLACE(C172, ""[^A-Za-z]"", """"), 3)"),"Mon63Mon")</f>
        <v>Mon63Mon</v>
      </c>
      <c r="B172" s="2" t="s">
        <v>433</v>
      </c>
      <c r="C172" s="2" t="s">
        <v>441</v>
      </c>
      <c r="D172" s="2">
        <v>1963.0</v>
      </c>
      <c r="E172" s="2">
        <v>2014.0</v>
      </c>
      <c r="F172" s="2" t="s">
        <v>364</v>
      </c>
      <c r="G172" s="2" t="s">
        <v>29</v>
      </c>
      <c r="H172" s="2" t="s">
        <v>29</v>
      </c>
      <c r="I172" s="2" t="s">
        <v>96</v>
      </c>
      <c r="J172" s="2" t="s">
        <v>18</v>
      </c>
      <c r="L172" s="1" t="str">
        <f t="array" ref="L172">XLOOKUP(D172,'Other Data Fuckery'!$A$2:$A$101, 'Other Data Fuckery'!$B$2:$B$101)</f>
        <v>1960s</v>
      </c>
    </row>
    <row r="173" ht="14.25" customHeight="1">
      <c r="A173" s="1" t="str">
        <f>IFERROR(__xludf.DUMMYFUNCTION("LEFT(REGEXREPLACE(B173, ""[^A-Za-z]"", """"), 3) &amp; RIGHT(D173, 2) &amp; LEFT(REGEXREPLACE(C173, ""[^A-Za-z]"", """"), 3)"),"Mon22The")</f>
        <v>Mon22The</v>
      </c>
      <c r="B173" s="2" t="s">
        <v>433</v>
      </c>
      <c r="C173" s="2" t="s">
        <v>442</v>
      </c>
      <c r="D173" s="2">
        <v>2022.0</v>
      </c>
      <c r="E173" s="2">
        <v>2022.0</v>
      </c>
      <c r="F173" s="2" t="s">
        <v>443</v>
      </c>
      <c r="G173" s="2" t="s">
        <v>29</v>
      </c>
      <c r="H173" s="2" t="s">
        <v>29</v>
      </c>
      <c r="I173" s="2" t="s">
        <v>42</v>
      </c>
      <c r="J173" s="2" t="s">
        <v>18</v>
      </c>
      <c r="L173" s="1" t="str">
        <f t="array" ref="L173">XLOOKUP(D173,'Other Data Fuckery'!$A$2:$A$101, 'Other Data Fuckery'!$B$2:$B$101)</f>
        <v>2020s</v>
      </c>
    </row>
    <row r="174" ht="14.25" customHeight="1">
      <c r="A174" s="1" t="str">
        <f>IFERROR(__xludf.DUMMYFUNCTION("LEFT(REGEXREPLACE(B174, ""[^A-Za-z]"", """"), 3) &amp; RIGHT(D174, 2) &amp; LEFT(REGEXREPLACE(C174, ""[^A-Za-z]"", """"), 3)"),"Mon67Pis")</f>
        <v>Mon67Pis</v>
      </c>
      <c r="B174" s="2" t="s">
        <v>444</v>
      </c>
      <c r="C174" s="1" t="s">
        <v>445</v>
      </c>
      <c r="D174" s="1">
        <v>1967.0</v>
      </c>
      <c r="E174" s="1">
        <v>1967.0</v>
      </c>
      <c r="F174" s="1" t="s">
        <v>153</v>
      </c>
      <c r="G174" s="2" t="s">
        <v>46</v>
      </c>
      <c r="H174" s="2" t="s">
        <v>79</v>
      </c>
      <c r="I174" s="1" t="s">
        <v>106</v>
      </c>
      <c r="J174" s="2" t="s">
        <v>24</v>
      </c>
      <c r="L174" s="1" t="str">
        <f t="array" ref="L174">XLOOKUP(D174,'Other Data Fuckery'!$A$2:$A$101, 'Other Data Fuckery'!$B$2:$B$101)</f>
        <v>1960s</v>
      </c>
    </row>
    <row r="175" ht="14.25" customHeight="1">
      <c r="A175" s="1" t="str">
        <f>IFERROR(__xludf.DUMMYFUNCTION("LEFT(REGEXREPLACE(B175, ""[^A-Za-z]"", """"), 3) &amp; RIGHT(D175, 2) &amp; LEFT(REGEXREPLACE(C175, ""[^A-Za-z]"", """"), 3)"),"Mon67ADa")</f>
        <v>Mon67ADa</v>
      </c>
      <c r="B175" s="1" t="s">
        <v>446</v>
      </c>
      <c r="C175" s="1" t="s">
        <v>447</v>
      </c>
      <c r="D175" s="1">
        <v>1967.0</v>
      </c>
      <c r="E175" s="1">
        <v>1967.0</v>
      </c>
      <c r="F175" s="1" t="s">
        <v>448</v>
      </c>
      <c r="G175" s="1" t="s">
        <v>29</v>
      </c>
      <c r="H175" s="1" t="s">
        <v>29</v>
      </c>
      <c r="I175" s="1" t="s">
        <v>449</v>
      </c>
      <c r="J175" s="2" t="s">
        <v>18</v>
      </c>
      <c r="L175" s="1" t="str">
        <f t="array" ref="L175">XLOOKUP(D175,'Other Data Fuckery'!$A$2:$A$101, 'Other Data Fuckery'!$B$2:$B$101)</f>
        <v>1960s</v>
      </c>
    </row>
    <row r="176" ht="14.25" customHeight="1">
      <c r="A176" s="1" t="str">
        <f>IFERROR(__xludf.DUMMYFUNCTION("LEFT(REGEXREPLACE(B176, ""[^A-Za-z]"", """"), 3) &amp; RIGHT(D176, 2) &amp; LEFT(REGEXREPLACE(C176, ""[^A-Za-z]"", """"), 3)"),"Mon63Bos")</f>
        <v>Mon63Bos</v>
      </c>
      <c r="B176" s="1" t="s">
        <v>446</v>
      </c>
      <c r="C176" s="1" t="s">
        <v>450</v>
      </c>
      <c r="D176" s="1">
        <v>1963.0</v>
      </c>
      <c r="E176" s="1">
        <v>2013.0</v>
      </c>
      <c r="F176" s="1" t="s">
        <v>288</v>
      </c>
      <c r="G176" s="1" t="s">
        <v>29</v>
      </c>
      <c r="H176" s="1" t="s">
        <v>29</v>
      </c>
      <c r="I176" s="1" t="s">
        <v>451</v>
      </c>
      <c r="J176" s="2" t="s">
        <v>18</v>
      </c>
      <c r="L176" s="1" t="str">
        <f t="array" ref="L176">XLOOKUP(D176,'Other Data Fuckery'!$A$2:$A$101, 'Other Data Fuckery'!$B$2:$B$101)</f>
        <v>1960s</v>
      </c>
    </row>
    <row r="177" ht="14.25" customHeight="1">
      <c r="A177" s="1" t="str">
        <f>IFERROR(__xludf.DUMMYFUNCTION("LEFT(REGEXREPLACE(B177, ""[^A-Za-z]"", """"), 3) &amp; RIGHT(D177, 2) &amp; LEFT(REGEXREPLACE(C177, ""[^A-Za-z]"", """"), 3)"),"Mon60Mov")</f>
        <v>Mon60Mov</v>
      </c>
      <c r="B177" s="1" t="s">
        <v>446</v>
      </c>
      <c r="C177" s="1" t="s">
        <v>452</v>
      </c>
      <c r="D177" s="1">
        <v>1960.0</v>
      </c>
      <c r="E177" s="1">
        <v>2018.0</v>
      </c>
      <c r="F177" s="1" t="s">
        <v>288</v>
      </c>
      <c r="G177" s="1" t="s">
        <v>29</v>
      </c>
      <c r="H177" s="1" t="s">
        <v>29</v>
      </c>
      <c r="I177" s="1" t="s">
        <v>154</v>
      </c>
      <c r="J177" s="2" t="s">
        <v>18</v>
      </c>
      <c r="L177" s="1" t="str">
        <f t="array" ref="L177">XLOOKUP(D177,'Other Data Fuckery'!$A$2:$A$101, 'Other Data Fuckery'!$B$2:$B$101)</f>
        <v>1960s</v>
      </c>
    </row>
    <row r="178" ht="14.25" customHeight="1">
      <c r="A178" s="1" t="str">
        <f>IFERROR(__xludf.DUMMYFUNCTION("LEFT(REGEXREPLACE(B178, ""[^A-Za-z]"", """"), 3) &amp; RIGHT(D178, 2) &amp; LEFT(REGEXREPLACE(C178, ""[^A-Za-z]"", """"), 3)"),"Mon79Lif")</f>
        <v>Mon79Lif</v>
      </c>
      <c r="B178" s="1" t="s">
        <v>453</v>
      </c>
      <c r="C178" s="1" t="s">
        <v>454</v>
      </c>
      <c r="D178" s="1">
        <v>1979.0</v>
      </c>
      <c r="E178" s="1">
        <v>2019.0</v>
      </c>
      <c r="F178" s="1" t="s">
        <v>455</v>
      </c>
      <c r="G178" s="1" t="s">
        <v>75</v>
      </c>
      <c r="H178" s="1" t="s">
        <v>75</v>
      </c>
      <c r="I178" s="1" t="s">
        <v>228</v>
      </c>
      <c r="J178" s="2" t="s">
        <v>24</v>
      </c>
      <c r="K178" s="1" t="s">
        <v>456</v>
      </c>
      <c r="L178" s="1" t="str">
        <f t="array" ref="L178">XLOOKUP(D178,'Other Data Fuckery'!$A$2:$A$101, 'Other Data Fuckery'!$B$2:$B$101)</f>
        <v>1970s</v>
      </c>
    </row>
    <row r="179" ht="14.25" customHeight="1">
      <c r="A179" s="1" t="str">
        <f>IFERROR(__xludf.DUMMYFUNCTION("LEFT(REGEXREPLACE(B179, ""[^A-Za-z]"", """"), 3) &amp; RIGHT(D179, 2) &amp; LEFT(REGEXREPLACE(C179, ""[^A-Za-z]"", """"), 3)"),"Mon73Mat")</f>
        <v>Mon73Mat</v>
      </c>
      <c r="B179" s="2" t="s">
        <v>453</v>
      </c>
      <c r="C179" s="2" t="s">
        <v>457</v>
      </c>
      <c r="D179" s="2">
        <v>1973.0</v>
      </c>
      <c r="E179" s="2">
        <v>1975.0</v>
      </c>
      <c r="F179" s="2" t="s">
        <v>458</v>
      </c>
      <c r="G179" s="2" t="s">
        <v>186</v>
      </c>
      <c r="H179" s="2" t="s">
        <v>186</v>
      </c>
      <c r="I179" s="2" t="s">
        <v>96</v>
      </c>
      <c r="J179" s="2" t="s">
        <v>24</v>
      </c>
      <c r="K179" s="2" t="s">
        <v>459</v>
      </c>
      <c r="L179" s="1" t="str">
        <f t="array" ref="L179">XLOOKUP(D179,'Other Data Fuckery'!$A$2:$A$101, 'Other Data Fuckery'!$B$2:$B$101)</f>
        <v>1970s</v>
      </c>
    </row>
    <row r="180" ht="14.25" customHeight="1">
      <c r="A180" s="1" t="str">
        <f>IFERROR(__xludf.DUMMYFUNCTION("LEFT(REGEXREPLACE(B180, ""[^A-Za-z]"", """"), 3) &amp; RIGHT(D180, 2) &amp; LEFT(REGEXREPLACE(C180, ""[^A-Za-z]"", """"), 3)"),"Mon80Con")</f>
        <v>Mon80Con</v>
      </c>
      <c r="B180" s="1" t="s">
        <v>453</v>
      </c>
      <c r="C180" s="1" t="s">
        <v>460</v>
      </c>
      <c r="D180" s="1">
        <v>1980.0</v>
      </c>
      <c r="E180" s="1">
        <v>1980.0</v>
      </c>
      <c r="F180" s="1" t="s">
        <v>458</v>
      </c>
      <c r="G180" s="1" t="s">
        <v>186</v>
      </c>
      <c r="H180" s="1" t="s">
        <v>186</v>
      </c>
      <c r="I180" s="1" t="s">
        <v>96</v>
      </c>
      <c r="J180" s="2" t="s">
        <v>24</v>
      </c>
      <c r="L180" s="1" t="str">
        <f t="array" ref="L180">XLOOKUP(D180,'Other Data Fuckery'!$A$2:$A$101, 'Other Data Fuckery'!$B$2:$B$101)</f>
        <v>1980s</v>
      </c>
    </row>
    <row r="181" ht="14.25" customHeight="1">
      <c r="A181" s="1" t="str">
        <f>IFERROR(__xludf.DUMMYFUNCTION("LEFT(REGEXREPLACE(B181, ""[^A-Za-z]"", """"), 3) &amp; RIGHT(D181, 2) &amp; LEFT(REGEXREPLACE(C181, ""[^A-Za-z]"", """"), 3)"),"Mor64The")</f>
        <v>Mor64The</v>
      </c>
      <c r="B181" s="1" t="s">
        <v>461</v>
      </c>
      <c r="C181" s="1" t="s">
        <v>462</v>
      </c>
      <c r="D181" s="1">
        <v>1964.0</v>
      </c>
      <c r="E181" s="1">
        <v>2020.0</v>
      </c>
      <c r="F181" s="1" t="s">
        <v>28</v>
      </c>
      <c r="G181" s="1" t="s">
        <v>29</v>
      </c>
      <c r="H181" s="1" t="s">
        <v>29</v>
      </c>
      <c r="I181" s="1" t="s">
        <v>265</v>
      </c>
      <c r="J181" s="2" t="s">
        <v>18</v>
      </c>
      <c r="L181" s="1" t="str">
        <f t="array" ref="L181">XLOOKUP(D181,'Other Data Fuckery'!$A$2:$A$101, 'Other Data Fuckery'!$B$2:$B$101)</f>
        <v>1960s</v>
      </c>
    </row>
    <row r="182" ht="14.25" customHeight="1">
      <c r="A182" s="1" t="str">
        <f>IFERROR(__xludf.DUMMYFUNCTION("LEFT(REGEXREPLACE(B182, ""[^A-Za-z]"", """"), 3) &amp; RIGHT(D182, 2) &amp; LEFT(REGEXREPLACE(C182, ""[^A-Za-z]"", """"), 3)"),"Mor60Lee")</f>
        <v>Mor60Lee</v>
      </c>
      <c r="B182" s="1" t="s">
        <v>461</v>
      </c>
      <c r="C182" s="1" t="s">
        <v>463</v>
      </c>
      <c r="D182" s="1">
        <v>1960.0</v>
      </c>
      <c r="E182" s="1">
        <v>2020.0</v>
      </c>
      <c r="F182" s="1" t="s">
        <v>28</v>
      </c>
      <c r="G182" s="1" t="s">
        <v>29</v>
      </c>
      <c r="H182" s="1" t="s">
        <v>29</v>
      </c>
      <c r="I182" s="1" t="s">
        <v>250</v>
      </c>
      <c r="J182" s="2" t="s">
        <v>18</v>
      </c>
      <c r="L182" s="1" t="str">
        <f t="array" ref="L182">XLOOKUP(D182,'Other Data Fuckery'!$A$2:$A$101, 'Other Data Fuckery'!$B$2:$B$101)</f>
        <v>1960s</v>
      </c>
    </row>
    <row r="183" ht="14.25" customHeight="1">
      <c r="A183" s="1" t="str">
        <f>IFERROR(__xludf.DUMMYFUNCTION("LEFT(REGEXREPLACE(B183, ""[^A-Za-z]"", """"), 3) &amp; RIGHT(D183, 2) &amp; LEFT(REGEXREPLACE(C183, ""[^A-Za-z]"", """"), 3)"),"Mor81Inf")</f>
        <v>Mor81Inf</v>
      </c>
      <c r="B183" s="2" t="s">
        <v>461</v>
      </c>
      <c r="C183" s="2" t="s">
        <v>464</v>
      </c>
      <c r="D183" s="2">
        <v>1981.0</v>
      </c>
      <c r="E183" s="2">
        <v>2023.0</v>
      </c>
      <c r="F183" s="2" t="s">
        <v>28</v>
      </c>
      <c r="G183" s="2" t="s">
        <v>29</v>
      </c>
      <c r="H183" s="2" t="s">
        <v>29</v>
      </c>
      <c r="I183" s="2" t="s">
        <v>42</v>
      </c>
      <c r="J183" s="2" t="s">
        <v>18</v>
      </c>
      <c r="L183" s="1" t="str">
        <f t="array" ref="L183">XLOOKUP(D183,'Other Data Fuckery'!$A$2:$A$101, 'Other Data Fuckery'!$B$2:$B$101)</f>
        <v>1980s</v>
      </c>
    </row>
    <row r="184" ht="14.25" customHeight="1">
      <c r="A184" s="1" t="str">
        <f>IFERROR(__xludf.DUMMYFUNCTION("LEFT(REGEXREPLACE(B184, ""[^A-Za-z]"", """"), 3) &amp; RIGHT(D184, 2) &amp; LEFT(REGEXREPLACE(C184, ""[^A-Za-z]"", """"), 3)"),"Mor66Sea")</f>
        <v>Mor66Sea</v>
      </c>
      <c r="B184" s="2" t="s">
        <v>461</v>
      </c>
      <c r="C184" s="2" t="s">
        <v>465</v>
      </c>
      <c r="D184" s="2">
        <v>1966.0</v>
      </c>
      <c r="E184" s="2">
        <v>2024.0</v>
      </c>
      <c r="F184" s="2" t="s">
        <v>28</v>
      </c>
      <c r="G184" s="2" t="s">
        <v>29</v>
      </c>
      <c r="H184" s="2" t="s">
        <v>29</v>
      </c>
      <c r="I184" s="2" t="s">
        <v>53</v>
      </c>
      <c r="J184" s="2" t="s">
        <v>18</v>
      </c>
      <c r="L184" s="1" t="str">
        <f t="array" ref="L184">XLOOKUP(D184,'Other Data Fuckery'!$A$2:$A$101, 'Other Data Fuckery'!$B$2:$B$101)</f>
        <v>1960s</v>
      </c>
    </row>
    <row r="185" ht="14.25" customHeight="1">
      <c r="A185" s="1" t="str">
        <f>IFERROR(__xludf.DUMMYFUNCTION("LEFT(REGEXREPLACE(B185, ""[^A-Za-z]"", """"), 3) &amp; RIGHT(D185, 2) &amp; LEFT(REGEXREPLACE(C185, ""[^A-Za-z]"", """"), 3)"),"Mot05Com")</f>
        <v>Mot05Com</v>
      </c>
      <c r="B185" s="2" t="s">
        <v>466</v>
      </c>
      <c r="C185" s="2" t="s">
        <v>467</v>
      </c>
      <c r="D185" s="2">
        <v>2005.0</v>
      </c>
      <c r="E185" s="2">
        <v>2005.0</v>
      </c>
      <c r="F185" s="2" t="s">
        <v>468</v>
      </c>
      <c r="G185" s="2" t="s">
        <v>233</v>
      </c>
      <c r="H185" s="2" t="s">
        <v>16</v>
      </c>
      <c r="I185" s="2" t="s">
        <v>17</v>
      </c>
      <c r="J185" s="2" t="s">
        <v>18</v>
      </c>
      <c r="L185" s="1" t="str">
        <f t="array" ref="L185">XLOOKUP(D185,'Other Data Fuckery'!$A$2:$A$101, 'Other Data Fuckery'!$B$2:$B$101)</f>
        <v>2000s</v>
      </c>
    </row>
    <row r="186" ht="14.25" customHeight="1">
      <c r="A186" s="1" t="str">
        <f>IFERROR(__xludf.DUMMYFUNCTION("LEFT(REGEXREPLACE(B186, ""[^A-Za-z]"", """"), 3) &amp; RIGHT(D186, 2) &amp; LEFT(REGEXREPLACE(C186, ""[^A-Za-z]"", """"), 3)"),"Mus21Sta")</f>
        <v>Mus21Sta</v>
      </c>
      <c r="B186" s="1" t="s">
        <v>469</v>
      </c>
      <c r="C186" s="1" t="s">
        <v>470</v>
      </c>
      <c r="D186" s="1">
        <v>2021.0</v>
      </c>
      <c r="E186" s="1">
        <v>2021.0</v>
      </c>
      <c r="F186" s="1" t="s">
        <v>471</v>
      </c>
      <c r="G186" s="2" t="s">
        <v>197</v>
      </c>
      <c r="H186" s="2" t="s">
        <v>472</v>
      </c>
      <c r="I186" s="1" t="s">
        <v>53</v>
      </c>
      <c r="J186" s="2" t="s">
        <v>24</v>
      </c>
      <c r="L186" s="1" t="str">
        <f t="array" ref="L186">XLOOKUP(D186,'Other Data Fuckery'!$A$2:$A$101, 'Other Data Fuckery'!$B$2:$B$101)</f>
        <v>2020s</v>
      </c>
    </row>
    <row r="187" ht="14.25" customHeight="1">
      <c r="A187" s="1" t="str">
        <f>IFERROR(__xludf.DUMMYFUNCTION("LEFT(REGEXREPLACE(B187, ""[^A-Za-z]"", """"), 3) &amp; RIGHT(D187, 2) &amp; LEFT(REGEXREPLACE(C187, ""[^A-Za-z]"", """"), 3)"),"MyC04Thr")</f>
        <v>MyC04Thr</v>
      </c>
      <c r="B187" s="2" t="s">
        <v>473</v>
      </c>
      <c r="C187" s="2" t="s">
        <v>474</v>
      </c>
      <c r="D187" s="2">
        <v>2004.0</v>
      </c>
      <c r="E187" s="2">
        <v>2014.0</v>
      </c>
      <c r="F187" s="2" t="s">
        <v>335</v>
      </c>
      <c r="G187" s="2" t="s">
        <v>15</v>
      </c>
      <c r="H187" s="2" t="s">
        <v>16</v>
      </c>
      <c r="I187" s="2" t="s">
        <v>17</v>
      </c>
      <c r="J187" s="2" t="s">
        <v>18</v>
      </c>
      <c r="L187" s="1" t="str">
        <f t="array" ref="L187">XLOOKUP(D187,'Other Data Fuckery'!$A$2:$A$101, 'Other Data Fuckery'!$B$2:$B$101)</f>
        <v>2000s</v>
      </c>
    </row>
    <row r="188" ht="14.25" customHeight="1">
      <c r="A188" s="1" t="str">
        <f>IFERROR(__xludf.DUMMYFUNCTION("LEFT(REGEXREPLACE(B188, ""[^A-Za-z]"", """"), 3) &amp; RIGHT(D188, 2) &amp; LEFT(REGEXREPLACE(C188, ""[^A-Za-z]"", """"), 3)"),"NSY98NSY")</f>
        <v>NSY98NSY</v>
      </c>
      <c r="B188" s="2" t="s">
        <v>475</v>
      </c>
      <c r="C188" s="2" t="s">
        <v>475</v>
      </c>
      <c r="D188" s="2">
        <v>1998.0</v>
      </c>
      <c r="E188" s="2">
        <v>2023.0</v>
      </c>
      <c r="F188" s="2" t="s">
        <v>476</v>
      </c>
      <c r="G188" s="2" t="s">
        <v>46</v>
      </c>
      <c r="H188" s="2" t="s">
        <v>71</v>
      </c>
      <c r="I188" s="2" t="s">
        <v>63</v>
      </c>
      <c r="J188" s="2" t="s">
        <v>24</v>
      </c>
      <c r="L188" s="1" t="str">
        <f t="array" ref="L188">XLOOKUP(D188,'Other Data Fuckery'!$A$2:$A$101, 'Other Data Fuckery'!$B$2:$B$101)</f>
        <v>1990s</v>
      </c>
    </row>
    <row r="189" ht="14.25" customHeight="1">
      <c r="A189" s="1" t="str">
        <f>IFERROR(__xludf.DUMMYFUNCTION("LEFT(REGEXREPLACE(B189, ""[^A-Za-z]"", """"), 3) &amp; RIGHT(D189, 2) &amp; LEFT(REGEXREPLACE(C189, ""[^A-Za-z]"", """"), 3)"),"NSY98Hom")</f>
        <v>NSY98Hom</v>
      </c>
      <c r="B189" s="2" t="s">
        <v>475</v>
      </c>
      <c r="C189" s="2" t="s">
        <v>477</v>
      </c>
      <c r="D189" s="2">
        <v>1998.0</v>
      </c>
      <c r="E189" s="2">
        <v>2023.0</v>
      </c>
      <c r="F189" s="2" t="s">
        <v>476</v>
      </c>
      <c r="G189" s="2" t="s">
        <v>70</v>
      </c>
      <c r="H189" s="2" t="s">
        <v>71</v>
      </c>
      <c r="I189" s="2" t="s">
        <v>96</v>
      </c>
      <c r="J189" s="2" t="s">
        <v>24</v>
      </c>
      <c r="L189" s="1" t="str">
        <f t="array" ref="L189">XLOOKUP(D189,'Other Data Fuckery'!$A$2:$A$101, 'Other Data Fuckery'!$B$2:$B$101)</f>
        <v>1990s</v>
      </c>
    </row>
    <row r="190" ht="14.25" customHeight="1">
      <c r="A190" s="1" t="str">
        <f>IFERROR(__xludf.DUMMYFUNCTION("LEFT(REGEXREPLACE(B190, ""[^A-Za-z]"", """"), 3) &amp; RIGHT(D190, 2) &amp; LEFT(REGEXREPLACE(C190, ""[^A-Za-z]"", """"), 3)"),"Pai18Sta")</f>
        <v>Pai18Sta</v>
      </c>
      <c r="B190" s="1" t="s">
        <v>478</v>
      </c>
      <c r="C190" s="1" t="s">
        <v>479</v>
      </c>
      <c r="D190" s="1">
        <v>2018.0</v>
      </c>
      <c r="E190" s="1">
        <v>2018.0</v>
      </c>
      <c r="F190" s="1" t="s">
        <v>480</v>
      </c>
      <c r="G190" s="2" t="s">
        <v>170</v>
      </c>
      <c r="H190" s="2" t="s">
        <v>428</v>
      </c>
      <c r="I190" s="1" t="s">
        <v>17</v>
      </c>
      <c r="J190" s="2" t="s">
        <v>18</v>
      </c>
      <c r="L190" s="1" t="str">
        <f t="array" ref="L190">XLOOKUP(D190,'Other Data Fuckery'!$A$2:$A$101, 'Other Data Fuckery'!$B$2:$B$101)</f>
        <v>2010s</v>
      </c>
    </row>
    <row r="191" ht="14.25" customHeight="1">
      <c r="A191" s="1" t="str">
        <f>IFERROR(__xludf.DUMMYFUNCTION("LEFT(REGEXREPLACE(B191, ""[^A-Za-z]"", """"), 3) &amp; RIGHT(D191, 2) &amp; LEFT(REGEXREPLACE(C191, ""[^A-Za-z]"", """"), 3)"),"Par05All")</f>
        <v>Par05All</v>
      </c>
      <c r="B191" s="2" t="s">
        <v>481</v>
      </c>
      <c r="C191" s="2" t="s">
        <v>482</v>
      </c>
      <c r="D191" s="2">
        <v>2005.0</v>
      </c>
      <c r="E191" s="2">
        <v>2022.0</v>
      </c>
      <c r="F191" s="2" t="s">
        <v>14</v>
      </c>
      <c r="G191" s="2" t="s">
        <v>15</v>
      </c>
      <c r="H191" s="2" t="s">
        <v>194</v>
      </c>
      <c r="I191" s="2" t="s">
        <v>17</v>
      </c>
      <c r="J191" s="2" t="s">
        <v>18</v>
      </c>
      <c r="L191" s="1" t="str">
        <f t="array" ref="L191">XLOOKUP(D191,'Other Data Fuckery'!$A$2:$A$101, 'Other Data Fuckery'!$B$2:$B$101)</f>
        <v>2000s</v>
      </c>
    </row>
    <row r="192" ht="14.25" customHeight="1">
      <c r="A192" s="1" t="str">
        <f>IFERROR(__xludf.DUMMYFUNCTION("LEFT(REGEXREPLACE(B192, ""[^A-Za-z]"", """"), 3) &amp; RIGHT(D192, 2) &amp; LEFT(REGEXREPLACE(C192, ""[^A-Za-z]"", """"), 3)"),"Par23Roc")</f>
        <v>Par23Roc</v>
      </c>
      <c r="B192" s="2" t="s">
        <v>483</v>
      </c>
      <c r="C192" s="2" t="s">
        <v>484</v>
      </c>
      <c r="D192" s="2">
        <v>2023.0</v>
      </c>
      <c r="E192" s="2">
        <v>2023.0</v>
      </c>
      <c r="F192" s="2" t="s">
        <v>485</v>
      </c>
      <c r="G192" s="2" t="s">
        <v>15</v>
      </c>
      <c r="H192" s="2" t="s">
        <v>150</v>
      </c>
      <c r="I192" s="2" t="s">
        <v>172</v>
      </c>
      <c r="J192" s="2" t="s">
        <v>24</v>
      </c>
      <c r="K192" s="2" t="s">
        <v>486</v>
      </c>
      <c r="L192" s="1" t="str">
        <f t="array" ref="L192">XLOOKUP(D192,'Other Data Fuckery'!$A$2:$A$101, 'Other Data Fuckery'!$B$2:$B$101)</f>
        <v>2020s</v>
      </c>
    </row>
    <row r="193" ht="14.25" customHeight="1">
      <c r="A193" s="1" t="str">
        <f>IFERROR(__xludf.DUMMYFUNCTION("LEFT(REGEXREPLACE(B193, ""[^A-Za-z]"", """"), 3) &amp; RIGHT(D193, 2) &amp; LEFT(REGEXREPLACE(C193, ""[^A-Za-z]"", """"), 3)"),"Par75Bes")</f>
        <v>Par75Bes</v>
      </c>
      <c r="B193" s="1" t="s">
        <v>483</v>
      </c>
      <c r="C193" s="1" t="s">
        <v>487</v>
      </c>
      <c r="D193" s="1">
        <v>1975.0</v>
      </c>
      <c r="E193" s="1">
        <v>1975.0</v>
      </c>
      <c r="F193" s="1" t="s">
        <v>153</v>
      </c>
      <c r="G193" s="2" t="s">
        <v>197</v>
      </c>
      <c r="H193" s="2" t="s">
        <v>472</v>
      </c>
      <c r="I193" s="1" t="s">
        <v>180</v>
      </c>
      <c r="J193" s="2" t="s">
        <v>24</v>
      </c>
      <c r="L193" s="1" t="str">
        <f t="array" ref="L193">XLOOKUP(D193,'Other Data Fuckery'!$A$2:$A$101, 'Other Data Fuckery'!$B$2:$B$101)</f>
        <v>1970s</v>
      </c>
    </row>
    <row r="194" ht="14.25" customHeight="1">
      <c r="A194" s="1" t="str">
        <f>IFERROR(__xludf.DUMMYFUNCTION("LEFT(REGEXREPLACE(B194, ""[^A-Za-z]"", """"), 3) &amp; RIGHT(D194, 2) &amp; LEFT(REGEXREPLACE(C194, ""[^A-Za-z]"", """"), 3)"),"Par84Onc")</f>
        <v>Par84Onc</v>
      </c>
      <c r="B194" s="1" t="s">
        <v>488</v>
      </c>
      <c r="C194" s="1" t="s">
        <v>489</v>
      </c>
      <c r="D194" s="1">
        <v>1984.0</v>
      </c>
      <c r="E194" s="1">
        <v>1984.0</v>
      </c>
      <c r="F194" s="1" t="s">
        <v>153</v>
      </c>
      <c r="G194" s="2" t="s">
        <v>70</v>
      </c>
      <c r="H194" s="2" t="s">
        <v>490</v>
      </c>
      <c r="I194" s="1" t="s">
        <v>96</v>
      </c>
      <c r="J194" s="2" t="s">
        <v>24</v>
      </c>
      <c r="L194" s="1" t="str">
        <f t="array" ref="L194">XLOOKUP(D194,'Other Data Fuckery'!$A$2:$A$101, 'Other Data Fuckery'!$B$2:$B$101)</f>
        <v>1980s</v>
      </c>
    </row>
    <row r="195" ht="14.25" customHeight="1">
      <c r="A195" s="1" t="str">
        <f>IFERROR(__xludf.DUMMYFUNCTION("LEFT(REGEXREPLACE(B195, ""[^A-Za-z]"", """"), 3) &amp; RIGHT(D195, 2) &amp; LEFT(REGEXREPLACE(C195, ""[^A-Za-z]"", """"), 3)"),"Pat17HiF")</f>
        <v>Pat17HiF</v>
      </c>
      <c r="B195" s="1" t="s">
        <v>491</v>
      </c>
      <c r="C195" s="1" t="s">
        <v>492</v>
      </c>
      <c r="D195" s="1">
        <v>2017.0</v>
      </c>
      <c r="E195" s="1">
        <v>2018.0</v>
      </c>
      <c r="F195" s="1" t="s">
        <v>493</v>
      </c>
      <c r="G195" s="2" t="s">
        <v>15</v>
      </c>
      <c r="H195" s="2" t="s">
        <v>494</v>
      </c>
      <c r="I195" s="2" t="s">
        <v>23</v>
      </c>
      <c r="J195" s="2" t="s">
        <v>18</v>
      </c>
      <c r="L195" s="1" t="str">
        <f t="array" ref="L195">XLOOKUP(D195,'Other Data Fuckery'!$A$2:$A$101, 'Other Data Fuckery'!$B$2:$B$101)</f>
        <v>2010s</v>
      </c>
    </row>
    <row r="196" ht="14.25" customHeight="1">
      <c r="A196" s="1" t="str">
        <f>IFERROR(__xludf.DUMMYFUNCTION("LEFT(REGEXREPLACE(B196, ""[^A-Za-z]"", """"), 3) &amp; RIGHT(D196, 2) &amp; LEFT(REGEXREPLACE(C196, ""[^A-Za-z]"", """"), 3)"),"Pos03Giv")</f>
        <v>Pos03Giv</v>
      </c>
      <c r="B196" s="2" t="s">
        <v>495</v>
      </c>
      <c r="C196" s="1" t="s">
        <v>496</v>
      </c>
      <c r="D196" s="1">
        <v>2003.0</v>
      </c>
      <c r="E196" s="1">
        <v>2013.0</v>
      </c>
      <c r="F196" s="1" t="s">
        <v>296</v>
      </c>
      <c r="G196" s="2" t="s">
        <v>15</v>
      </c>
      <c r="H196" s="2" t="s">
        <v>16</v>
      </c>
      <c r="I196" s="1" t="s">
        <v>42</v>
      </c>
      <c r="J196" s="2" t="s">
        <v>18</v>
      </c>
      <c r="L196" s="1" t="str">
        <f t="array" ref="L196">XLOOKUP(D196,'Other Data Fuckery'!$A$2:$A$101, 'Other Data Fuckery'!$B$2:$B$101)</f>
        <v>2000s</v>
      </c>
    </row>
    <row r="197" ht="14.25" customHeight="1">
      <c r="A197" s="1" t="str">
        <f>IFERROR(__xludf.DUMMYFUNCTION("LEFT(REGEXREPLACE(B197, ""[^A-Za-z]"", """"), 3) &amp; RIGHT(D197, 2) &amp; LEFT(REGEXREPLACE(C197, ""[^A-Za-z]"", """"), 3)"),"Que73I")</f>
        <v>Que73I</v>
      </c>
      <c r="B197" s="1" t="s">
        <v>497</v>
      </c>
      <c r="C197" s="1" t="s">
        <v>401</v>
      </c>
      <c r="D197" s="1">
        <v>1973.0</v>
      </c>
      <c r="E197" s="1">
        <v>1973.0</v>
      </c>
      <c r="F197" s="1" t="s">
        <v>319</v>
      </c>
      <c r="G197" s="1" t="s">
        <v>15</v>
      </c>
      <c r="H197" s="2" t="s">
        <v>150</v>
      </c>
      <c r="I197" s="1" t="s">
        <v>106</v>
      </c>
      <c r="J197" s="2" t="s">
        <v>18</v>
      </c>
      <c r="L197" s="1" t="str">
        <f t="array" ref="L197">XLOOKUP(D197,'Other Data Fuckery'!$A$2:$A$101, 'Other Data Fuckery'!$B$2:$B$101)</f>
        <v>1970s</v>
      </c>
    </row>
    <row r="198" ht="14.25" customHeight="1">
      <c r="A198" s="1" t="str">
        <f>IFERROR(__xludf.DUMMYFUNCTION("LEFT(REGEXREPLACE(B198, ""[^A-Za-z]"", """"), 3) &amp; RIGHT(D198, 2) &amp; LEFT(REGEXREPLACE(C198, ""[^A-Za-z]"", """"), 3)"),"Que74II")</f>
        <v>Que74II</v>
      </c>
      <c r="B198" s="1" t="s">
        <v>497</v>
      </c>
      <c r="C198" s="1" t="s">
        <v>498</v>
      </c>
      <c r="D198" s="1">
        <v>1974.0</v>
      </c>
      <c r="E198" s="1">
        <v>1974.0</v>
      </c>
      <c r="F198" s="1" t="s">
        <v>319</v>
      </c>
      <c r="G198" s="1" t="s">
        <v>15</v>
      </c>
      <c r="H198" s="2" t="s">
        <v>150</v>
      </c>
      <c r="I198" s="1" t="s">
        <v>106</v>
      </c>
      <c r="J198" s="2" t="s">
        <v>18</v>
      </c>
      <c r="L198" s="1" t="str">
        <f t="array" ref="L198">XLOOKUP(D198,'Other Data Fuckery'!$A$2:$A$101, 'Other Data Fuckery'!$B$2:$B$101)</f>
        <v>1970s</v>
      </c>
    </row>
    <row r="199" ht="14.25" customHeight="1">
      <c r="A199" s="1" t="str">
        <f>IFERROR(__xludf.DUMMYFUNCTION("LEFT(REGEXREPLACE(B199, ""[^A-Za-z]"", """"), 3) &amp; RIGHT(D199, 2) &amp; LEFT(REGEXREPLACE(C199, ""[^A-Za-z]"", """"), 3)"),"Que74She")</f>
        <v>Que74She</v>
      </c>
      <c r="B199" s="1" t="s">
        <v>497</v>
      </c>
      <c r="C199" s="1" t="s">
        <v>499</v>
      </c>
      <c r="D199" s="1">
        <v>1974.0</v>
      </c>
      <c r="E199" s="1">
        <v>1974.0</v>
      </c>
      <c r="F199" s="1" t="s">
        <v>319</v>
      </c>
      <c r="G199" s="1" t="s">
        <v>15</v>
      </c>
      <c r="H199" s="2" t="s">
        <v>150</v>
      </c>
      <c r="I199" s="1" t="s">
        <v>106</v>
      </c>
      <c r="J199" s="2" t="s">
        <v>18</v>
      </c>
      <c r="L199" s="1" t="str">
        <f t="array" ref="L199">XLOOKUP(D199,'Other Data Fuckery'!$A$2:$A$101, 'Other Data Fuckery'!$B$2:$B$101)</f>
        <v>1970s</v>
      </c>
    </row>
    <row r="200" ht="14.25" customHeight="1">
      <c r="A200" s="1" t="str">
        <f>IFERROR(__xludf.DUMMYFUNCTION("LEFT(REGEXREPLACE(B200, ""[^A-Za-z]"", """"), 3) &amp; RIGHT(D200, 2) &amp; LEFT(REGEXREPLACE(C200, ""[^A-Za-z]"", """"), 3)"),"Que75ANi")</f>
        <v>Que75ANi</v>
      </c>
      <c r="B200" s="1" t="s">
        <v>497</v>
      </c>
      <c r="C200" s="1" t="s">
        <v>500</v>
      </c>
      <c r="D200" s="1">
        <v>1975.0</v>
      </c>
      <c r="E200" s="1">
        <v>1975.0</v>
      </c>
      <c r="F200" s="1" t="s">
        <v>319</v>
      </c>
      <c r="G200" s="1" t="s">
        <v>15</v>
      </c>
      <c r="H200" s="2" t="s">
        <v>150</v>
      </c>
      <c r="I200" s="1" t="s">
        <v>449</v>
      </c>
      <c r="J200" s="2" t="s">
        <v>18</v>
      </c>
      <c r="L200" s="1" t="str">
        <f t="array" ref="L200">XLOOKUP(D200,'Other Data Fuckery'!$A$2:$A$101, 'Other Data Fuckery'!$B$2:$B$101)</f>
        <v>1970s</v>
      </c>
    </row>
    <row r="201" ht="14.25" customHeight="1">
      <c r="A201" s="1" t="str">
        <f>IFERROR(__xludf.DUMMYFUNCTION("LEFT(REGEXREPLACE(B201, ""[^A-Za-z]"", """"), 3) &amp; RIGHT(D201, 2) &amp; LEFT(REGEXREPLACE(C201, ""[^A-Za-z]"", """"), 3)"),"Que76ADa")</f>
        <v>Que76ADa</v>
      </c>
      <c r="B201" s="1" t="s">
        <v>497</v>
      </c>
      <c r="C201" s="1" t="s">
        <v>501</v>
      </c>
      <c r="D201" s="1">
        <v>1976.0</v>
      </c>
      <c r="E201" s="1">
        <v>1976.0</v>
      </c>
      <c r="F201" s="1" t="s">
        <v>319</v>
      </c>
      <c r="G201" s="1" t="s">
        <v>15</v>
      </c>
      <c r="H201" s="2" t="s">
        <v>150</v>
      </c>
      <c r="I201" s="2" t="s">
        <v>208</v>
      </c>
      <c r="J201" s="2" t="s">
        <v>18</v>
      </c>
      <c r="L201" s="1" t="str">
        <f t="array" ref="L201">XLOOKUP(D201,'Other Data Fuckery'!$A$2:$A$101, 'Other Data Fuckery'!$B$2:$B$101)</f>
        <v>1970s</v>
      </c>
    </row>
    <row r="202" ht="14.25" customHeight="1">
      <c r="A202" s="1" t="str">
        <f>IFERROR(__xludf.DUMMYFUNCTION("LEFT(REGEXREPLACE(B202, ""[^A-Za-z]"", """"), 3) &amp; RIGHT(D202, 2) &amp; LEFT(REGEXREPLACE(C202, ""[^A-Za-z]"", """"), 3)"),"Que80The")</f>
        <v>Que80The</v>
      </c>
      <c r="B202" s="1" t="s">
        <v>497</v>
      </c>
      <c r="C202" s="1" t="s">
        <v>502</v>
      </c>
      <c r="D202" s="1">
        <v>1980.0</v>
      </c>
      <c r="E202" s="1">
        <v>1980.0</v>
      </c>
      <c r="F202" s="1" t="s">
        <v>319</v>
      </c>
      <c r="G202" s="1" t="s">
        <v>15</v>
      </c>
      <c r="H202" s="2" t="s">
        <v>150</v>
      </c>
      <c r="I202" s="1" t="s">
        <v>106</v>
      </c>
      <c r="J202" s="2" t="s">
        <v>18</v>
      </c>
      <c r="L202" s="1" t="str">
        <f t="array" ref="L202">XLOOKUP(D202,'Other Data Fuckery'!$A$2:$A$101, 'Other Data Fuckery'!$B$2:$B$101)</f>
        <v>1980s</v>
      </c>
    </row>
    <row r="203" ht="14.25" customHeight="1">
      <c r="A203" s="1" t="str">
        <f>IFERROR(__xludf.DUMMYFUNCTION("LEFT(REGEXREPLACE(B203, ""[^A-Za-z]"", """"), 3) &amp; RIGHT(D203, 2) &amp; LEFT(REGEXREPLACE(C203, ""[^A-Za-z]"", """"), 3)"),"Que78Jaz")</f>
        <v>Que78Jaz</v>
      </c>
      <c r="B203" s="1" t="s">
        <v>497</v>
      </c>
      <c r="C203" s="1" t="s">
        <v>29</v>
      </c>
      <c r="D203" s="1">
        <v>1978.0</v>
      </c>
      <c r="E203" s="1">
        <v>2015.0</v>
      </c>
      <c r="F203" s="1" t="s">
        <v>503</v>
      </c>
      <c r="G203" s="1" t="s">
        <v>15</v>
      </c>
      <c r="H203" s="2" t="s">
        <v>150</v>
      </c>
      <c r="I203" s="1" t="s">
        <v>53</v>
      </c>
      <c r="J203" s="2" t="s">
        <v>18</v>
      </c>
      <c r="L203" s="1" t="str">
        <f t="array" ref="L203">XLOOKUP(D203,'Other Data Fuckery'!$A$2:$A$101, 'Other Data Fuckery'!$B$2:$B$101)</f>
        <v>1970s</v>
      </c>
    </row>
    <row r="204" ht="14.25" customHeight="1">
      <c r="A204" s="1" t="str">
        <f>IFERROR(__xludf.DUMMYFUNCTION("LEFT(REGEXREPLACE(B204, ""[^A-Za-z]"", """"), 3) &amp; RIGHT(D204, 2) &amp; LEFT(REGEXREPLACE(C204, ""[^A-Za-z]"", """"), 3)"),"Que86AKi")</f>
        <v>Que86AKi</v>
      </c>
      <c r="B204" s="1" t="s">
        <v>497</v>
      </c>
      <c r="C204" s="1" t="s">
        <v>504</v>
      </c>
      <c r="D204" s="1">
        <v>1986.0</v>
      </c>
      <c r="E204" s="1">
        <v>2015.0</v>
      </c>
      <c r="F204" s="1" t="s">
        <v>503</v>
      </c>
      <c r="G204" s="1" t="s">
        <v>15</v>
      </c>
      <c r="H204" s="2" t="s">
        <v>150</v>
      </c>
      <c r="I204" s="1" t="s">
        <v>53</v>
      </c>
      <c r="J204" s="2" t="s">
        <v>18</v>
      </c>
      <c r="L204" s="1" t="str">
        <f t="array" ref="L204">XLOOKUP(D204,'Other Data Fuckery'!$A$2:$A$101, 'Other Data Fuckery'!$B$2:$B$101)</f>
        <v>1980s</v>
      </c>
    </row>
    <row r="205" ht="14.25" customHeight="1">
      <c r="A205" s="1" t="str">
        <f>IFERROR(__xludf.DUMMYFUNCTION("LEFT(REGEXREPLACE(B205, ""[^A-Za-z]"", """"), 3) &amp; RIGHT(D205, 2) &amp; LEFT(REGEXREPLACE(C205, ""[^A-Za-z]"", """"), 3)"),"Red24Mom")</f>
        <v>Red24Mom</v>
      </c>
      <c r="B205" s="2" t="s">
        <v>505</v>
      </c>
      <c r="C205" s="2" t="s">
        <v>506</v>
      </c>
      <c r="D205" s="2">
        <v>2024.0</v>
      </c>
      <c r="E205" s="2">
        <v>2024.0</v>
      </c>
      <c r="F205" s="2" t="s">
        <v>507</v>
      </c>
      <c r="G205" s="2" t="s">
        <v>197</v>
      </c>
      <c r="I205" s="2" t="s">
        <v>57</v>
      </c>
      <c r="J205" s="2" t="s">
        <v>24</v>
      </c>
      <c r="K205" s="2" t="s">
        <v>508</v>
      </c>
      <c r="L205" s="1" t="str">
        <f t="array" ref="L205">XLOOKUP(D205,'Other Data Fuckery'!$A$2:$A$101, 'Other Data Fuckery'!$B$2:$B$101)</f>
        <v>2020s</v>
      </c>
    </row>
    <row r="206" ht="14.25" customHeight="1">
      <c r="A206" s="1" t="str">
        <f>IFERROR(__xludf.DUMMYFUNCTION("LEFT(REGEXREPLACE(B206, ""[^A-Za-z]"", """"), 3) &amp; RIGHT(D206, 2) &amp; LEFT(REGEXREPLACE(C206, ""[^A-Za-z]"", """"), 3)"),"Rod23Gut")</f>
        <v>Rod23Gut</v>
      </c>
      <c r="B206" s="2" t="s">
        <v>509</v>
      </c>
      <c r="C206" s="2" t="s">
        <v>510</v>
      </c>
      <c r="D206" s="2">
        <v>2023.0</v>
      </c>
      <c r="E206" s="2">
        <v>2023.0</v>
      </c>
      <c r="F206" s="2" t="s">
        <v>393</v>
      </c>
      <c r="G206" s="2" t="s">
        <v>46</v>
      </c>
      <c r="H206" s="2" t="s">
        <v>46</v>
      </c>
      <c r="I206" s="2" t="s">
        <v>42</v>
      </c>
      <c r="J206" s="2" t="s">
        <v>24</v>
      </c>
      <c r="L206" s="1" t="str">
        <f t="array" ref="L206">XLOOKUP(D206,'Other Data Fuckery'!$A$2:$A$101, 'Other Data Fuckery'!$B$2:$B$101)</f>
        <v>2020s</v>
      </c>
    </row>
    <row r="207" ht="14.25" customHeight="1">
      <c r="A207" s="1" t="str">
        <f>IFERROR(__xludf.DUMMYFUNCTION("LEFT(REGEXREPLACE(B207, ""[^A-Za-z]"", """"), 3) &amp; RIGHT(D207, 2) &amp; LEFT(REGEXREPLACE(C207, ""[^A-Za-z]"", """"), 3)"),"Rol19She")</f>
        <v>Rol19She</v>
      </c>
      <c r="B207" s="1" t="s">
        <v>511</v>
      </c>
      <c r="C207" s="1" t="s">
        <v>512</v>
      </c>
      <c r="D207" s="1">
        <v>2019.0</v>
      </c>
      <c r="E207" s="1">
        <v>2019.0</v>
      </c>
      <c r="F207" s="1" t="s">
        <v>513</v>
      </c>
      <c r="G207" s="1" t="s">
        <v>15</v>
      </c>
      <c r="H207" s="2" t="s">
        <v>35</v>
      </c>
      <c r="I207" s="1" t="s">
        <v>228</v>
      </c>
      <c r="J207" s="2" t="s">
        <v>24</v>
      </c>
      <c r="L207" s="1" t="str">
        <f t="array" ref="L207">XLOOKUP(D207,'Other Data Fuckery'!$A$2:$A$101, 'Other Data Fuckery'!$B$2:$B$101)</f>
        <v>2010s</v>
      </c>
    </row>
    <row r="208" ht="14.25" customHeight="1">
      <c r="A208" s="1" t="str">
        <f>IFERROR(__xludf.DUMMYFUNCTION("LEFT(REGEXREPLACE(B208, ""[^A-Za-z]"", """"), 3) &amp; RIGHT(D208, 2) &amp; LEFT(REGEXREPLACE(C208, ""[^A-Za-z]"", """"), 3)"),"Ron19Not")</f>
        <v>Ron19Not</v>
      </c>
      <c r="B208" s="1" t="s">
        <v>514</v>
      </c>
      <c r="C208" s="1" t="s">
        <v>515</v>
      </c>
      <c r="D208" s="1">
        <v>2019.0</v>
      </c>
      <c r="E208" s="1">
        <v>2019.0</v>
      </c>
      <c r="F208" s="1" t="s">
        <v>364</v>
      </c>
      <c r="G208" s="2" t="s">
        <v>127</v>
      </c>
      <c r="H208" s="2" t="s">
        <v>516</v>
      </c>
      <c r="I208" s="1" t="s">
        <v>228</v>
      </c>
      <c r="J208" s="2" t="s">
        <v>24</v>
      </c>
      <c r="K208" s="1" t="s">
        <v>517</v>
      </c>
      <c r="L208" s="1" t="str">
        <f t="array" ref="L208">XLOOKUP(D208,'Other Data Fuckery'!$A$2:$A$101, 'Other Data Fuckery'!$B$2:$B$101)</f>
        <v>2010s</v>
      </c>
    </row>
    <row r="209" ht="14.25" customHeight="1">
      <c r="A209" s="1" t="str">
        <f>IFERROR(__xludf.DUMMYFUNCTION("LEFT(REGEXREPLACE(B209, ""[^A-Za-z]"", """"), 3) &amp; RIGHT(D209, 2) &amp; LEFT(REGEXREPLACE(C209, ""[^A-Za-z]"", """"), 3)"),"Roo03Roo")</f>
        <v>Roo03Roo</v>
      </c>
      <c r="B209" s="2" t="s">
        <v>518</v>
      </c>
      <c r="C209" s="2" t="s">
        <v>518</v>
      </c>
      <c r="D209" s="2">
        <v>2003.0</v>
      </c>
      <c r="E209" s="2">
        <v>2023.0</v>
      </c>
      <c r="F209" s="2" t="s">
        <v>393</v>
      </c>
      <c r="G209" s="2" t="s">
        <v>46</v>
      </c>
      <c r="H209" s="2" t="s">
        <v>304</v>
      </c>
      <c r="I209" s="2" t="s">
        <v>17</v>
      </c>
      <c r="J209" s="2" t="s">
        <v>18</v>
      </c>
      <c r="L209" s="1" t="str">
        <f t="array" ref="L209">XLOOKUP(D209,'Other Data Fuckery'!$A$2:$A$101, 'Other Data Fuckery'!$B$2:$B$101)</f>
        <v>2000s</v>
      </c>
    </row>
    <row r="210" ht="14.25" customHeight="1">
      <c r="A210" s="1" t="str">
        <f>IFERROR(__xludf.DUMMYFUNCTION("LEFT(REGEXREPLACE(B210, ""[^A-Za-z]"", """"), 3) &amp; RIGHT(D210, 2) &amp; LEFT(REGEXREPLACE(C210, ""[^A-Za-z]"", """"), 3)"),"Ruf01Per")</f>
        <v>Ruf01Per</v>
      </c>
      <c r="B210" s="2" t="s">
        <v>519</v>
      </c>
      <c r="C210" s="2" t="s">
        <v>520</v>
      </c>
      <c r="D210" s="2">
        <v>2001.0</v>
      </c>
      <c r="E210" s="2">
        <v>2020.0</v>
      </c>
      <c r="F210" s="2" t="s">
        <v>193</v>
      </c>
      <c r="G210" s="2" t="s">
        <v>15</v>
      </c>
      <c r="H210" s="2" t="s">
        <v>194</v>
      </c>
      <c r="I210" s="2" t="s">
        <v>17</v>
      </c>
      <c r="J210" s="2" t="s">
        <v>18</v>
      </c>
      <c r="L210" s="1" t="str">
        <f t="array" ref="L210">XLOOKUP(D210,'Other Data Fuckery'!$A$2:$A$101, 'Other Data Fuckery'!$B$2:$B$101)</f>
        <v>2000s</v>
      </c>
    </row>
    <row r="211" ht="14.25" customHeight="1">
      <c r="A211" s="1" t="str">
        <f>IFERROR(__xludf.DUMMYFUNCTION("LEFT(REGEXREPLACE(B211, ""[^A-Za-z]"", """"), 3) &amp; RIGHT(D211, 2) &amp; LEFT(REGEXREPLACE(C211, ""[^A-Za-z]"", """"), 3)"),"Sav99Thr")</f>
        <v>Sav99Thr</v>
      </c>
      <c r="B211" s="2" t="s">
        <v>521</v>
      </c>
      <c r="C211" s="2" t="s">
        <v>522</v>
      </c>
      <c r="D211" s="2">
        <v>1999.0</v>
      </c>
      <c r="E211" s="2">
        <v>2019.0</v>
      </c>
      <c r="F211" s="2" t="s">
        <v>56</v>
      </c>
      <c r="G211" s="2" t="s">
        <v>15</v>
      </c>
      <c r="H211" s="2" t="s">
        <v>16</v>
      </c>
      <c r="I211" s="2" t="s">
        <v>17</v>
      </c>
      <c r="J211" s="2" t="s">
        <v>18</v>
      </c>
      <c r="L211" s="1" t="str">
        <f t="array" ref="L211">XLOOKUP(D211,'Other Data Fuckery'!$A$2:$A$101, 'Other Data Fuckery'!$B$2:$B$101)</f>
        <v>1990s</v>
      </c>
    </row>
    <row r="212" ht="14.25" customHeight="1">
      <c r="A212" s="1" t="str">
        <f>IFERROR(__xludf.DUMMYFUNCTION("LEFT(REGEXREPLACE(B212, ""[^A-Za-z]"", """"), 3) &amp; RIGHT(D212, 2) &amp; LEFT(REGEXREPLACE(C212, ""[^A-Za-z]"", """"), 3)"),"Sch73Mul")</f>
        <v>Sch73Mul</v>
      </c>
      <c r="B212" s="2" t="s">
        <v>523</v>
      </c>
      <c r="C212" s="1" t="s">
        <v>524</v>
      </c>
      <c r="D212" s="1">
        <v>1973.0</v>
      </c>
      <c r="E212" s="1">
        <v>2019.0</v>
      </c>
      <c r="F212" s="1" t="s">
        <v>525</v>
      </c>
      <c r="G212" s="1" t="s">
        <v>75</v>
      </c>
      <c r="H212" s="1" t="s">
        <v>75</v>
      </c>
      <c r="I212" s="1" t="s">
        <v>228</v>
      </c>
      <c r="J212" s="2" t="s">
        <v>24</v>
      </c>
      <c r="K212" s="1" t="s">
        <v>517</v>
      </c>
      <c r="L212" s="1" t="str">
        <f t="array" ref="L212">XLOOKUP(D212,'Other Data Fuckery'!$A$2:$A$101, 'Other Data Fuckery'!$B$2:$B$101)</f>
        <v>1970s</v>
      </c>
    </row>
    <row r="213" ht="14.25" customHeight="1">
      <c r="A213" s="1" t="str">
        <f>IFERROR(__xludf.DUMMYFUNCTION("LEFT(REGEXREPLACE(B213, ""[^A-Za-z]"", """"), 3) &amp; RIGHT(D213, 2) &amp; LEFT(REGEXREPLACE(C213, ""[^A-Za-z]"", """"), 3)"),"Sha14And")</f>
        <v>Sha14And</v>
      </c>
      <c r="B213" s="2" t="s">
        <v>526</v>
      </c>
      <c r="C213" s="2" t="s">
        <v>527</v>
      </c>
      <c r="D213" s="2">
        <v>2014.0</v>
      </c>
      <c r="E213" s="2">
        <v>2014.0</v>
      </c>
      <c r="F213" s="2" t="s">
        <v>528</v>
      </c>
      <c r="G213" s="2" t="s">
        <v>197</v>
      </c>
      <c r="H213" s="2" t="s">
        <v>307</v>
      </c>
      <c r="I213" s="2" t="s">
        <v>23</v>
      </c>
      <c r="J213" s="2" t="s">
        <v>18</v>
      </c>
      <c r="L213" s="1" t="str">
        <f t="array" ref="L213">XLOOKUP(D213,'Other Data Fuckery'!$A$2:$A$101, 'Other Data Fuckery'!$B$2:$B$101)</f>
        <v>2010s</v>
      </c>
    </row>
    <row r="214" ht="14.25" customHeight="1">
      <c r="A214" s="1" t="str">
        <f>IFERROR(__xludf.DUMMYFUNCTION("LEFT(REGEXREPLACE(B214, ""[^A-Za-z]"", """"), 3) &amp; RIGHT(D214, 2) &amp; LEFT(REGEXREPLACE(C214, ""[^A-Za-z]"", """"), 3)"),"Sha18Can")</f>
        <v>Sha18Can</v>
      </c>
      <c r="B214" s="2" t="s">
        <v>526</v>
      </c>
      <c r="C214" s="2" t="s">
        <v>529</v>
      </c>
      <c r="D214" s="2">
        <v>2018.0</v>
      </c>
      <c r="E214" s="2">
        <v>2018.0</v>
      </c>
      <c r="F214" s="2" t="s">
        <v>528</v>
      </c>
      <c r="G214" s="2" t="s">
        <v>197</v>
      </c>
      <c r="H214" s="2" t="s">
        <v>307</v>
      </c>
      <c r="I214" s="2" t="s">
        <v>23</v>
      </c>
      <c r="J214" s="2" t="s">
        <v>18</v>
      </c>
      <c r="L214" s="1" t="str">
        <f t="array" ref="L214">XLOOKUP(D214,'Other Data Fuckery'!$A$2:$A$101, 'Other Data Fuckery'!$B$2:$B$101)</f>
        <v>2010s</v>
      </c>
    </row>
    <row r="215" ht="14.25" customHeight="1">
      <c r="A215" s="1" t="str">
        <f>IFERROR(__xludf.DUMMYFUNCTION("LEFT(REGEXREPLACE(B215, ""[^A-Za-z]"", """"), 3) &amp; RIGHT(D215, 2) &amp; LEFT(REGEXREPLACE(C215, ""[^A-Za-z]"", """"), 3)"),"Shi07Win")</f>
        <v>Shi07Win</v>
      </c>
      <c r="B215" s="2" t="s">
        <v>530</v>
      </c>
      <c r="C215" s="1" t="s">
        <v>531</v>
      </c>
      <c r="D215" s="1">
        <v>2007.0</v>
      </c>
      <c r="E215" s="1">
        <v>2007.0</v>
      </c>
      <c r="F215" s="1" t="s">
        <v>296</v>
      </c>
      <c r="G215" s="2" t="s">
        <v>15</v>
      </c>
      <c r="H215" s="1" t="s">
        <v>22</v>
      </c>
      <c r="I215" s="1" t="s">
        <v>42</v>
      </c>
      <c r="J215" s="2" t="s">
        <v>18</v>
      </c>
      <c r="L215" s="1" t="str">
        <f t="array" ref="L215">XLOOKUP(D215,'Other Data Fuckery'!$A$2:$A$101, 'Other Data Fuckery'!$B$2:$B$101)</f>
        <v>2000s</v>
      </c>
    </row>
    <row r="216" ht="14.25" customHeight="1">
      <c r="A216" s="1" t="str">
        <f>IFERROR(__xludf.DUMMYFUNCTION("LEFT(REGEXREPLACE(B216, ""[^A-Za-z]"", """"), 3) &amp; RIGHT(D216, 2) &amp; LEFT(REGEXREPLACE(C216, ""[^A-Za-z]"", """"), 3)"),"Sho66Spe")</f>
        <v>Sho66Spe</v>
      </c>
      <c r="B216" s="1" t="s">
        <v>532</v>
      </c>
      <c r="C216" s="1" t="s">
        <v>533</v>
      </c>
      <c r="D216" s="1">
        <v>1966.0</v>
      </c>
      <c r="E216" s="1">
        <v>2020.0</v>
      </c>
      <c r="F216" s="1" t="s">
        <v>28</v>
      </c>
      <c r="G216" s="1" t="s">
        <v>29</v>
      </c>
      <c r="H216" s="1" t="s">
        <v>29</v>
      </c>
      <c r="I216" s="1" t="s">
        <v>265</v>
      </c>
      <c r="J216" s="2" t="s">
        <v>18</v>
      </c>
      <c r="L216" s="1" t="str">
        <f t="array" ref="L216">XLOOKUP(D216,'Other Data Fuckery'!$A$2:$A$101, 'Other Data Fuckery'!$B$2:$B$101)</f>
        <v>1960s</v>
      </c>
    </row>
    <row r="217" ht="14.25" customHeight="1">
      <c r="A217" s="1" t="str">
        <f>IFERROR(__xludf.DUMMYFUNCTION("LEFT(REGEXREPLACE(B217, ""[^A-Za-z]"", """"), 3) &amp; RIGHT(D217, 2) &amp; LEFT(REGEXREPLACE(C217, ""[^A-Za-z]"", """"), 3)"),"Sho66Ada")</f>
        <v>Sho66Ada</v>
      </c>
      <c r="B217" s="1" t="s">
        <v>532</v>
      </c>
      <c r="C217" s="1" t="s">
        <v>534</v>
      </c>
      <c r="D217" s="1">
        <v>1966.0</v>
      </c>
      <c r="E217" s="1">
        <v>2022.0</v>
      </c>
      <c r="F217" s="1" t="s">
        <v>28</v>
      </c>
      <c r="G217" s="1" t="s">
        <v>29</v>
      </c>
      <c r="H217" s="1" t="s">
        <v>29</v>
      </c>
      <c r="I217" s="1" t="s">
        <v>265</v>
      </c>
      <c r="J217" s="2" t="s">
        <v>18</v>
      </c>
      <c r="L217" s="1" t="str">
        <f t="array" ref="L217">XLOOKUP(D217,'Other Data Fuckery'!$A$2:$A$101, 'Other Data Fuckery'!$B$2:$B$101)</f>
        <v>1960s</v>
      </c>
    </row>
    <row r="218" ht="14.25" customHeight="1">
      <c r="A218" s="1" t="str">
        <f>IFERROR(__xludf.DUMMYFUNCTION("LEFT(REGEXREPLACE(B218, ""[^A-Za-z]"", """"), 3) &amp; RIGHT(D218, 2) &amp; LEFT(REGEXREPLACE(C218, ""[^A-Za-z]"", """"), 3)"),"Sil64Son")</f>
        <v>Sil64Son</v>
      </c>
      <c r="B218" s="1" t="s">
        <v>535</v>
      </c>
      <c r="C218" s="1" t="s">
        <v>536</v>
      </c>
      <c r="D218" s="1">
        <v>1964.0</v>
      </c>
      <c r="E218" s="1">
        <v>2020.0</v>
      </c>
      <c r="F218" s="1" t="s">
        <v>28</v>
      </c>
      <c r="G218" s="1" t="s">
        <v>29</v>
      </c>
      <c r="H218" s="1" t="s">
        <v>29</v>
      </c>
      <c r="I218" s="1" t="s">
        <v>265</v>
      </c>
      <c r="J218" s="2" t="s">
        <v>18</v>
      </c>
      <c r="L218" s="1" t="str">
        <f t="array" ref="L218">XLOOKUP(D218,'Other Data Fuckery'!$A$2:$A$101, 'Other Data Fuckery'!$B$2:$B$101)</f>
        <v>1960s</v>
      </c>
    </row>
    <row r="219" ht="14.25" customHeight="1">
      <c r="A219" s="1" t="str">
        <f>IFERROR(__xludf.DUMMYFUNCTION("LEFT(REGEXREPLACE(B219, ""[^A-Za-z]"", """"), 3) &amp; RIGHT(D219, 2) &amp; LEFT(REGEXREPLACE(C219, ""[^A-Za-z]"", """"), 3)"),"Sil56Six")</f>
        <v>Sil56Six</v>
      </c>
      <c r="B219" s="1" t="s">
        <v>535</v>
      </c>
      <c r="C219" s="1" t="s">
        <v>537</v>
      </c>
      <c r="D219" s="1">
        <v>1956.0</v>
      </c>
      <c r="E219" s="1">
        <v>2021.0</v>
      </c>
      <c r="F219" s="1" t="s">
        <v>28</v>
      </c>
      <c r="G219" s="1" t="s">
        <v>29</v>
      </c>
      <c r="H219" s="1" t="s">
        <v>29</v>
      </c>
      <c r="I219" s="1" t="s">
        <v>53</v>
      </c>
      <c r="J219" s="2" t="s">
        <v>18</v>
      </c>
      <c r="L219" s="1" t="str">
        <f t="array" ref="L219">XLOOKUP(D219,'Other Data Fuckery'!$A$2:$A$101, 'Other Data Fuckery'!$B$2:$B$101)</f>
        <v>1950s</v>
      </c>
    </row>
    <row r="220" ht="14.25" customHeight="1">
      <c r="A220" s="1" t="str">
        <f>IFERROR(__xludf.DUMMYFUNCTION("LEFT(REGEXREPLACE(B220, ""[^A-Za-z]"", """"), 3) &amp; RIGHT(D220, 2) &amp; LEFT(REGEXREPLACE(C220, ""[^A-Za-z]"", """"), 3)"),"Sil59Blo")</f>
        <v>Sil59Blo</v>
      </c>
      <c r="B220" s="2" t="s">
        <v>535</v>
      </c>
      <c r="C220" s="2" t="s">
        <v>538</v>
      </c>
      <c r="D220" s="2">
        <v>1959.0</v>
      </c>
      <c r="E220" s="2">
        <v>2023.0</v>
      </c>
      <c r="F220" s="2" t="s">
        <v>28</v>
      </c>
      <c r="G220" s="2" t="s">
        <v>29</v>
      </c>
      <c r="H220" s="2" t="s">
        <v>29</v>
      </c>
      <c r="I220" s="2" t="s">
        <v>53</v>
      </c>
      <c r="J220" s="2" t="s">
        <v>18</v>
      </c>
      <c r="L220" s="1" t="str">
        <f t="array" ref="L220">XLOOKUP(D220,'Other Data Fuckery'!$A$2:$A$101, 'Other Data Fuckery'!$B$2:$B$101)</f>
        <v>1950s</v>
      </c>
    </row>
    <row r="221" ht="14.25" customHeight="1">
      <c r="A221" s="1" t="str">
        <f>IFERROR(__xludf.DUMMYFUNCTION("LEFT(REGEXREPLACE(B221, ""[^A-Za-z]"", """"), 3) &amp; RIGHT(D221, 2) &amp; LEFT(REGEXREPLACE(C221, ""[^A-Za-z]"", """"), 3)"),"Sim15Met")</f>
        <v>Sim15Met</v>
      </c>
      <c r="B221" s="2" t="s">
        <v>539</v>
      </c>
      <c r="C221" s="2" t="s">
        <v>540</v>
      </c>
      <c r="D221" s="2">
        <v>2015.0</v>
      </c>
      <c r="E221" s="2">
        <v>2015.0</v>
      </c>
      <c r="F221" s="2" t="s">
        <v>541</v>
      </c>
      <c r="G221" s="2" t="s">
        <v>197</v>
      </c>
      <c r="H221" s="2" t="s">
        <v>201</v>
      </c>
      <c r="I221" s="2" t="s">
        <v>223</v>
      </c>
      <c r="J221" s="2" t="s">
        <v>18</v>
      </c>
      <c r="L221" s="1" t="str">
        <f t="array" ref="L221">XLOOKUP(D221,'Other Data Fuckery'!$A$2:$A$101, 'Other Data Fuckery'!$B$2:$B$101)</f>
        <v>2010s</v>
      </c>
    </row>
    <row r="222" ht="14.25" customHeight="1">
      <c r="A222" s="1" t="str">
        <f>IFERROR(__xludf.DUMMYFUNCTION("LEFT(REGEXREPLACE(B222, ""[^A-Za-z]"", """"), 3) &amp; RIGHT(D222, 2) &amp; LEFT(REGEXREPLACE(C222, ""[^A-Za-z]"", """"), 3)"),"Sim16ASa")</f>
        <v>Sim16ASa</v>
      </c>
      <c r="B222" s="2" t="s">
        <v>539</v>
      </c>
      <c r="C222" s="2" t="s">
        <v>542</v>
      </c>
      <c r="D222" s="2">
        <v>2016.0</v>
      </c>
      <c r="E222" s="2">
        <v>2016.0</v>
      </c>
      <c r="F222" s="2" t="s">
        <v>144</v>
      </c>
      <c r="G222" s="2" t="s">
        <v>197</v>
      </c>
      <c r="H222" s="2" t="s">
        <v>201</v>
      </c>
      <c r="I222" s="2" t="s">
        <v>172</v>
      </c>
      <c r="J222" s="2" t="s">
        <v>18</v>
      </c>
      <c r="L222" s="1" t="str">
        <f t="array" ref="L222">XLOOKUP(D222,'Other Data Fuckery'!$A$2:$A$101, 'Other Data Fuckery'!$B$2:$B$101)</f>
        <v>2010s</v>
      </c>
    </row>
    <row r="223" ht="14.25" customHeight="1">
      <c r="A223" s="1" t="str">
        <f>IFERROR(__xludf.DUMMYFUNCTION("LEFT(REGEXREPLACE(B223, ""[^A-Za-z]"", """"), 3) &amp; RIGHT(D223, 2) &amp; LEFT(REGEXREPLACE(C223, ""[^A-Za-z]"", """"), 3)"),"Sim21The")</f>
        <v>Sim21The</v>
      </c>
      <c r="B223" s="2" t="s">
        <v>539</v>
      </c>
      <c r="C223" s="2" t="s">
        <v>543</v>
      </c>
      <c r="D223" s="2">
        <v>2021.0</v>
      </c>
      <c r="E223" s="2">
        <v>2021.0</v>
      </c>
      <c r="F223" s="2" t="s">
        <v>541</v>
      </c>
      <c r="G223" s="2" t="s">
        <v>197</v>
      </c>
      <c r="H223" s="2" t="s">
        <v>201</v>
      </c>
      <c r="I223" s="2" t="s">
        <v>53</v>
      </c>
      <c r="J223" s="2" t="s">
        <v>18</v>
      </c>
      <c r="L223" s="1" t="str">
        <f t="array" ref="L223">XLOOKUP(D223,'Other Data Fuckery'!$A$2:$A$101, 'Other Data Fuckery'!$B$2:$B$101)</f>
        <v>2020s</v>
      </c>
    </row>
    <row r="224" ht="14.25" customHeight="1">
      <c r="A224" s="1" t="str">
        <f>IFERROR(__xludf.DUMMYFUNCTION("LEFT(REGEXREPLACE(B224, ""[^A-Za-z]"", """"), 3) &amp; RIGHT(D224, 2) &amp; LEFT(REGEXREPLACE(C224, ""[^A-Za-z]"", """"), 3)"),"Sim13Hig")</f>
        <v>Sim13Hig</v>
      </c>
      <c r="B224" s="2" t="s">
        <v>539</v>
      </c>
      <c r="C224" s="2" t="s">
        <v>541</v>
      </c>
      <c r="D224" s="2">
        <v>2013.0</v>
      </c>
      <c r="E224" s="2">
        <v>2023.0</v>
      </c>
      <c r="F224" s="2" t="s">
        <v>541</v>
      </c>
      <c r="G224" s="2" t="s">
        <v>197</v>
      </c>
      <c r="H224" s="2" t="s">
        <v>201</v>
      </c>
      <c r="I224" s="2" t="s">
        <v>53</v>
      </c>
      <c r="J224" s="2" t="s">
        <v>18</v>
      </c>
      <c r="L224" s="1" t="str">
        <f t="array" ref="L224">XLOOKUP(D224,'Other Data Fuckery'!$A$2:$A$101, 'Other Data Fuckery'!$B$2:$B$101)</f>
        <v>2010s</v>
      </c>
    </row>
    <row r="225" ht="14.25" customHeight="1">
      <c r="A225" s="1" t="str">
        <f>IFERROR(__xludf.DUMMYFUNCTION("LEFT(REGEXREPLACE(B225, ""[^A-Za-z]"", """"), 3) &amp; RIGHT(D225, 2) &amp; LEFT(REGEXREPLACE(C225, ""[^A-Za-z]"", """"), 3)"),"SNL76Sat")</f>
        <v>SNL76Sat</v>
      </c>
      <c r="B225" s="2" t="s">
        <v>544</v>
      </c>
      <c r="C225" s="1" t="s">
        <v>545</v>
      </c>
      <c r="D225" s="1">
        <v>1976.0</v>
      </c>
      <c r="E225" s="1">
        <v>1976.0</v>
      </c>
      <c r="F225" s="1" t="s">
        <v>458</v>
      </c>
      <c r="G225" s="1" t="s">
        <v>186</v>
      </c>
      <c r="H225" s="1" t="s">
        <v>186</v>
      </c>
      <c r="I225" s="1" t="s">
        <v>96</v>
      </c>
      <c r="J225" s="2" t="s">
        <v>24</v>
      </c>
      <c r="L225" s="1" t="str">
        <f t="array" ref="L225">XLOOKUP(D225,'Other Data Fuckery'!$A$2:$A$101, 'Other Data Fuckery'!$B$2:$B$101)</f>
        <v>1970s</v>
      </c>
    </row>
    <row r="226" ht="14.25" customHeight="1">
      <c r="A226" s="1" t="str">
        <f>IFERROR(__xludf.DUMMYFUNCTION("LEFT(REGEXREPLACE(B226, ""[^A-Za-z]"", """"), 3) &amp; RIGHT(D226, 2) &amp; LEFT(REGEXREPLACE(C226, ""[^A-Za-z]"", """"), 3)"),"Som22Lea")</f>
        <v>Som22Lea</v>
      </c>
      <c r="B226" s="2" t="s">
        <v>546</v>
      </c>
      <c r="C226" s="2" t="s">
        <v>547</v>
      </c>
      <c r="D226" s="2">
        <v>2022.0</v>
      </c>
      <c r="E226" s="2">
        <v>2023.0</v>
      </c>
      <c r="F226" s="2" t="s">
        <v>393</v>
      </c>
      <c r="G226" s="2" t="s">
        <v>15</v>
      </c>
      <c r="H226" s="2" t="s">
        <v>194</v>
      </c>
      <c r="I226" s="2" t="s">
        <v>17</v>
      </c>
      <c r="J226" s="2" t="s">
        <v>18</v>
      </c>
      <c r="L226" s="1" t="str">
        <f t="array" ref="L226">XLOOKUP(D226,'Other Data Fuckery'!$A$2:$A$101, 'Other Data Fuckery'!$B$2:$B$101)</f>
        <v>2020s</v>
      </c>
    </row>
    <row r="227" ht="14.25" customHeight="1">
      <c r="A227" s="1" t="str">
        <f>IFERROR(__xludf.DUMMYFUNCTION("LEFT(REGEXREPLACE(B227, ""[^A-Za-z]"", """"), 3) &amp; RIGHT(D227, 2) &amp; LEFT(REGEXREPLACE(C227, ""[^A-Za-z]"", """"), 3)"),"Son73Mam")</f>
        <v>Son73Mam</v>
      </c>
      <c r="B227" s="2" t="s">
        <v>548</v>
      </c>
      <c r="C227" s="2" t="s">
        <v>549</v>
      </c>
      <c r="D227" s="2">
        <v>1973.0</v>
      </c>
      <c r="E227" s="2">
        <v>1973.0</v>
      </c>
      <c r="F227" s="2" t="s">
        <v>550</v>
      </c>
      <c r="G227" s="2" t="s">
        <v>15</v>
      </c>
      <c r="H227" s="2" t="s">
        <v>551</v>
      </c>
      <c r="I227" s="2" t="s">
        <v>228</v>
      </c>
      <c r="J227" s="2" t="s">
        <v>24</v>
      </c>
      <c r="L227" s="1" t="str">
        <f t="array" ref="L227">XLOOKUP(D227,'Other Data Fuckery'!$A$2:$A$101, 'Other Data Fuckery'!$B$2:$B$101)</f>
        <v>1970s</v>
      </c>
    </row>
    <row r="228" ht="14.25" customHeight="1">
      <c r="A228" s="1" t="str">
        <f>IFERROR(__xludf.DUMMYFUNCTION("LEFT(REGEXREPLACE(B228, ""[^A-Za-z]"", """"), 3) &amp; RIGHT(D228, 2) &amp; LEFT(REGEXREPLACE(C228, ""[^A-Za-z]"", """"), 3)"),"Spr84Bor")</f>
        <v>Spr84Bor</v>
      </c>
      <c r="B228" s="1" t="s">
        <v>552</v>
      </c>
      <c r="C228" s="1" t="s">
        <v>553</v>
      </c>
      <c r="D228" s="1">
        <v>1984.0</v>
      </c>
      <c r="F228" s="1" t="s">
        <v>165</v>
      </c>
      <c r="G228" s="1" t="s">
        <v>15</v>
      </c>
      <c r="H228" s="2" t="s">
        <v>35</v>
      </c>
      <c r="I228" s="1" t="s">
        <v>154</v>
      </c>
      <c r="J228" s="2" t="s">
        <v>24</v>
      </c>
      <c r="L228" s="1" t="str">
        <f t="array" ref="L228">XLOOKUP(D228,'Other Data Fuckery'!$A$2:$A$101, 'Other Data Fuckery'!$B$2:$B$101)</f>
        <v>1980s</v>
      </c>
    </row>
    <row r="229" ht="14.25" customHeight="1">
      <c r="A229" s="1" t="str">
        <f>IFERROR(__xludf.DUMMYFUNCTION("LEFT(REGEXREPLACE(B229, ""[^A-Za-z]"", """"), 3) &amp; RIGHT(D229, 2) &amp; LEFT(REGEXREPLACE(C229, ""[^A-Za-z]"", """"), 3)"),"Sta22Rog")</f>
        <v>Sta22Rog</v>
      </c>
      <c r="B229" s="2" t="s">
        <v>554</v>
      </c>
      <c r="C229" s="2" t="s">
        <v>555</v>
      </c>
      <c r="D229" s="2">
        <v>2022.0</v>
      </c>
      <c r="E229" s="2">
        <v>2022.0</v>
      </c>
      <c r="F229" s="2" t="s">
        <v>267</v>
      </c>
      <c r="G229" s="2" t="s">
        <v>75</v>
      </c>
      <c r="H229" s="2" t="s">
        <v>75</v>
      </c>
      <c r="I229" s="2" t="s">
        <v>42</v>
      </c>
      <c r="J229" s="2" t="s">
        <v>18</v>
      </c>
      <c r="L229" s="1" t="str">
        <f t="array" ref="L229">XLOOKUP(D229,'Other Data Fuckery'!$A$2:$A$101, 'Other Data Fuckery'!$B$2:$B$101)</f>
        <v>2020s</v>
      </c>
    </row>
    <row r="230" ht="14.25" customHeight="1">
      <c r="A230" s="1" t="str">
        <f>IFERROR(__xludf.DUMMYFUNCTION("LEFT(REGEXREPLACE(B230, ""[^A-Za-z]"", """"), 3) &amp; RIGHT(D230, 2) &amp; LEFT(REGEXREPLACE(C230, ""[^A-Za-z]"", """"), 3)"),"STR08STR")</f>
        <v>STR08STR</v>
      </c>
      <c r="B230" s="1" t="s">
        <v>556</v>
      </c>
      <c r="C230" s="1" t="s">
        <v>556</v>
      </c>
      <c r="D230" s="1">
        <v>2008.0</v>
      </c>
      <c r="E230" s="1">
        <v>2008.0</v>
      </c>
      <c r="F230" s="1" t="s">
        <v>557</v>
      </c>
      <c r="G230" s="2" t="s">
        <v>15</v>
      </c>
      <c r="H230" s="2" t="s">
        <v>558</v>
      </c>
      <c r="I230" s="1" t="s">
        <v>216</v>
      </c>
      <c r="J230" s="2" t="s">
        <v>18</v>
      </c>
      <c r="L230" s="1" t="str">
        <f t="array" ref="L230">XLOOKUP(D230,'Other Data Fuckery'!$A$2:$A$101, 'Other Data Fuckery'!$B$2:$B$101)</f>
        <v>2000s</v>
      </c>
    </row>
    <row r="231" ht="14.25" customHeight="1">
      <c r="A231" s="1" t="str">
        <f>IFERROR(__xludf.DUMMYFUNCTION("LEFT(REGEXREPLACE(B231, ""[^A-Za-z]"", """"), 3) &amp; RIGHT(D231, 2) &amp; LEFT(REGEXREPLACE(C231, ""[^A-Za-z]"", """"), 3)"),"STR11Rep")</f>
        <v>STR11Rep</v>
      </c>
      <c r="B231" s="1" t="s">
        <v>556</v>
      </c>
      <c r="C231" s="1" t="s">
        <v>559</v>
      </c>
      <c r="D231" s="1">
        <v>2011.0</v>
      </c>
      <c r="E231" s="1">
        <v>2011.0</v>
      </c>
      <c r="F231" s="1" t="s">
        <v>52</v>
      </c>
      <c r="G231" s="2" t="s">
        <v>15</v>
      </c>
      <c r="H231" s="2" t="s">
        <v>558</v>
      </c>
      <c r="I231" s="1" t="s">
        <v>216</v>
      </c>
      <c r="J231" s="2" t="s">
        <v>18</v>
      </c>
      <c r="L231" s="1" t="str">
        <f t="array" ref="L231">XLOOKUP(D231,'Other Data Fuckery'!$A$2:$A$101, 'Other Data Fuckery'!$B$2:$B$101)</f>
        <v>2010s</v>
      </c>
    </row>
    <row r="232" ht="14.25" customHeight="1">
      <c r="A232" s="1" t="str">
        <f>IFERROR(__xludf.DUMMYFUNCTION("LEFT(REGEXREPLACE(B232, ""[^A-Za-z]"", """"), 3) &amp; RIGHT(D232, 2) &amp; LEFT(REGEXREPLACE(C232, ""[^A-Za-z]"", """"), 3)"),"STR12Jup")</f>
        <v>STR12Jup</v>
      </c>
      <c r="B232" s="1" t="s">
        <v>556</v>
      </c>
      <c r="C232" s="1" t="s">
        <v>560</v>
      </c>
      <c r="D232" s="1">
        <v>2012.0</v>
      </c>
      <c r="E232" s="1">
        <v>2012.0</v>
      </c>
      <c r="F232" s="1" t="s">
        <v>557</v>
      </c>
      <c r="G232" s="2" t="s">
        <v>15</v>
      </c>
      <c r="H232" s="2" t="s">
        <v>558</v>
      </c>
      <c r="I232" s="1" t="s">
        <v>216</v>
      </c>
      <c r="J232" s="2" t="s">
        <v>18</v>
      </c>
      <c r="L232" s="1" t="str">
        <f t="array" ref="L232">XLOOKUP(D232,'Other Data Fuckery'!$A$2:$A$101, 'Other Data Fuckery'!$B$2:$B$101)</f>
        <v>2010s</v>
      </c>
    </row>
    <row r="233" ht="14.25" customHeight="1">
      <c r="A233" s="1" t="str">
        <f>IFERROR(__xludf.DUMMYFUNCTION("LEFT(REGEXREPLACE(B233, ""[^A-Za-z]"", """"), 3) &amp; RIGHT(D233, 2) &amp; LEFT(REGEXREPLACE(C233, ""[^A-Za-z]"", """"), 3)"),"STR13Mir")</f>
        <v>STR13Mir</v>
      </c>
      <c r="B233" s="1" t="s">
        <v>556</v>
      </c>
      <c r="C233" s="1" t="s">
        <v>561</v>
      </c>
      <c r="D233" s="1">
        <v>2013.0</v>
      </c>
      <c r="E233" s="1">
        <v>2013.0</v>
      </c>
      <c r="F233" s="1" t="s">
        <v>52</v>
      </c>
      <c r="G233" s="2" t="s">
        <v>15</v>
      </c>
      <c r="H233" s="2" t="s">
        <v>558</v>
      </c>
      <c r="I233" s="1" t="s">
        <v>216</v>
      </c>
      <c r="J233" s="2" t="s">
        <v>18</v>
      </c>
      <c r="L233" s="1" t="str">
        <f t="array" ref="L233">XLOOKUP(D233,'Other Data Fuckery'!$A$2:$A$101, 'Other Data Fuckery'!$B$2:$B$101)</f>
        <v>2010s</v>
      </c>
    </row>
    <row r="234" ht="14.25" customHeight="1">
      <c r="A234" s="1" t="str">
        <f>IFERROR(__xludf.DUMMYFUNCTION("LEFT(REGEXREPLACE(B234, ""[^A-Za-z]"", """"), 3) &amp; RIGHT(D234, 2) &amp; LEFT(REGEXREPLACE(C234, ""[^A-Za-z]"", """"), 3)"),"STR16Bei")</f>
        <v>STR16Bei</v>
      </c>
      <c r="B234" s="1" t="s">
        <v>556</v>
      </c>
      <c r="C234" s="1" t="s">
        <v>562</v>
      </c>
      <c r="D234" s="1">
        <v>2016.0</v>
      </c>
      <c r="E234" s="1">
        <v>2016.0</v>
      </c>
      <c r="F234" s="1" t="s">
        <v>52</v>
      </c>
      <c r="G234" s="2" t="s">
        <v>15</v>
      </c>
      <c r="H234" s="2" t="s">
        <v>558</v>
      </c>
      <c r="I234" s="1" t="s">
        <v>53</v>
      </c>
      <c r="J234" s="2" t="s">
        <v>18</v>
      </c>
      <c r="L234" s="1" t="str">
        <f t="array" ref="L234">XLOOKUP(D234,'Other Data Fuckery'!$A$2:$A$101, 'Other Data Fuckery'!$B$2:$B$101)</f>
        <v>2010s</v>
      </c>
    </row>
    <row r="235" ht="14.25" customHeight="1">
      <c r="A235" s="1" t="str">
        <f>IFERROR(__xludf.DUMMYFUNCTION("LEFT(REGEXREPLACE(B235, ""[^A-Za-z]"", """"), 3) &amp; RIGHT(D235, 2) &amp; LEFT(REGEXREPLACE(C235, ""[^A-Za-z]"", """"), 3)"),"STR20Fut")</f>
        <v>STR20Fut</v>
      </c>
      <c r="B235" s="1" t="s">
        <v>556</v>
      </c>
      <c r="C235" s="1" t="s">
        <v>563</v>
      </c>
      <c r="D235" s="1">
        <v>2020.0</v>
      </c>
      <c r="E235" s="1">
        <v>2020.0</v>
      </c>
      <c r="F235" s="1" t="s">
        <v>52</v>
      </c>
      <c r="G235" s="2" t="s">
        <v>15</v>
      </c>
      <c r="H235" s="2" t="s">
        <v>558</v>
      </c>
      <c r="I235" s="1" t="s">
        <v>216</v>
      </c>
      <c r="J235" s="2" t="s">
        <v>18</v>
      </c>
      <c r="L235" s="1" t="str">
        <f t="array" ref="L235">XLOOKUP(D235,'Other Data Fuckery'!$A$2:$A$101, 'Other Data Fuckery'!$B$2:$B$101)</f>
        <v>2020s</v>
      </c>
    </row>
    <row r="236" ht="14.25" customHeight="1">
      <c r="A236" s="1" t="str">
        <f>IFERROR(__xludf.DUMMYFUNCTION("LEFT(REGEXREPLACE(B236, ""[^A-Za-z]"", """"), 3) &amp; RIGHT(D236, 2) &amp; LEFT(REGEXREPLACE(C236, ""[^A-Za-z]"", """"), 3)"),"STR24Par")</f>
        <v>STR24Par</v>
      </c>
      <c r="B236" s="2" t="s">
        <v>556</v>
      </c>
      <c r="C236" s="2" t="s">
        <v>564</v>
      </c>
      <c r="D236" s="2">
        <v>2024.0</v>
      </c>
      <c r="E236" s="2">
        <v>2024.0</v>
      </c>
      <c r="F236" s="2" t="s">
        <v>52</v>
      </c>
      <c r="G236" s="2" t="s">
        <v>15</v>
      </c>
      <c r="H236" s="2" t="s">
        <v>558</v>
      </c>
      <c r="I236" s="2" t="s">
        <v>216</v>
      </c>
      <c r="J236" s="2" t="s">
        <v>18</v>
      </c>
      <c r="L236" s="1" t="str">
        <f t="array" ref="L236">XLOOKUP(D236,'Other Data Fuckery'!$A$2:$A$101, 'Other Data Fuckery'!$B$2:$B$101)</f>
        <v>2020s</v>
      </c>
    </row>
    <row r="237" ht="14.25" customHeight="1">
      <c r="A237" s="1" t="str">
        <f>IFERROR(__xludf.DUMMYFUNCTION("LEFT(REGEXREPLACE(B237, ""[^A-Za-z]"", """"), 3) &amp; RIGHT(D237, 2) &amp; LEFT(REGEXREPLACE(C237, ""[^A-Za-z]"", """"), 3)"),"STR24Par")</f>
        <v>STR24Par</v>
      </c>
      <c r="B237" s="2" t="s">
        <v>556</v>
      </c>
      <c r="C237" s="2" t="s">
        <v>565</v>
      </c>
      <c r="D237" s="2">
        <v>2024.0</v>
      </c>
      <c r="E237" s="2">
        <v>2024.0</v>
      </c>
      <c r="F237" s="2" t="s">
        <v>52</v>
      </c>
      <c r="G237" s="2" t="s">
        <v>15</v>
      </c>
      <c r="H237" s="2" t="s">
        <v>558</v>
      </c>
      <c r="I237" s="2" t="s">
        <v>216</v>
      </c>
      <c r="J237" s="2" t="s">
        <v>18</v>
      </c>
      <c r="L237" s="1" t="str">
        <f t="array" ref="L237">XLOOKUP(D237,'Other Data Fuckery'!$A$2:$A$101, 'Other Data Fuckery'!$B$2:$B$101)</f>
        <v>2020s</v>
      </c>
    </row>
    <row r="238" ht="14.25" customHeight="1">
      <c r="A238" s="1" t="str">
        <f>IFERROR(__xludf.DUMMYFUNCTION("LEFT(REGEXREPLACE(B238, ""[^A-Za-z]"", """"), 3) &amp; RIGHT(D238, 2) &amp; LEFT(REGEXREPLACE(C238, ""[^A-Za-z]"", """"), 3)"),"Str01IsT")</f>
        <v>Str01IsT</v>
      </c>
      <c r="B238" s="2" t="s">
        <v>566</v>
      </c>
      <c r="C238" s="1" t="s">
        <v>567</v>
      </c>
      <c r="D238" s="1">
        <v>2001.0</v>
      </c>
      <c r="E238" s="1">
        <v>2001.0</v>
      </c>
      <c r="F238" s="1" t="s">
        <v>153</v>
      </c>
      <c r="G238" s="1" t="s">
        <v>15</v>
      </c>
      <c r="H238" s="2" t="s">
        <v>207</v>
      </c>
      <c r="I238" s="1" t="s">
        <v>53</v>
      </c>
      <c r="J238" s="2" t="s">
        <v>18</v>
      </c>
      <c r="L238" s="1" t="str">
        <f t="array" ref="L238">XLOOKUP(D238,'Other Data Fuckery'!$A$2:$A$101, 'Other Data Fuckery'!$B$2:$B$101)</f>
        <v>2000s</v>
      </c>
    </row>
    <row r="239" ht="14.25" customHeight="1">
      <c r="A239" s="1" t="str">
        <f>IFERROR(__xludf.DUMMYFUNCTION("LEFT(REGEXREPLACE(B239, ""[^A-Za-z]"", """"), 3) &amp; RIGHT(D239, 2) &amp; LEFT(REGEXREPLACE(C239, ""[^A-Za-z]"", """"), 3)"),"Str03Roo")</f>
        <v>Str03Roo</v>
      </c>
      <c r="B239" s="2" t="s">
        <v>566</v>
      </c>
      <c r="C239" s="1" t="s">
        <v>568</v>
      </c>
      <c r="D239" s="1">
        <v>2003.0</v>
      </c>
      <c r="E239" s="1">
        <v>2003.0</v>
      </c>
      <c r="F239" s="1" t="s">
        <v>153</v>
      </c>
      <c r="G239" s="1" t="s">
        <v>15</v>
      </c>
      <c r="H239" s="2" t="s">
        <v>207</v>
      </c>
      <c r="I239" s="1" t="s">
        <v>53</v>
      </c>
      <c r="J239" s="2" t="s">
        <v>18</v>
      </c>
      <c r="L239" s="1" t="str">
        <f t="array" ref="L239">XLOOKUP(D239,'Other Data Fuckery'!$A$2:$A$101, 'Other Data Fuckery'!$B$2:$B$101)</f>
        <v>2000s</v>
      </c>
    </row>
    <row r="240" ht="14.25" customHeight="1">
      <c r="A240" s="1" t="str">
        <f>IFERROR(__xludf.DUMMYFUNCTION("LEFT(REGEXREPLACE(B240, ""[^A-Za-z]"", """"), 3) &amp; RIGHT(D240, 2) &amp; LEFT(REGEXREPLACE(C240, ""[^A-Za-z]"", """"), 3)"),"Sty22Har")</f>
        <v>Sty22Har</v>
      </c>
      <c r="B240" s="1" t="s">
        <v>569</v>
      </c>
      <c r="C240" s="1" t="s">
        <v>570</v>
      </c>
      <c r="D240" s="1">
        <v>2022.0</v>
      </c>
      <c r="E240" s="1">
        <v>2022.0</v>
      </c>
      <c r="F240" s="1" t="s">
        <v>165</v>
      </c>
      <c r="G240" s="1" t="s">
        <v>46</v>
      </c>
      <c r="H240" s="1" t="s">
        <v>46</v>
      </c>
      <c r="I240" s="1" t="s">
        <v>42</v>
      </c>
      <c r="J240" s="2" t="s">
        <v>24</v>
      </c>
      <c r="L240" s="1" t="str">
        <f t="array" ref="L240">XLOOKUP(D240,'Other Data Fuckery'!$A$2:$A$101, 'Other Data Fuckery'!$B$2:$B$101)</f>
        <v>2020s</v>
      </c>
    </row>
    <row r="241" ht="14.25" customHeight="1">
      <c r="A241" s="1" t="str">
        <f>IFERROR(__xludf.DUMMYFUNCTION("LEFT(REGEXREPLACE(B241, ""[^A-Za-z]"", """"), 3) &amp; RIGHT(D241, 2) &amp; LEFT(REGEXREPLACE(C241, ""[^A-Za-z]"", """"), 3)"),"Sup75Sup")</f>
        <v>Sup75Sup</v>
      </c>
      <c r="B241" s="2" t="s">
        <v>571</v>
      </c>
      <c r="C241" s="1" t="s">
        <v>572</v>
      </c>
      <c r="D241" s="1">
        <v>1975.0</v>
      </c>
      <c r="E241" s="1">
        <v>1975.0</v>
      </c>
      <c r="F241" s="1" t="s">
        <v>573</v>
      </c>
      <c r="G241" s="2" t="s">
        <v>75</v>
      </c>
      <c r="H241" s="2" t="s">
        <v>75</v>
      </c>
      <c r="I241" s="1" t="s">
        <v>53</v>
      </c>
      <c r="J241" s="2" t="s">
        <v>24</v>
      </c>
      <c r="L241" s="1" t="str">
        <f t="array" ref="L241">XLOOKUP(D241,'Other Data Fuckery'!$A$2:$A$101, 'Other Data Fuckery'!$B$2:$B$101)</f>
        <v>1970s</v>
      </c>
    </row>
    <row r="242" ht="14.25" customHeight="1">
      <c r="A242" s="1" t="str">
        <f>IFERROR(__xludf.DUMMYFUNCTION("LEFT(REGEXREPLACE(B242, ""[^A-Za-z]"", """"), 3) &amp; RIGHT(D242, 2) &amp; LEFT(REGEXREPLACE(C242, ""[^A-Za-z]"", """"), 3)"),"Swi24The")</f>
        <v>Swi24The</v>
      </c>
      <c r="B242" s="2" t="s">
        <v>574</v>
      </c>
      <c r="C242" s="2" t="s">
        <v>575</v>
      </c>
      <c r="D242" s="2">
        <v>2024.0</v>
      </c>
      <c r="E242" s="2">
        <v>2024.0</v>
      </c>
      <c r="F242" s="2" t="s">
        <v>576</v>
      </c>
      <c r="G242" s="2" t="s">
        <v>46</v>
      </c>
      <c r="H242" s="2" t="s">
        <v>46</v>
      </c>
      <c r="I242" s="2" t="s">
        <v>172</v>
      </c>
      <c r="J242" s="2" t="s">
        <v>24</v>
      </c>
      <c r="K242" s="2" t="s">
        <v>577</v>
      </c>
      <c r="L242" s="1" t="str">
        <f t="array" ref="L242">XLOOKUP(D242,'Other Data Fuckery'!$A$2:$A$101, 'Other Data Fuckery'!$B$2:$B$101)</f>
        <v>2020s</v>
      </c>
    </row>
    <row r="243" ht="14.25" customHeight="1">
      <c r="A243" s="1" t="str">
        <f>IFERROR(__xludf.DUMMYFUNCTION("LEFT(REGEXREPLACE(B243, ""[^A-Za-z]"", """"), 3) &amp; RIGHT(D243, 2) &amp; LEFT(REGEXREPLACE(C243, ""[^A-Za-z]"", """"), 3)"),"Swi23Tay")</f>
        <v>Swi23Tay</v>
      </c>
      <c r="B243" s="2" t="s">
        <v>574</v>
      </c>
      <c r="C243" s="2" t="s">
        <v>578</v>
      </c>
      <c r="D243" s="2">
        <v>2023.0</v>
      </c>
      <c r="E243" s="2">
        <v>2023.0</v>
      </c>
      <c r="F243" s="2" t="s">
        <v>576</v>
      </c>
      <c r="G243" s="2" t="s">
        <v>46</v>
      </c>
      <c r="H243" s="2" t="s">
        <v>46</v>
      </c>
      <c r="I243" s="2" t="s">
        <v>72</v>
      </c>
      <c r="J243" s="2" t="s">
        <v>24</v>
      </c>
      <c r="K243" s="2" t="s">
        <v>579</v>
      </c>
      <c r="L243" s="1" t="str">
        <f t="array" ref="L243">XLOOKUP(D243,'Other Data Fuckery'!$A$2:$A$101, 'Other Data Fuckery'!$B$2:$B$101)</f>
        <v>2020s</v>
      </c>
    </row>
    <row r="244" ht="14.25" customHeight="1">
      <c r="A244" s="2" t="s">
        <v>580</v>
      </c>
      <c r="B244" s="2" t="s">
        <v>574</v>
      </c>
      <c r="C244" s="4">
        <v>1989.0</v>
      </c>
      <c r="D244" s="2">
        <v>2014.0</v>
      </c>
      <c r="E244" s="2">
        <v>2014.0</v>
      </c>
      <c r="F244" s="2" t="s">
        <v>485</v>
      </c>
      <c r="G244" s="2" t="s">
        <v>46</v>
      </c>
      <c r="H244" s="2" t="s">
        <v>46</v>
      </c>
      <c r="I244" s="2" t="s">
        <v>172</v>
      </c>
      <c r="J244" s="2" t="s">
        <v>24</v>
      </c>
      <c r="L244" s="1" t="str">
        <f t="array" ref="L244">XLOOKUP(D244,'Other Data Fuckery'!$A$2:$A$101, 'Other Data Fuckery'!$B$2:$B$101)</f>
        <v>2010s</v>
      </c>
    </row>
    <row r="245" ht="14.25" customHeight="1">
      <c r="A245" s="1" t="str">
        <f>IFERROR(__xludf.DUMMYFUNCTION("LEFT(REGEXREPLACE(B245, ""[^A-Za-z]"", """"), 3) &amp; RIGHT(D245, 2) &amp; LEFT(REGEXREPLACE(C245, ""[^A-Za-z]"", """"), 3)"),"Tak02Tel")</f>
        <v>Tak02Tel</v>
      </c>
      <c r="B245" s="1" t="s">
        <v>581</v>
      </c>
      <c r="C245" s="1" t="s">
        <v>582</v>
      </c>
      <c r="D245" s="1">
        <v>2002.0</v>
      </c>
      <c r="E245" s="1">
        <v>2022.0</v>
      </c>
      <c r="F245" s="1" t="s">
        <v>347</v>
      </c>
      <c r="G245" s="1" t="s">
        <v>15</v>
      </c>
      <c r="H245" s="2" t="s">
        <v>16</v>
      </c>
      <c r="I245" s="1" t="s">
        <v>53</v>
      </c>
      <c r="J245" s="2" t="s">
        <v>18</v>
      </c>
      <c r="K245" s="1" t="s">
        <v>583</v>
      </c>
      <c r="L245" s="1" t="str">
        <f t="array" ref="L245">XLOOKUP(D245,'Other Data Fuckery'!$A$2:$A$101, 'Other Data Fuckery'!$B$2:$B$101)</f>
        <v>2000s</v>
      </c>
    </row>
    <row r="246" ht="14.25" customHeight="1">
      <c r="A246" s="1" t="str">
        <f>IFERROR(__xludf.DUMMYFUNCTION("LEFT(REGEXREPLACE(B246, ""[^A-Za-z]"", """"), 3) &amp; RIGHT(D246, 2) &amp; LEFT(REGEXREPLACE(C246, ""[^A-Za-z]"", """"), 3)"),"Tak09Lou")</f>
        <v>Tak09Lou</v>
      </c>
      <c r="B246" s="2" t="s">
        <v>581</v>
      </c>
      <c r="C246" s="2" t="s">
        <v>584</v>
      </c>
      <c r="D246" s="2">
        <v>2009.0</v>
      </c>
      <c r="E246" s="2">
        <v>2022.0</v>
      </c>
      <c r="F246" s="2" t="s">
        <v>347</v>
      </c>
      <c r="G246" s="2" t="s">
        <v>15</v>
      </c>
      <c r="H246" s="2" t="s">
        <v>16</v>
      </c>
      <c r="I246" s="2" t="s">
        <v>172</v>
      </c>
      <c r="J246" s="2" t="s">
        <v>18</v>
      </c>
      <c r="L246" s="1" t="str">
        <f t="array" ref="L246">XLOOKUP(D246,'Other Data Fuckery'!$A$2:$A$101, 'Other Data Fuckery'!$B$2:$B$101)</f>
        <v>2000s</v>
      </c>
    </row>
    <row r="247" ht="14.25" customHeight="1">
      <c r="A247" s="1" t="str">
        <f>IFERROR(__xludf.DUMMYFUNCTION("LEFT(REGEXREPLACE(B247, ""[^A-Za-z]"", """"), 3) &amp; RIGHT(D247, 2) &amp; LEFT(REGEXREPLACE(C247, ""[^A-Za-z]"", """"), 3)"),"Tam15Cur")</f>
        <v>Tam15Cur</v>
      </c>
      <c r="B247" s="1" t="s">
        <v>585</v>
      </c>
      <c r="C247" s="1" t="s">
        <v>586</v>
      </c>
      <c r="D247" s="1">
        <v>2015.0</v>
      </c>
      <c r="E247" s="1">
        <v>2015.0</v>
      </c>
      <c r="F247" s="1" t="s">
        <v>471</v>
      </c>
      <c r="G247" s="1" t="s">
        <v>15</v>
      </c>
      <c r="H247" s="2" t="s">
        <v>587</v>
      </c>
      <c r="I247" s="1" t="s">
        <v>53</v>
      </c>
      <c r="J247" s="2" t="s">
        <v>18</v>
      </c>
      <c r="L247" s="1" t="str">
        <f t="array" ref="L247">XLOOKUP(D247,'Other Data Fuckery'!$A$2:$A$101, 'Other Data Fuckery'!$B$2:$B$101)</f>
        <v>2010s</v>
      </c>
    </row>
    <row r="248" ht="14.25" customHeight="1">
      <c r="A248" s="1" t="str">
        <f>IFERROR(__xludf.DUMMYFUNCTION("LEFT(REGEXREPLACE(B248, ""[^A-Za-z]"", """"), 3) &amp; RIGHT(D248, 2) &amp; LEFT(REGEXREPLACE(C248, ""[^A-Za-z]"", """"), 3)"),"The16Hey")</f>
        <v>The16Hey</v>
      </c>
      <c r="B248" s="1" t="s">
        <v>588</v>
      </c>
      <c r="C248" s="1" t="s">
        <v>589</v>
      </c>
      <c r="D248" s="1">
        <v>2016.0</v>
      </c>
      <c r="E248" s="1">
        <v>2016.0</v>
      </c>
      <c r="F248" s="1" t="s">
        <v>590</v>
      </c>
      <c r="G248" s="2" t="s">
        <v>15</v>
      </c>
      <c r="H248" s="2" t="s">
        <v>268</v>
      </c>
      <c r="I248" s="1" t="s">
        <v>53</v>
      </c>
      <c r="J248" s="2" t="s">
        <v>24</v>
      </c>
      <c r="K248" s="1" t="s">
        <v>591</v>
      </c>
      <c r="L248" s="1" t="str">
        <f t="array" ref="L248">XLOOKUP(D248,'Other Data Fuckery'!$A$2:$A$101, 'Other Data Fuckery'!$B$2:$B$101)</f>
        <v>2010s</v>
      </c>
    </row>
    <row r="249" ht="14.25" customHeight="1">
      <c r="A249" s="1" t="str">
        <f>IFERROR(__xludf.DUMMYFUNCTION("LEFT(REGEXREPLACE(B249, ""[^A-Za-z]"", """"), 3) &amp; RIGHT(D249, 2) &amp; LEFT(REGEXREPLACE(C249, ""[^A-Za-z]"", """"), 3)"),"Thi76Jai")</f>
        <v>Thi76Jai</v>
      </c>
      <c r="B249" s="1" t="s">
        <v>592</v>
      </c>
      <c r="C249" s="1" t="s">
        <v>593</v>
      </c>
      <c r="D249" s="1">
        <v>1976.0</v>
      </c>
      <c r="E249" s="1">
        <v>2014.0</v>
      </c>
      <c r="F249" s="1" t="s">
        <v>594</v>
      </c>
      <c r="G249" s="1" t="s">
        <v>15</v>
      </c>
      <c r="H249" s="2" t="s">
        <v>35</v>
      </c>
      <c r="I249" s="1" t="s">
        <v>42</v>
      </c>
      <c r="J249" s="2" t="s">
        <v>18</v>
      </c>
      <c r="L249" s="1" t="str">
        <f t="array" ref="L249">XLOOKUP(D249,'Other Data Fuckery'!$A$2:$A$101, 'Other Data Fuckery'!$B$2:$B$101)</f>
        <v>1970s</v>
      </c>
    </row>
    <row r="250" ht="14.25" customHeight="1">
      <c r="A250" s="1" t="str">
        <f>IFERROR(__xludf.DUMMYFUNCTION("LEFT(REGEXREPLACE(B250, ""[^A-Za-z]"", """"), 3) &amp; RIGHT(D250, 2) &amp; LEFT(REGEXREPLACE(C250, ""[^A-Za-z]"", """"), 3)"),"Thi77Bad")</f>
        <v>Thi77Bad</v>
      </c>
      <c r="B250" s="1" t="s">
        <v>592</v>
      </c>
      <c r="C250" s="1" t="s">
        <v>595</v>
      </c>
      <c r="D250" s="1">
        <v>1977.0</v>
      </c>
      <c r="E250" s="1">
        <v>2014.0</v>
      </c>
      <c r="F250" s="1" t="s">
        <v>594</v>
      </c>
      <c r="G250" s="1" t="s">
        <v>15</v>
      </c>
      <c r="H250" s="2" t="s">
        <v>35</v>
      </c>
      <c r="I250" s="2" t="s">
        <v>42</v>
      </c>
      <c r="J250" s="2" t="s">
        <v>18</v>
      </c>
      <c r="L250" s="1" t="str">
        <f t="array" ref="L250">XLOOKUP(D250,'Other Data Fuckery'!$A$2:$A$101, 'Other Data Fuckery'!$B$2:$B$101)</f>
        <v>1970s</v>
      </c>
    </row>
    <row r="251" ht="14.25" customHeight="1">
      <c r="A251" s="1" t="str">
        <f>IFERROR(__xludf.DUMMYFUNCTION("LEFT(REGEXREPLACE(B251, ""[^A-Za-z]"", """"), 3) &amp; RIGHT(D251, 2) &amp; LEFT(REGEXREPLACE(C251, ""[^A-Za-z]"", """"), 3)"),"Thr02Ill")</f>
        <v>Thr02Ill</v>
      </c>
      <c r="B251" s="2" t="s">
        <v>596</v>
      </c>
      <c r="C251" s="2" t="s">
        <v>597</v>
      </c>
      <c r="D251" s="2">
        <v>2002.0</v>
      </c>
      <c r="E251" s="2">
        <v>2022.0</v>
      </c>
      <c r="F251" s="2" t="s">
        <v>598</v>
      </c>
      <c r="G251" s="2" t="s">
        <v>15</v>
      </c>
      <c r="H251" s="2" t="s">
        <v>16</v>
      </c>
      <c r="I251" s="2" t="s">
        <v>17</v>
      </c>
      <c r="J251" s="2" t="s">
        <v>18</v>
      </c>
      <c r="L251" s="1" t="str">
        <f t="array" ref="L251">XLOOKUP(D251,'Other Data Fuckery'!$A$2:$A$101, 'Other Data Fuckery'!$B$2:$B$101)</f>
        <v>2000s</v>
      </c>
    </row>
    <row r="252" ht="14.25" customHeight="1">
      <c r="A252" s="1" t="str">
        <f>IFERROR(__xludf.DUMMYFUNCTION("LEFT(REGEXREPLACE(B252, ""[^A-Za-z]"", """"), 3) &amp; RIGHT(D252, 2) &amp; LEFT(REGEXREPLACE(C252, ""[^A-Za-z]"", """"), 3)"),"Thr03The")</f>
        <v>Thr03The</v>
      </c>
      <c r="B252" s="2" t="s">
        <v>596</v>
      </c>
      <c r="C252" s="2" t="s">
        <v>599</v>
      </c>
      <c r="D252" s="2">
        <v>2003.0</v>
      </c>
      <c r="E252" s="2">
        <v>2023.0</v>
      </c>
      <c r="F252" s="2" t="s">
        <v>600</v>
      </c>
      <c r="G252" s="2" t="s">
        <v>15</v>
      </c>
      <c r="H252" s="2" t="s">
        <v>16</v>
      </c>
      <c r="I252" s="2" t="s">
        <v>53</v>
      </c>
      <c r="J252" s="2" t="s">
        <v>18</v>
      </c>
      <c r="L252" s="1" t="str">
        <f t="array" ref="L252">XLOOKUP(D252,'Other Data Fuckery'!$A$2:$A$101, 'Other Data Fuckery'!$B$2:$B$101)</f>
        <v>2000s</v>
      </c>
    </row>
    <row r="253" ht="14.25" customHeight="1">
      <c r="A253" s="1" t="str">
        <f>IFERROR(__xludf.DUMMYFUNCTION("LEFT(REGEXREPLACE(B253, ""[^A-Za-z]"", """"), 3) &amp; RIGHT(D253, 2) &amp; LEFT(REGEXREPLACE(C253, ""[^A-Za-z]"", """"), 3)"),"Thu22War")</f>
        <v>Thu22War</v>
      </c>
      <c r="B253" s="2" t="s">
        <v>601</v>
      </c>
      <c r="C253" s="2" t="s">
        <v>602</v>
      </c>
      <c r="D253" s="2">
        <v>2022.0</v>
      </c>
      <c r="E253" s="2">
        <v>2022.0</v>
      </c>
      <c r="F253" s="2" t="s">
        <v>603</v>
      </c>
      <c r="G253" s="2" t="s">
        <v>15</v>
      </c>
      <c r="H253" s="2" t="s">
        <v>16</v>
      </c>
      <c r="I253" s="2" t="s">
        <v>17</v>
      </c>
      <c r="J253" s="2" t="s">
        <v>18</v>
      </c>
      <c r="L253" s="1" t="str">
        <f t="array" ref="L253">XLOOKUP(D253,'Other Data Fuckery'!$A$2:$A$101, 'Other Data Fuckery'!$B$2:$B$101)</f>
        <v>2020s</v>
      </c>
    </row>
    <row r="254" ht="14.25" customHeight="1">
      <c r="A254" s="1" t="str">
        <f>IFERROR(__xludf.DUMMYFUNCTION("LEFT(REGEXREPLACE(B254, ""[^A-Za-z]"", """"), 3) &amp; RIGHT(D254, 2) &amp; LEFT(REGEXREPLACE(C254, ""[^A-Za-z]"", """"), 3)"),"TOT82IV")</f>
        <v>TOT82IV</v>
      </c>
      <c r="B254" s="1" t="s">
        <v>604</v>
      </c>
      <c r="C254" s="1" t="s">
        <v>402</v>
      </c>
      <c r="D254" s="1">
        <v>1982.0</v>
      </c>
      <c r="E254" s="1">
        <v>1982.0</v>
      </c>
      <c r="F254" s="1" t="s">
        <v>165</v>
      </c>
      <c r="G254" s="1" t="s">
        <v>15</v>
      </c>
      <c r="H254" s="2" t="s">
        <v>35</v>
      </c>
      <c r="I254" s="1" t="s">
        <v>154</v>
      </c>
      <c r="J254" s="2" t="s">
        <v>18</v>
      </c>
      <c r="L254" s="1" t="str">
        <f t="array" ref="L254">XLOOKUP(D254,'Other Data Fuckery'!$A$2:$A$101, 'Other Data Fuckery'!$B$2:$B$101)</f>
        <v>1980s</v>
      </c>
    </row>
    <row r="255" ht="14.25" customHeight="1">
      <c r="A255" s="1" t="str">
        <f>IFERROR(__xludf.DUMMYFUNCTION("LEFT(REGEXREPLACE(B255, ""[^A-Za-z]"", """"), 3) &amp; RIGHT(D255, 2) &amp; LEFT(REGEXREPLACE(C255, ""[^A-Za-z]"", """"), 3)"),"Twa97Com")</f>
        <v>Twa97Com</v>
      </c>
      <c r="B255" s="2" t="s">
        <v>605</v>
      </c>
      <c r="C255" s="2" t="s">
        <v>606</v>
      </c>
      <c r="D255" s="2">
        <v>1997.0</v>
      </c>
      <c r="E255" s="2">
        <v>2023.0</v>
      </c>
      <c r="F255" s="2" t="s">
        <v>607</v>
      </c>
      <c r="G255" s="2" t="s">
        <v>197</v>
      </c>
      <c r="H255" s="2" t="s">
        <v>472</v>
      </c>
      <c r="I255" s="2" t="s">
        <v>53</v>
      </c>
      <c r="J255" s="2" t="s">
        <v>24</v>
      </c>
      <c r="L255" s="1" t="str">
        <f t="array" ref="L255">XLOOKUP(D255,'Other Data Fuckery'!$A$2:$A$101, 'Other Data Fuckery'!$B$2:$B$101)</f>
        <v>1990s</v>
      </c>
    </row>
    <row r="256" ht="14.25" customHeight="1">
      <c r="A256" s="1" t="str">
        <f>IFERROR(__xludf.DUMMYFUNCTION("LEFT(REGEXREPLACE(B256, ""[^A-Za-z]"", """"), 3) &amp; RIGHT(D256, 2) &amp; LEFT(REGEXREPLACE(C256, ""[^A-Za-z]"", """"), 3)"),"Tyn77Inn")</f>
        <v>Tyn77Inn</v>
      </c>
      <c r="B256" s="1" t="s">
        <v>608</v>
      </c>
      <c r="C256" s="1" t="s">
        <v>609</v>
      </c>
      <c r="D256" s="1">
        <v>1977.0</v>
      </c>
      <c r="E256" s="1">
        <v>1977.0</v>
      </c>
      <c r="F256" s="1" t="s">
        <v>610</v>
      </c>
      <c r="G256" s="1" t="s">
        <v>29</v>
      </c>
      <c r="H256" s="1" t="s">
        <v>29</v>
      </c>
      <c r="I256" s="1" t="s">
        <v>96</v>
      </c>
      <c r="J256" s="2" t="s">
        <v>18</v>
      </c>
      <c r="L256" s="1" t="str">
        <f t="array" ref="L256">XLOOKUP(D256,'Other Data Fuckery'!$A$2:$A$101, 'Other Data Fuckery'!$B$2:$B$101)</f>
        <v>1970s</v>
      </c>
    </row>
    <row r="257" ht="14.25" customHeight="1">
      <c r="A257" s="1" t="str">
        <f>IFERROR(__xludf.DUMMYFUNCTION("LEFT(REGEXREPLACE(B257, ""[^A-Za-z]"", """"), 3) &amp; RIGHT(D257, 2) &amp; LEFT(REGEXREPLACE(C257, ""[^A-Za-z]"", """"), 3)"),"Tyn67The")</f>
        <v>Tyn67The</v>
      </c>
      <c r="B257" s="1" t="s">
        <v>608</v>
      </c>
      <c r="C257" s="1" t="s">
        <v>611</v>
      </c>
      <c r="D257" s="1">
        <v>1967.0</v>
      </c>
      <c r="E257" s="1">
        <v>2020.0</v>
      </c>
      <c r="F257" s="1" t="s">
        <v>28</v>
      </c>
      <c r="G257" s="1" t="s">
        <v>29</v>
      </c>
      <c r="H257" s="1" t="s">
        <v>29</v>
      </c>
      <c r="I257" s="1" t="s">
        <v>96</v>
      </c>
      <c r="J257" s="2" t="s">
        <v>18</v>
      </c>
      <c r="L257" s="1" t="str">
        <f t="array" ref="L257">XLOOKUP(D257,'Other Data Fuckery'!$A$2:$A$101, 'Other Data Fuckery'!$B$2:$B$101)</f>
        <v>1960s</v>
      </c>
    </row>
    <row r="258" ht="14.25" customHeight="1">
      <c r="A258" s="1" t="str">
        <f>IFERROR(__xludf.DUMMYFUNCTION("LEFT(REGEXREPLACE(B258, ""[^A-Za-z]"", """"), 3) &amp; RIGHT(D258, 2) &amp; LEFT(REGEXREPLACE(C258, ""[^A-Za-z]"", """"), 3)"),"Tyn68Exp")</f>
        <v>Tyn68Exp</v>
      </c>
      <c r="B258" s="1" t="s">
        <v>608</v>
      </c>
      <c r="C258" s="1" t="s">
        <v>612</v>
      </c>
      <c r="D258" s="1">
        <v>1968.0</v>
      </c>
      <c r="E258" s="1">
        <v>2021.0</v>
      </c>
      <c r="F258" s="1" t="s">
        <v>28</v>
      </c>
      <c r="G258" s="1" t="s">
        <v>29</v>
      </c>
      <c r="H258" s="1" t="s">
        <v>29</v>
      </c>
      <c r="I258" s="1" t="s">
        <v>96</v>
      </c>
      <c r="J258" s="2" t="s">
        <v>18</v>
      </c>
      <c r="L258" s="1" t="str">
        <f t="array" ref="L258">XLOOKUP(D258,'Other Data Fuckery'!$A$2:$A$101, 'Other Data Fuckery'!$B$2:$B$101)</f>
        <v>1960s</v>
      </c>
    </row>
    <row r="259" ht="14.25" customHeight="1">
      <c r="A259" s="1" t="str">
        <f>IFERROR(__xludf.DUMMYFUNCTION("LEFT(REGEXREPLACE(B259, ""[^A-Za-z]"", """"), 3) &amp; RIGHT(D259, 2) &amp; LEFT(REGEXREPLACE(C259, ""[^A-Za-z]"", """"), 3)"),"U19The")</f>
        <v>U19The</v>
      </c>
      <c r="B259" s="1" t="s">
        <v>613</v>
      </c>
      <c r="C259" s="1" t="s">
        <v>614</v>
      </c>
      <c r="D259" s="1">
        <v>2019.0</v>
      </c>
      <c r="E259" s="1">
        <v>2019.0</v>
      </c>
      <c r="F259" s="1" t="s">
        <v>615</v>
      </c>
      <c r="G259" s="1" t="s">
        <v>15</v>
      </c>
      <c r="H259" s="1" t="s">
        <v>15</v>
      </c>
      <c r="I259" s="1" t="s">
        <v>228</v>
      </c>
      <c r="J259" s="2" t="s">
        <v>24</v>
      </c>
      <c r="K259" s="1" t="s">
        <v>517</v>
      </c>
      <c r="L259" s="1" t="str">
        <f t="array" ref="L259">XLOOKUP(D259,'Other Data Fuckery'!$A$2:$A$101, 'Other Data Fuckery'!$B$2:$B$101)</f>
        <v>2010s</v>
      </c>
    </row>
    <row r="260" ht="14.25" customHeight="1">
      <c r="A260" s="1" t="str">
        <f>IFERROR(__xludf.DUMMYFUNCTION("LEFT(REGEXREPLACE(B260, ""[^A-Za-z]"", """"), 3) &amp; RIGHT(D260, 2) &amp; LEFT(REGEXREPLACE(C260, ""[^A-Za-z]"", """"), 3)"),"Van73Sky")</f>
        <v>Van73Sky</v>
      </c>
      <c r="B260" s="2" t="s">
        <v>616</v>
      </c>
      <c r="C260" s="2" t="s">
        <v>617</v>
      </c>
      <c r="D260" s="2">
        <v>1973.0</v>
      </c>
      <c r="E260" s="2">
        <v>2019.0</v>
      </c>
      <c r="F260" s="2" t="s">
        <v>618</v>
      </c>
      <c r="G260" s="2" t="s">
        <v>197</v>
      </c>
      <c r="H260" s="2" t="s">
        <v>201</v>
      </c>
      <c r="I260" s="2" t="s">
        <v>53</v>
      </c>
      <c r="J260" s="2" t="s">
        <v>18</v>
      </c>
      <c r="L260" s="1" t="str">
        <f t="array" ref="L260">XLOOKUP(D260,'Other Data Fuckery'!$A$2:$A$101, 'Other Data Fuckery'!$B$2:$B$101)</f>
        <v>1970s</v>
      </c>
    </row>
    <row r="261" ht="14.25" customHeight="1">
      <c r="A261" s="1" t="str">
        <f>IFERROR(__xludf.DUMMYFUNCTION("LEFT(REGEXREPLACE(B261, ""[^A-Za-z]"", """"), 3) &amp; RIGHT(D261, 2) &amp; LEFT(REGEXREPLACE(C261, ""[^A-Za-z]"", """"), 3)"),"Var80Jin")</f>
        <v>Var80Jin</v>
      </c>
      <c r="B261" s="2" t="s">
        <v>619</v>
      </c>
      <c r="C261" s="1" t="s">
        <v>620</v>
      </c>
      <c r="D261" s="1">
        <v>1980.0</v>
      </c>
      <c r="E261" s="1">
        <v>1980.0</v>
      </c>
      <c r="F261" s="1" t="s">
        <v>165</v>
      </c>
      <c r="G261" s="1" t="s">
        <v>29</v>
      </c>
      <c r="H261" s="1" t="s">
        <v>29</v>
      </c>
      <c r="I261" s="1" t="s">
        <v>96</v>
      </c>
      <c r="J261" s="2" t="s">
        <v>18</v>
      </c>
      <c r="L261" s="1" t="str">
        <f t="array" ref="L261">XLOOKUP(D261,'Other Data Fuckery'!$A$2:$A$101, 'Other Data Fuckery'!$B$2:$B$101)</f>
        <v>1980s</v>
      </c>
    </row>
    <row r="262" ht="14.25" customHeight="1">
      <c r="A262" s="1" t="str">
        <f>IFERROR(__xludf.DUMMYFUNCTION("LEFT(REGEXREPLACE(B262, ""[^A-Za-z]"", """"), 3) &amp; RIGHT(D262, 2) &amp; LEFT(REGEXREPLACE(C262, ""[^A-Za-z]"", """"), 3)"),"Wal14Tal")</f>
        <v>Wal14Tal</v>
      </c>
      <c r="B262" s="1" t="s">
        <v>621</v>
      </c>
      <c r="C262" s="1" t="s">
        <v>622</v>
      </c>
      <c r="D262" s="1">
        <v>2014.0</v>
      </c>
      <c r="E262" s="1">
        <v>2014.0</v>
      </c>
      <c r="F262" s="1" t="s">
        <v>153</v>
      </c>
      <c r="G262" s="2" t="s">
        <v>15</v>
      </c>
      <c r="H262" s="2" t="s">
        <v>623</v>
      </c>
      <c r="I262" s="1" t="s">
        <v>53</v>
      </c>
      <c r="J262" s="2" t="s">
        <v>24</v>
      </c>
      <c r="L262" s="1" t="str">
        <f t="array" ref="L262">XLOOKUP(D262,'Other Data Fuckery'!$A$2:$A$101, 'Other Data Fuckery'!$B$2:$B$101)</f>
        <v>2010s</v>
      </c>
    </row>
    <row r="263" ht="14.25" customHeight="1">
      <c r="A263" s="1" t="str">
        <f>IFERROR(__xludf.DUMMYFUNCTION("LEFT(REGEXREPLACE(B263, ""[^A-Za-z]"", """"), 3) &amp; RIGHT(D263, 2) &amp; LEFT(REGEXREPLACE(C263, ""[^A-Za-z]"", """"), 3)"),"War10Fut")</f>
        <v>War10Fut</v>
      </c>
      <c r="B263" s="2" t="s">
        <v>624</v>
      </c>
      <c r="C263" s="2" t="s">
        <v>625</v>
      </c>
      <c r="D263" s="2">
        <v>2010.0</v>
      </c>
      <c r="E263" s="2">
        <v>2010.0</v>
      </c>
      <c r="F263" s="2" t="s">
        <v>626</v>
      </c>
      <c r="G263" s="2" t="s">
        <v>15</v>
      </c>
      <c r="H263" s="2" t="s">
        <v>22</v>
      </c>
      <c r="I263" s="2" t="s">
        <v>53</v>
      </c>
      <c r="J263" s="2" t="s">
        <v>18</v>
      </c>
      <c r="L263" s="1" t="str">
        <f t="array" ref="L263">XLOOKUP(D263,'Other Data Fuckery'!$A$2:$A$101, 'Other Data Fuckery'!$B$2:$B$101)</f>
        <v>2010s</v>
      </c>
    </row>
    <row r="264" ht="14.25" customHeight="1">
      <c r="A264" s="1" t="str">
        <f>IFERROR(__xludf.DUMMYFUNCTION("LEFT(REGEXREPLACE(B264, ""[^A-Za-z]"", """"), 3) &amp; RIGHT(D264, 2) &amp; LEFT(REGEXREPLACE(C264, ""[^A-Za-z]"", """"), 3)"),"War14Los")</f>
        <v>War14Los</v>
      </c>
      <c r="B264" s="2" t="s">
        <v>624</v>
      </c>
      <c r="C264" s="2" t="s">
        <v>627</v>
      </c>
      <c r="D264" s="2">
        <v>2014.0</v>
      </c>
      <c r="E264" s="2">
        <v>2014.0</v>
      </c>
      <c r="F264" s="2" t="s">
        <v>626</v>
      </c>
      <c r="G264" s="2" t="s">
        <v>15</v>
      </c>
      <c r="H264" s="2" t="s">
        <v>22</v>
      </c>
      <c r="I264" s="2" t="s">
        <v>53</v>
      </c>
      <c r="J264" s="2" t="s">
        <v>18</v>
      </c>
      <c r="L264" s="1" t="str">
        <f t="array" ref="L264">XLOOKUP(D264,'Other Data Fuckery'!$A$2:$A$101, 'Other Data Fuckery'!$B$2:$B$101)</f>
        <v>2010s</v>
      </c>
    </row>
    <row r="265" ht="14.25" customHeight="1">
      <c r="A265" s="1" t="str">
        <f>IFERROR(__xludf.DUMMYFUNCTION("LEFT(REGEXREPLACE(B265, ""[^A-Za-z]"", """"), 3) &amp; RIGHT(D265, 2) &amp; LEFT(REGEXREPLACE(C265, ""[^A-Za-z]"", """"), 3)"),"Way16Pin")</f>
        <v>Way16Pin</v>
      </c>
      <c r="B265" s="1" t="s">
        <v>628</v>
      </c>
      <c r="C265" s="1" t="s">
        <v>629</v>
      </c>
      <c r="D265" s="1">
        <v>2016.0</v>
      </c>
      <c r="E265" s="1">
        <v>2016.0</v>
      </c>
      <c r="F265" s="1" t="s">
        <v>335</v>
      </c>
      <c r="G265" s="2" t="s">
        <v>15</v>
      </c>
      <c r="H265" s="2" t="s">
        <v>587</v>
      </c>
      <c r="I265" s="1" t="s">
        <v>53</v>
      </c>
      <c r="J265" s="2" t="s">
        <v>24</v>
      </c>
      <c r="K265" s="1" t="s">
        <v>591</v>
      </c>
      <c r="L265" s="1" t="str">
        <f t="array" ref="L265">XLOOKUP(D265,'Other Data Fuckery'!$A$2:$A$101, 'Other Data Fuckery'!$B$2:$B$101)</f>
        <v>2010s</v>
      </c>
    </row>
    <row r="266" ht="14.25" customHeight="1">
      <c r="A266" s="1" t="str">
        <f>IFERROR(__xludf.DUMMYFUNCTION("LEFT(REGEXREPLACE(B266, ""[^A-Za-z]"", """"), 3) &amp; RIGHT(D266, 2) &amp; LEFT(REGEXREPLACE(C266, ""[^A-Za-z]"", """"), 3)"),"Wea03Rec")</f>
        <v>Wea03Rec</v>
      </c>
      <c r="B266" s="2" t="s">
        <v>630</v>
      </c>
      <c r="C266" s="2" t="s">
        <v>631</v>
      </c>
      <c r="D266" s="2">
        <v>2003.0</v>
      </c>
      <c r="E266" s="2">
        <v>2003.0</v>
      </c>
      <c r="F266" s="2" t="s">
        <v>468</v>
      </c>
      <c r="G266" s="2" t="s">
        <v>15</v>
      </c>
      <c r="H266" s="2" t="s">
        <v>22</v>
      </c>
      <c r="I266" s="2" t="s">
        <v>265</v>
      </c>
      <c r="J266" s="2" t="s">
        <v>18</v>
      </c>
      <c r="L266" s="1" t="str">
        <f t="array" ref="L266">XLOOKUP(D266,'Other Data Fuckery'!$A$2:$A$101, 'Other Data Fuckery'!$B$2:$B$101)</f>
        <v>2000s</v>
      </c>
    </row>
    <row r="267" ht="14.25" customHeight="1">
      <c r="A267" s="1" t="str">
        <f>IFERROR(__xludf.DUMMYFUNCTION("LEFT(REGEXREPLACE(B267, ""[^A-Za-z]"", """"), 3) &amp; RIGHT(D267, 2) &amp; LEFT(REGEXREPLACE(C267, ""[^A-Za-z]"", """"), 3)"),"Wea77Hea")</f>
        <v>Wea77Hea</v>
      </c>
      <c r="B267" s="1" t="s">
        <v>632</v>
      </c>
      <c r="C267" s="1" t="s">
        <v>633</v>
      </c>
      <c r="D267" s="1">
        <v>1977.0</v>
      </c>
      <c r="E267" s="1">
        <v>1977.0</v>
      </c>
      <c r="F267" s="1" t="s">
        <v>165</v>
      </c>
      <c r="G267" s="1" t="s">
        <v>29</v>
      </c>
      <c r="H267" s="1" t="s">
        <v>29</v>
      </c>
      <c r="I267" s="1" t="s">
        <v>106</v>
      </c>
      <c r="J267" s="2" t="s">
        <v>18</v>
      </c>
      <c r="L267" s="1" t="str">
        <f t="array" ref="L267">XLOOKUP(D267,'Other Data Fuckery'!$A$2:$A$101, 'Other Data Fuckery'!$B$2:$B$101)</f>
        <v>1970s</v>
      </c>
    </row>
    <row r="268" ht="14.25" customHeight="1">
      <c r="A268" s="1" t="str">
        <f>IFERROR(__xludf.DUMMYFUNCTION("LEFT(REGEXREPLACE(B268, ""[^A-Za-z]"", """"), 3) &amp; RIGHT(D268, 2) &amp; LEFT(REGEXREPLACE(C268, ""[^A-Za-z]"", """"), 3)"),"Wil22yan")</f>
        <v>Wil22yan</v>
      </c>
      <c r="B268" s="1" t="s">
        <v>634</v>
      </c>
      <c r="C268" s="1" t="s">
        <v>635</v>
      </c>
      <c r="D268" s="1">
        <v>2022.0</v>
      </c>
      <c r="E268" s="1">
        <v>2022.0</v>
      </c>
      <c r="F268" s="1" t="s">
        <v>636</v>
      </c>
      <c r="G268" s="2" t="s">
        <v>15</v>
      </c>
      <c r="H268" s="2" t="s">
        <v>637</v>
      </c>
      <c r="I268" s="1" t="s">
        <v>216</v>
      </c>
      <c r="J268" s="2" t="s">
        <v>18</v>
      </c>
      <c r="L268" s="1" t="str">
        <f t="array" ref="L268">XLOOKUP(D268,'Other Data Fuckery'!$A$2:$A$101, 'Other Data Fuckery'!$B$2:$B$101)</f>
        <v>2020s</v>
      </c>
    </row>
    <row r="269" ht="14.25" customHeight="1">
      <c r="A269" s="1" t="str">
        <f>IFERROR(__xludf.DUMMYFUNCTION("LEFT(REGEXREPLACE(B269, ""[^A-Za-z]"", """"), 3) &amp; RIGHT(D269, 2) &amp; LEFT(REGEXREPLACE(C269, ""[^A-Za-z]"", """"), 3)"),"Wil07Sky")</f>
        <v>Wil07Sky</v>
      </c>
      <c r="B269" s="2" t="s">
        <v>634</v>
      </c>
      <c r="C269" s="2" t="s">
        <v>638</v>
      </c>
      <c r="D269" s="2">
        <v>2007.0</v>
      </c>
      <c r="E269" s="2">
        <v>2023.0</v>
      </c>
      <c r="F269" s="2" t="s">
        <v>636</v>
      </c>
      <c r="G269" s="2" t="s">
        <v>15</v>
      </c>
      <c r="H269" s="2" t="s">
        <v>637</v>
      </c>
      <c r="I269" s="2" t="s">
        <v>42</v>
      </c>
      <c r="J269" s="2" t="s">
        <v>18</v>
      </c>
      <c r="L269" s="1" t="str">
        <f t="array" ref="L269">XLOOKUP(D269,'Other Data Fuckery'!$A$2:$A$101, 'Other Data Fuckery'!$B$2:$B$101)</f>
        <v>2000s</v>
      </c>
    </row>
    <row r="270" ht="14.25" customHeight="1">
      <c r="A270" s="1" t="str">
        <f>IFERROR(__xludf.DUMMYFUNCTION("LEFT(REGEXREPLACE(B270, ""[^A-Za-z]"", """"), 3) &amp; RIGHT(D270, 2) &amp; LEFT(REGEXREPLACE(C270, ""[^A-Za-z]"", """"), 3)"),"Wil22The")</f>
        <v>Wil22The</v>
      </c>
      <c r="B270" s="2" t="s">
        <v>639</v>
      </c>
      <c r="C270" s="2" t="s">
        <v>640</v>
      </c>
      <c r="D270" s="2">
        <v>2022.0</v>
      </c>
      <c r="E270" s="2">
        <v>2022.0</v>
      </c>
      <c r="F270" s="2" t="s">
        <v>641</v>
      </c>
      <c r="G270" s="2" t="s">
        <v>75</v>
      </c>
      <c r="H270" s="2" t="s">
        <v>75</v>
      </c>
      <c r="I270" s="2" t="s">
        <v>42</v>
      </c>
      <c r="J270" s="2" t="s">
        <v>18</v>
      </c>
      <c r="L270" s="1" t="str">
        <f t="array" ref="L270">XLOOKUP(D270,'Other Data Fuckery'!$A$2:$A$101, 'Other Data Fuckery'!$B$2:$B$101)</f>
        <v>2020s</v>
      </c>
    </row>
    <row r="271" ht="14.25" customHeight="1">
      <c r="A271" s="1" t="str">
        <f>IFERROR(__xludf.DUMMYFUNCTION("LEFT(REGEXREPLACE(B271, ""[^A-Za-z]"", """"), 3) &amp; RIGHT(D271, 2) &amp; LEFT(REGEXREPLACE(C271, ""[^A-Za-z]"", """"), 3)"),"ZZT83Eli")</f>
        <v>ZZT83Eli</v>
      </c>
      <c r="B271" s="2" t="s">
        <v>642</v>
      </c>
      <c r="C271" s="2" t="s">
        <v>643</v>
      </c>
      <c r="D271" s="2">
        <v>1983.0</v>
      </c>
      <c r="E271" s="2">
        <v>1983.0</v>
      </c>
      <c r="F271" s="2" t="s">
        <v>61</v>
      </c>
      <c r="G271" s="2" t="s">
        <v>15</v>
      </c>
      <c r="H271" s="2" t="s">
        <v>35</v>
      </c>
      <c r="I271" s="2" t="s">
        <v>96</v>
      </c>
      <c r="J271" s="2" t="s">
        <v>18</v>
      </c>
      <c r="L271" s="1" t="str">
        <f t="array" ref="L271">XLOOKUP(D271,'Other Data Fuckery'!$A$2:$A$101, 'Other Data Fuckery'!$B$2:$B$101)</f>
        <v>1980s</v>
      </c>
    </row>
    <row r="272" ht="14.25" customHeight="1">
      <c r="A272" s="1" t="str">
        <f>IFERROR(__xludf.DUMMYFUNCTION("LEFT(REGEXREPLACE(B272, ""[^A-Za-z]"", """"), 3) &amp; RIGHT(D272, 2) &amp; LEFT(REGEXREPLACE(C272, ""[^A-Za-z]"", """"), 3)"),"Fur01the")</f>
        <v>Fur01the</v>
      </c>
      <c r="B272" s="2" t="s">
        <v>644</v>
      </c>
      <c r="C272" s="2" t="s">
        <v>645</v>
      </c>
      <c r="D272" s="2">
        <v>2001.0</v>
      </c>
      <c r="E272" s="2">
        <v>2022.0</v>
      </c>
      <c r="F272" s="2" t="s">
        <v>215</v>
      </c>
      <c r="G272" s="2" t="s">
        <v>15</v>
      </c>
      <c r="H272" s="2" t="s">
        <v>16</v>
      </c>
      <c r="L272" s="1" t="str">
        <f t="array" ref="L272">XLOOKUP(D272,'Other Data Fuckery'!$A$2:$A$101, 'Other Data Fuckery'!$B$2:$B$101)</f>
        <v>2000s</v>
      </c>
    </row>
    <row r="273" ht="14.25" customHeight="1">
      <c r="A273" s="1" t="str">
        <f>IFERROR(__xludf.DUMMYFUNCTION("LEFT(REGEXREPLACE(B273, ""[^A-Za-z]"", """"), 3) &amp; RIGHT(D273, 2) &amp; LEFT(REGEXREPLACE(C273, ""[^A-Za-z]"", """"), 3)"),"Acc05Pha")</f>
        <v>Acc05Pha</v>
      </c>
      <c r="B273" s="2" t="s">
        <v>646</v>
      </c>
      <c r="C273" s="2" t="s">
        <v>647</v>
      </c>
      <c r="D273" s="2">
        <v>2005.0</v>
      </c>
      <c r="E273" s="2">
        <v>2020.0</v>
      </c>
      <c r="F273" s="2" t="s">
        <v>648</v>
      </c>
      <c r="G273" s="2" t="s">
        <v>15</v>
      </c>
      <c r="H273" s="2" t="s">
        <v>16</v>
      </c>
      <c r="L273" s="1" t="str">
        <f t="array" ref="L273">XLOOKUP(D273,'Other Data Fuckery'!$A$2:$A$101, 'Other Data Fuckery'!$B$2:$B$101)</f>
        <v>2000s</v>
      </c>
    </row>
    <row r="274" ht="14.25" customHeight="1">
      <c r="A274" s="1" t="str">
        <f>IFERROR(__xludf.DUMMYFUNCTION("LEFT(REGEXREPLACE(B274, ""[^A-Za-z]"", """"), 3) &amp; RIGHT(D274, 2) &amp; LEFT(REGEXREPLACE(C274, ""[^A-Za-z]"", """"), 3)"),"Lor21Lon")</f>
        <v>Lor21Lon</v>
      </c>
      <c r="B274" s="2" t="s">
        <v>649</v>
      </c>
      <c r="C274" s="2" t="s">
        <v>650</v>
      </c>
      <c r="D274" s="2">
        <v>2021.0</v>
      </c>
      <c r="E274" s="5">
        <v>2021.0</v>
      </c>
      <c r="F274" s="2" t="s">
        <v>576</v>
      </c>
      <c r="G274" s="2" t="s">
        <v>197</v>
      </c>
      <c r="H274" s="2" t="s">
        <v>307</v>
      </c>
      <c r="L274" s="1" t="str">
        <f t="array" ref="L274">XLOOKUP(D274,'Other Data Fuckery'!$A$2:$A$101, 'Other Data Fuckery'!$B$2:$B$101)</f>
        <v>2020s</v>
      </c>
    </row>
    <row r="275" ht="14.25" customHeight="1">
      <c r="A275" s="1" t="str">
        <f>IFERROR(__xludf.DUMMYFUNCTION("LEFT(REGEXREPLACE(B275, ""[^A-Za-z]"", """"), 3) &amp; RIGHT(D275, 2) &amp; LEFT(REGEXREPLACE(C275, ""[^A-Za-z]"", """"), 3)"),"Dav22Wha")</f>
        <v>Dav22Wha</v>
      </c>
      <c r="B275" s="2" t="s">
        <v>235</v>
      </c>
      <c r="C275" s="2" t="s">
        <v>651</v>
      </c>
      <c r="D275" s="2">
        <v>2022.0</v>
      </c>
      <c r="E275" s="2">
        <v>2022.0</v>
      </c>
      <c r="F275" s="2" t="s">
        <v>165</v>
      </c>
      <c r="G275" s="2" t="s">
        <v>29</v>
      </c>
      <c r="I275" s="2" t="s">
        <v>652</v>
      </c>
      <c r="L275" s="1" t="str">
        <f t="array" ref="L275">XLOOKUP(D275,'Other Data Fuckery'!$A$2:$A$101, 'Other Data Fuckery'!$B$2:$B$101)</f>
        <v>2020s</v>
      </c>
    </row>
    <row r="276" ht="14.25" customHeight="1">
      <c r="A276" s="1" t="str">
        <f>IFERROR(__xludf.DUMMYFUNCTION("LEFT(REGEXREPLACE(B276, ""[^A-Za-z]"", """"), 3) &amp; RIGHT(D276, 2) &amp; LEFT(REGEXREPLACE(C276, ""[^A-Za-z]"", """"), 3)"),"Dis67Hap")</f>
        <v>Dis67Hap</v>
      </c>
      <c r="B276" s="2" t="s">
        <v>251</v>
      </c>
      <c r="C276" s="2" t="s">
        <v>653</v>
      </c>
      <c r="D276" s="2">
        <v>1967.0</v>
      </c>
      <c r="E276" s="2">
        <v>1967.0</v>
      </c>
      <c r="F276" s="2" t="s">
        <v>267</v>
      </c>
      <c r="G276" s="2" t="s">
        <v>204</v>
      </c>
      <c r="H276" s="2" t="s">
        <v>204</v>
      </c>
      <c r="I276" s="2" t="s">
        <v>652</v>
      </c>
      <c r="L276" s="1" t="str">
        <f t="array" ref="L276">XLOOKUP(D276,'Other Data Fuckery'!$A$2:$A$101, 'Other Data Fuckery'!$B$2:$B$101)</f>
        <v>1960s</v>
      </c>
    </row>
    <row r="277" ht="14.25" customHeight="1">
      <c r="A277" s="1" t="str">
        <f>IFERROR(__xludf.DUMMYFUNCTION("LEFT(REGEXREPLACE(B277, ""[^A-Za-z]"", """"), 3) &amp; RIGHT(D277, 2) &amp; LEFT(REGEXREPLACE(C277, ""[^A-Za-z]"", """"), 3)"),"Roa23The")</f>
        <v>Roa23The</v>
      </c>
      <c r="B277" s="2" t="s">
        <v>654</v>
      </c>
      <c r="C277" s="2" t="s">
        <v>655</v>
      </c>
      <c r="D277" s="2">
        <v>2023.0</v>
      </c>
      <c r="E277" s="2">
        <v>2023.0</v>
      </c>
      <c r="F277" s="2" t="s">
        <v>615</v>
      </c>
      <c r="G277" s="2" t="s">
        <v>46</v>
      </c>
      <c r="H277" s="2" t="s">
        <v>656</v>
      </c>
      <c r="I277" s="2" t="s">
        <v>657</v>
      </c>
      <c r="L277" s="1" t="str">
        <f t="array" ref="L277">XLOOKUP(D277,'Other Data Fuckery'!$A$2:$A$101, 'Other Data Fuckery'!$B$2:$B$101)</f>
        <v>2020s</v>
      </c>
    </row>
    <row r="278" ht="14.25" customHeight="1">
      <c r="A278" s="1" t="str">
        <f>IFERROR(__xludf.DUMMYFUNCTION("LEFT(REGEXREPLACE(B278, ""[^A-Za-z]"", """"), 3) &amp; RIGHT(D278, 2) &amp; LEFT(REGEXREPLACE(C278, ""[^A-Za-z]"", """"), 3)"),"")</f>
        <v/>
      </c>
      <c r="L278" s="1" t="str">
        <f t="array" ref="L278">XLOOKUP(D278,'Other Data Fuckery'!$A$2:$A$101, 'Other Data Fuckery'!$B$2:$B$101)</f>
        <v>#N/A</v>
      </c>
    </row>
    <row r="279" ht="14.25" customHeight="1">
      <c r="A279" s="1" t="str">
        <f>IFERROR(__xludf.DUMMYFUNCTION("LEFT(REGEXREPLACE(B279, ""[^A-Za-z]"", """"), 3) &amp; RIGHT(D279, 2) &amp; LEFT(REGEXREPLACE(C279, ""[^A-Za-z]"", """"), 3)"),"")</f>
        <v/>
      </c>
      <c r="L279" s="1" t="str">
        <f t="array" ref="L279">XLOOKUP(D279,'Other Data Fuckery'!$A$2:$A$101, 'Other Data Fuckery'!$B$2:$B$101)</f>
        <v>#N/A</v>
      </c>
    </row>
    <row r="280" ht="14.25" customHeight="1">
      <c r="A280" s="1" t="str">
        <f>IFERROR(__xludf.DUMMYFUNCTION("LEFT(REGEXREPLACE(B280, ""[^A-Za-z]"", """"), 3) &amp; RIGHT(D280, 2) &amp; LEFT(REGEXREPLACE(C280, ""[^A-Za-z]"", """"), 3)"),"")</f>
        <v/>
      </c>
      <c r="L280" s="1" t="str">
        <f t="array" ref="L280">XLOOKUP(D280,'Other Data Fuckery'!$A$2:$A$101, 'Other Data Fuckery'!$B$2:$B$101)</f>
        <v>#N/A</v>
      </c>
    </row>
    <row r="281" ht="14.25" customHeight="1">
      <c r="A281" s="1" t="str">
        <f>IFERROR(__xludf.DUMMYFUNCTION("LEFT(REGEXREPLACE(B281, ""[^A-Za-z]"", """"), 3) &amp; RIGHT(D281, 2) &amp; LEFT(REGEXREPLACE(C281, ""[^A-Za-z]"", """"), 3)"),"")</f>
        <v/>
      </c>
      <c r="L281" s="1" t="str">
        <f t="array" ref="L281">XLOOKUP(D281,'Other Data Fuckery'!$A$2:$A$101, 'Other Data Fuckery'!$B$2:$B$101)</f>
        <v>#N/A</v>
      </c>
    </row>
    <row r="282" ht="14.25" customHeight="1">
      <c r="A282" s="1" t="str">
        <f>IFERROR(__xludf.DUMMYFUNCTION("LEFT(REGEXREPLACE(B282, ""[^A-Za-z]"", """"), 3) &amp; RIGHT(D282, 2) &amp; LEFT(REGEXREPLACE(C282, ""[^A-Za-z]"", """"), 3)"),"")</f>
        <v/>
      </c>
      <c r="L282" s="1" t="str">
        <f t="array" ref="L282">XLOOKUP(D282,'Other Data Fuckery'!$A$2:$A$101, 'Other Data Fuckery'!$B$2:$B$101)</f>
        <v>#N/A</v>
      </c>
    </row>
    <row r="283" ht="14.25" customHeight="1">
      <c r="A283" s="1" t="str">
        <f>IFERROR(__xludf.DUMMYFUNCTION("LEFT(REGEXREPLACE(B283, ""[^A-Za-z]"", """"), 3) &amp; RIGHT(D283, 2) &amp; LEFT(REGEXREPLACE(C283, ""[^A-Za-z]"", """"), 3)"),"")</f>
        <v/>
      </c>
      <c r="L283" s="1" t="str">
        <f t="array" ref="L283">XLOOKUP(D283,'Other Data Fuckery'!$A$2:$A$101, 'Other Data Fuckery'!$B$2:$B$101)</f>
        <v>#N/A</v>
      </c>
    </row>
    <row r="284" ht="14.25" customHeight="1">
      <c r="A284" s="1" t="str">
        <f>IFERROR(__xludf.DUMMYFUNCTION("LEFT(REGEXREPLACE(B284, ""[^A-Za-z]"", """"), 3) &amp; RIGHT(D284, 2) &amp; LEFT(REGEXREPLACE(C284, ""[^A-Za-z]"", """"), 3)"),"")</f>
        <v/>
      </c>
      <c r="L284" s="1" t="str">
        <f t="array" ref="L284">XLOOKUP(D284,'Other Data Fuckery'!$A$2:$A$101, 'Other Data Fuckery'!$B$2:$B$101)</f>
        <v>#N/A</v>
      </c>
    </row>
    <row r="285" ht="14.25" customHeight="1">
      <c r="A285" s="1" t="str">
        <f>IFERROR(__xludf.DUMMYFUNCTION("LEFT(REGEXREPLACE(B285, ""[^A-Za-z]"", """"), 3) &amp; RIGHT(D285, 2) &amp; LEFT(REGEXREPLACE(C285, ""[^A-Za-z]"", """"), 3)"),"")</f>
        <v/>
      </c>
      <c r="L285" s="1" t="str">
        <f t="array" ref="L285">XLOOKUP(D285,'Other Data Fuckery'!$A$2:$A$101, 'Other Data Fuckery'!$B$2:$B$101)</f>
        <v>#N/A</v>
      </c>
    </row>
    <row r="286" ht="14.25" customHeight="1">
      <c r="A286" s="1" t="str">
        <f>IFERROR(__xludf.DUMMYFUNCTION("LEFT(REGEXREPLACE(B286, ""[^A-Za-z]"", """"), 3) &amp; RIGHT(D286, 2) &amp; LEFT(REGEXREPLACE(C286, ""[^A-Za-z]"", """"), 3)"),"")</f>
        <v/>
      </c>
      <c r="L286" s="1" t="str">
        <f t="array" ref="L286">XLOOKUP(D286,'Other Data Fuckery'!$A$2:$A$101, 'Other Data Fuckery'!$B$2:$B$101)</f>
        <v>#N/A</v>
      </c>
    </row>
    <row r="287" ht="14.25" customHeight="1">
      <c r="A287" s="1" t="str">
        <f>IFERROR(__xludf.DUMMYFUNCTION("LEFT(REGEXREPLACE(B287, ""[^A-Za-z]"", """"), 3) &amp; RIGHT(D287, 2) &amp; LEFT(REGEXREPLACE(C287, ""[^A-Za-z]"", """"), 3)"),"")</f>
        <v/>
      </c>
      <c r="L287" s="1" t="str">
        <f t="array" ref="L287">XLOOKUP(D287,'Other Data Fuckery'!$A$2:$A$101, 'Other Data Fuckery'!$B$2:$B$101)</f>
        <v>#N/A</v>
      </c>
    </row>
    <row r="288" ht="14.25" customHeight="1">
      <c r="A288" s="1" t="str">
        <f>IFERROR(__xludf.DUMMYFUNCTION("LEFT(REGEXREPLACE(B288, ""[^A-Za-z]"", """"), 3) &amp; RIGHT(D288, 2) &amp; LEFT(REGEXREPLACE(C288, ""[^A-Za-z]"", """"), 3)"),"")</f>
        <v/>
      </c>
      <c r="L288" s="1" t="str">
        <f t="array" ref="L288">XLOOKUP(D288,'Other Data Fuckery'!$A$2:$A$101, 'Other Data Fuckery'!$B$2:$B$101)</f>
        <v>#N/A</v>
      </c>
    </row>
    <row r="289" ht="14.25" customHeight="1">
      <c r="A289" s="1" t="str">
        <f>IFERROR(__xludf.DUMMYFUNCTION("LEFT(REGEXREPLACE(B289, ""[^A-Za-z]"", """"), 3) &amp; RIGHT(D289, 2) &amp; LEFT(REGEXREPLACE(C289, ""[^A-Za-z]"", """"), 3)"),"")</f>
        <v/>
      </c>
      <c r="L289" s="1" t="str">
        <f t="array" ref="L289">XLOOKUP(D289,'Other Data Fuckery'!$A$2:$A$101, 'Other Data Fuckery'!$B$2:$B$101)</f>
        <v>#N/A</v>
      </c>
    </row>
    <row r="290" ht="14.25" customHeight="1">
      <c r="A290" s="1" t="str">
        <f>IFERROR(__xludf.DUMMYFUNCTION("LEFT(REGEXREPLACE(B290, ""[^A-Za-z]"", """"), 3) &amp; RIGHT(D290, 2) &amp; LEFT(REGEXREPLACE(C290, ""[^A-Za-z]"", """"), 3)"),"")</f>
        <v/>
      </c>
      <c r="L290" s="1" t="str">
        <f t="array" ref="L290">XLOOKUP(D290,'Other Data Fuckery'!$A$2:$A$101, 'Other Data Fuckery'!$B$2:$B$101)</f>
        <v>#N/A</v>
      </c>
    </row>
    <row r="291" ht="14.25" customHeight="1">
      <c r="A291" s="1" t="str">
        <f>IFERROR(__xludf.DUMMYFUNCTION("LEFT(REGEXREPLACE(B291, ""[^A-Za-z]"", """"), 3) &amp; RIGHT(D291, 2) &amp; LEFT(REGEXREPLACE(C291, ""[^A-Za-z]"", """"), 3)"),"")</f>
        <v/>
      </c>
      <c r="L291" s="1" t="str">
        <f t="array" ref="L291">XLOOKUP(D291,'Other Data Fuckery'!$A$2:$A$101, 'Other Data Fuckery'!$B$2:$B$101)</f>
        <v>#N/A</v>
      </c>
    </row>
    <row r="292" ht="14.25" customHeight="1">
      <c r="A292" s="1" t="str">
        <f>IFERROR(__xludf.DUMMYFUNCTION("LEFT(REGEXREPLACE(B292, ""[^A-Za-z]"", """"), 3) &amp; RIGHT(D292, 2) &amp; LEFT(REGEXREPLACE(C292, ""[^A-Za-z]"", """"), 3)"),"")</f>
        <v/>
      </c>
      <c r="L292" s="1" t="str">
        <f t="array" ref="L292">XLOOKUP(D292,'Other Data Fuckery'!$A$2:$A$101, 'Other Data Fuckery'!$B$2:$B$101)</f>
        <v>#N/A</v>
      </c>
    </row>
    <row r="293" ht="14.25" customHeight="1">
      <c r="A293" s="1" t="str">
        <f>IFERROR(__xludf.DUMMYFUNCTION("LEFT(REGEXREPLACE(B293, ""[^A-Za-z]"", """"), 3) &amp; RIGHT(D293, 2) &amp; LEFT(REGEXREPLACE(C293, ""[^A-Za-z]"", """"), 3)"),"")</f>
        <v/>
      </c>
      <c r="L293" s="1" t="str">
        <f t="array" ref="L293">XLOOKUP(D293,'Other Data Fuckery'!$A$2:$A$101, 'Other Data Fuckery'!$B$2:$B$101)</f>
        <v>#N/A</v>
      </c>
    </row>
    <row r="294" ht="14.25" customHeight="1">
      <c r="A294" s="1" t="str">
        <f>IFERROR(__xludf.DUMMYFUNCTION("LEFT(REGEXREPLACE(B294, ""[^A-Za-z]"", """"), 3) &amp; RIGHT(D294, 2) &amp; LEFT(REGEXREPLACE(C294, ""[^A-Za-z]"", """"), 3)"),"")</f>
        <v/>
      </c>
      <c r="L294" s="1" t="str">
        <f t="array" ref="L294">XLOOKUP(D294,'Other Data Fuckery'!$A$2:$A$101, 'Other Data Fuckery'!$B$2:$B$101)</f>
        <v>#N/A</v>
      </c>
    </row>
    <row r="295" ht="14.25" customHeight="1">
      <c r="A295" s="1" t="str">
        <f>IFERROR(__xludf.DUMMYFUNCTION("LEFT(REGEXREPLACE(B295, ""[^A-Za-z]"", """"), 3) &amp; RIGHT(D295, 2) &amp; LEFT(REGEXREPLACE(C295, ""[^A-Za-z]"", """"), 3)"),"")</f>
        <v/>
      </c>
      <c r="L295" s="1" t="str">
        <f t="array" ref="L295">XLOOKUP(D295,'Other Data Fuckery'!$A$2:$A$101, 'Other Data Fuckery'!$B$2:$B$101)</f>
        <v>#N/A</v>
      </c>
    </row>
    <row r="296" ht="14.25" customHeight="1">
      <c r="A296" s="1" t="str">
        <f>IFERROR(__xludf.DUMMYFUNCTION("LEFT(REGEXREPLACE(B296, ""[^A-Za-z]"", """"), 3) &amp; RIGHT(D296, 2) &amp; LEFT(REGEXREPLACE(C296, ""[^A-Za-z]"", """"), 3)"),"")</f>
        <v/>
      </c>
      <c r="L296" s="1" t="str">
        <f t="array" ref="L296">XLOOKUP(D296,'Other Data Fuckery'!$A$2:$A$101, 'Other Data Fuckery'!$B$2:$B$101)</f>
        <v>#N/A</v>
      </c>
    </row>
    <row r="297" ht="14.25" customHeight="1">
      <c r="A297" s="1" t="str">
        <f>IFERROR(__xludf.DUMMYFUNCTION("LEFT(REGEXREPLACE(B297, ""[^A-Za-z]"", """"), 3) &amp; RIGHT(D297, 2) &amp; LEFT(REGEXREPLACE(C297, ""[^A-Za-z]"", """"), 3)"),"")</f>
        <v/>
      </c>
      <c r="L297" s="1" t="str">
        <f t="array" ref="L297">XLOOKUP(D297,'Other Data Fuckery'!$A$2:$A$101, 'Other Data Fuckery'!$B$2:$B$101)</f>
        <v>#N/A</v>
      </c>
    </row>
    <row r="298" ht="14.25" customHeight="1">
      <c r="A298" s="1" t="str">
        <f>IFERROR(__xludf.DUMMYFUNCTION("LEFT(REGEXREPLACE(B298, ""[^A-Za-z]"", """"), 3) &amp; RIGHT(D298, 2) &amp; LEFT(REGEXREPLACE(C298, ""[^A-Za-z]"", """"), 3)"),"")</f>
        <v/>
      </c>
      <c r="L298" s="1" t="str">
        <f t="array" ref="L298">XLOOKUP(D298,'Other Data Fuckery'!$A$2:$A$101, 'Other Data Fuckery'!$B$2:$B$101)</f>
        <v>#N/A</v>
      </c>
    </row>
    <row r="299" ht="14.25" customHeight="1">
      <c r="A299" s="1" t="str">
        <f>IFERROR(__xludf.DUMMYFUNCTION("LEFT(REGEXREPLACE(B299, ""[^A-Za-z]"", """"), 3) &amp; RIGHT(D299, 2) &amp; LEFT(REGEXREPLACE(C299, ""[^A-Za-z]"", """"), 3)"),"")</f>
        <v/>
      </c>
      <c r="L299" s="1" t="str">
        <f t="array" ref="L299">XLOOKUP(D299,'Other Data Fuckery'!$A$2:$A$101, 'Other Data Fuckery'!$B$2:$B$101)</f>
        <v>#N/A</v>
      </c>
    </row>
    <row r="300" ht="14.25" customHeight="1">
      <c r="A300" s="1" t="str">
        <f>IFERROR(__xludf.DUMMYFUNCTION("LEFT(REGEXREPLACE(B300, ""[^A-Za-z]"", """"), 3) &amp; RIGHT(D300, 2) &amp; LEFT(REGEXREPLACE(C300, ""[^A-Za-z]"", """"), 3)"),"")</f>
        <v/>
      </c>
      <c r="L300" s="1" t="str">
        <f t="array" ref="L300">XLOOKUP(D300,'Other Data Fuckery'!$A$2:$A$101, 'Other Data Fuckery'!$B$2:$B$101)</f>
        <v>#N/A</v>
      </c>
    </row>
    <row r="301" ht="14.25" customHeight="1">
      <c r="A301" s="1" t="str">
        <f>IFERROR(__xludf.DUMMYFUNCTION("LEFT(REGEXREPLACE(B301, ""[^A-Za-z]"", """"), 3) &amp; RIGHT(D301, 2) &amp; LEFT(REGEXREPLACE(C301, ""[^A-Za-z]"", """"), 3)"),"")</f>
        <v/>
      </c>
      <c r="L301" s="1" t="str">
        <f t="array" ref="L301">XLOOKUP(D301,'Other Data Fuckery'!$A$2:$A$101, 'Other Data Fuckery'!$B$2:$B$101)</f>
        <v>#N/A</v>
      </c>
    </row>
    <row r="302" ht="14.25" customHeight="1">
      <c r="A302" s="1" t="str">
        <f>IFERROR(__xludf.DUMMYFUNCTION("LEFT(REGEXREPLACE(B302, ""[^A-Za-z]"", """"), 3) &amp; RIGHT(D302, 2) &amp; LEFT(REGEXREPLACE(C302, ""[^A-Za-z]"", """"), 3)"),"")</f>
        <v/>
      </c>
      <c r="L302" s="1" t="str">
        <f t="array" ref="L302">XLOOKUP(D302,'Other Data Fuckery'!$A$2:$A$101, 'Other Data Fuckery'!$B$2:$B$101)</f>
        <v>#N/A</v>
      </c>
    </row>
    <row r="303" ht="14.25" customHeight="1">
      <c r="A303" s="1" t="str">
        <f>IFERROR(__xludf.DUMMYFUNCTION("LEFT(REGEXREPLACE(B303, ""[^A-Za-z]"", """"), 3) &amp; RIGHT(D303, 2) &amp; LEFT(REGEXREPLACE(C303, ""[^A-Za-z]"", """"), 3)"),"")</f>
        <v/>
      </c>
      <c r="L303" s="1" t="str">
        <f t="array" ref="L303">XLOOKUP(D303,'Other Data Fuckery'!$A$2:$A$101, 'Other Data Fuckery'!$B$2:$B$101)</f>
        <v>#N/A</v>
      </c>
    </row>
    <row r="304" ht="14.25" customHeight="1">
      <c r="A304" s="1" t="str">
        <f>IFERROR(__xludf.DUMMYFUNCTION("LEFT(REGEXREPLACE(B304, ""[^A-Za-z]"", """"), 3) &amp; RIGHT(D304, 2) &amp; LEFT(REGEXREPLACE(C304, ""[^A-Za-z]"", """"), 3)"),"")</f>
        <v/>
      </c>
      <c r="L304" s="1" t="str">
        <f t="array" ref="L304">XLOOKUP(D304,'Other Data Fuckery'!$A$2:$A$101, 'Other Data Fuckery'!$B$2:$B$101)</f>
        <v>#N/A</v>
      </c>
    </row>
    <row r="305" ht="14.25" customHeight="1">
      <c r="A305" s="1" t="str">
        <f>IFERROR(__xludf.DUMMYFUNCTION("LEFT(REGEXREPLACE(B305, ""[^A-Za-z]"", """"), 3) &amp; RIGHT(D305, 2) &amp; LEFT(REGEXREPLACE(C305, ""[^A-Za-z]"", """"), 3)"),"")</f>
        <v/>
      </c>
      <c r="L305" s="1" t="str">
        <f t="array" ref="L305">XLOOKUP(D305,'Other Data Fuckery'!$A$2:$A$101, 'Other Data Fuckery'!$B$2:$B$101)</f>
        <v>#N/A</v>
      </c>
    </row>
    <row r="306" ht="14.25" customHeight="1">
      <c r="A306" s="1" t="str">
        <f>IFERROR(__xludf.DUMMYFUNCTION("LEFT(REGEXREPLACE(B306, ""[^A-Za-z]"", """"), 3) &amp; RIGHT(D306, 2) &amp; LEFT(REGEXREPLACE(C306, ""[^A-Za-z]"", """"), 3)"),"")</f>
        <v/>
      </c>
      <c r="L306" s="1" t="str">
        <f t="array" ref="L306">XLOOKUP(D306,'Other Data Fuckery'!$A$2:$A$101, 'Other Data Fuckery'!$B$2:$B$101)</f>
        <v>#N/A</v>
      </c>
    </row>
    <row r="307" ht="14.25" customHeight="1">
      <c r="A307" s="1" t="str">
        <f>IFERROR(__xludf.DUMMYFUNCTION("LEFT(REGEXREPLACE(B307, ""[^A-Za-z]"", """"), 3) &amp; RIGHT(D307, 2) &amp; LEFT(REGEXREPLACE(C307, ""[^A-Za-z]"", """"), 3)"),"")</f>
        <v/>
      </c>
      <c r="L307" s="1" t="str">
        <f t="array" ref="L307">XLOOKUP(D307,'Other Data Fuckery'!$A$2:$A$101, 'Other Data Fuckery'!$B$2:$B$101)</f>
        <v>#N/A</v>
      </c>
    </row>
    <row r="308" ht="14.25" customHeight="1">
      <c r="A308" s="1" t="str">
        <f>IFERROR(__xludf.DUMMYFUNCTION("LEFT(REGEXREPLACE(B308, ""[^A-Za-z]"", """"), 3) &amp; RIGHT(D308, 2) &amp; LEFT(REGEXREPLACE(C308, ""[^A-Za-z]"", """"), 3)"),"")</f>
        <v/>
      </c>
      <c r="L308" s="1" t="str">
        <f t="array" ref="L308">XLOOKUP(D308,'Other Data Fuckery'!$A$2:$A$101, 'Other Data Fuckery'!$B$2:$B$101)</f>
        <v>#N/A</v>
      </c>
    </row>
    <row r="309" ht="14.25" customHeight="1">
      <c r="A309" s="1" t="str">
        <f>IFERROR(__xludf.DUMMYFUNCTION("LEFT(REGEXREPLACE(B309, ""[^A-Za-z]"", """"), 3) &amp; RIGHT(D309, 2) &amp; LEFT(REGEXREPLACE(C309, ""[^A-Za-z]"", """"), 3)"),"")</f>
        <v/>
      </c>
      <c r="L309" s="1" t="str">
        <f t="array" ref="L309">XLOOKUP(D309,'Other Data Fuckery'!$A$2:$A$101, 'Other Data Fuckery'!$B$2:$B$101)</f>
        <v>#N/A</v>
      </c>
    </row>
    <row r="310" ht="14.25" customHeight="1">
      <c r="A310" s="1" t="str">
        <f>IFERROR(__xludf.DUMMYFUNCTION("LEFT(REGEXREPLACE(B310, ""[^A-Za-z]"", """"), 3) &amp; RIGHT(D310, 2) &amp; LEFT(REGEXREPLACE(C310, ""[^A-Za-z]"", """"), 3)"),"")</f>
        <v/>
      </c>
      <c r="L310" s="1" t="str">
        <f t="array" ref="L310">XLOOKUP(D310,'Other Data Fuckery'!$A$2:$A$101, 'Other Data Fuckery'!$B$2:$B$101)</f>
        <v>#N/A</v>
      </c>
    </row>
    <row r="311" ht="14.25" customHeight="1">
      <c r="A311" s="1" t="str">
        <f>IFERROR(__xludf.DUMMYFUNCTION("LEFT(REGEXREPLACE(B311, ""[^A-Za-z]"", """"), 3) &amp; RIGHT(D311, 2) &amp; LEFT(REGEXREPLACE(C311, ""[^A-Za-z]"", """"), 3)"),"")</f>
        <v/>
      </c>
      <c r="L311" s="1" t="str">
        <f t="array" ref="L311">XLOOKUP(D311,'Other Data Fuckery'!$A$2:$A$101, 'Other Data Fuckery'!$B$2:$B$101)</f>
        <v>#N/A</v>
      </c>
    </row>
    <row r="312" ht="14.25" customHeight="1">
      <c r="A312" s="1" t="str">
        <f>IFERROR(__xludf.DUMMYFUNCTION("LEFT(REGEXREPLACE(B312, ""[^A-Za-z]"", """"), 3) &amp; RIGHT(D312, 2) &amp; LEFT(REGEXREPLACE(C312, ""[^A-Za-z]"", """"), 3)"),"")</f>
        <v/>
      </c>
      <c r="L312" s="1" t="str">
        <f t="array" ref="L312">XLOOKUP(D312,'Other Data Fuckery'!$A$2:$A$101, 'Other Data Fuckery'!$B$2:$B$101)</f>
        <v>#N/A</v>
      </c>
    </row>
    <row r="313" ht="14.25" customHeight="1">
      <c r="A313" s="1" t="str">
        <f>IFERROR(__xludf.DUMMYFUNCTION("LEFT(REGEXREPLACE(B313, ""[^A-Za-z]"", """"), 3) &amp; RIGHT(D313, 2) &amp; LEFT(REGEXREPLACE(C313, ""[^A-Za-z]"", """"), 3)"),"")</f>
        <v/>
      </c>
      <c r="L313" s="1" t="str">
        <f t="array" ref="L313">XLOOKUP(D313,'Other Data Fuckery'!$A$2:$A$101, 'Other Data Fuckery'!$B$2:$B$101)</f>
        <v>#N/A</v>
      </c>
    </row>
    <row r="314" ht="14.25" customHeight="1">
      <c r="A314" s="1" t="str">
        <f>IFERROR(__xludf.DUMMYFUNCTION("LEFT(REGEXREPLACE(B314, ""[^A-Za-z]"", """"), 3) &amp; RIGHT(D314, 2) &amp; LEFT(REGEXREPLACE(C314, ""[^A-Za-z]"", """"), 3)"),"")</f>
        <v/>
      </c>
      <c r="L314" s="1" t="str">
        <f t="array" ref="L314">XLOOKUP(D314,'Other Data Fuckery'!$A$2:$A$101, 'Other Data Fuckery'!$B$2:$B$101)</f>
        <v>#N/A</v>
      </c>
    </row>
    <row r="315" ht="14.25" customHeight="1">
      <c r="A315" s="1" t="str">
        <f>IFERROR(__xludf.DUMMYFUNCTION("LEFT(REGEXREPLACE(B315, ""[^A-Za-z]"", """"), 3) &amp; RIGHT(D315, 2) &amp; LEFT(REGEXREPLACE(C315, ""[^A-Za-z]"", """"), 3)"),"")</f>
        <v/>
      </c>
      <c r="L315" s="1" t="str">
        <f t="array" ref="L315">XLOOKUP(D315,'Other Data Fuckery'!$A$2:$A$101, 'Other Data Fuckery'!$B$2:$B$101)</f>
        <v>#N/A</v>
      </c>
    </row>
    <row r="316" ht="14.25" customHeight="1">
      <c r="A316" s="1" t="str">
        <f>IFERROR(__xludf.DUMMYFUNCTION("LEFT(REGEXREPLACE(B316, ""[^A-Za-z]"", """"), 3) &amp; RIGHT(D316, 2) &amp; LEFT(REGEXREPLACE(C316, ""[^A-Za-z]"", """"), 3)"),"")</f>
        <v/>
      </c>
      <c r="L316" s="1" t="str">
        <f t="array" ref="L316">XLOOKUP(D316,'Other Data Fuckery'!$A$2:$A$101, 'Other Data Fuckery'!$B$2:$B$101)</f>
        <v>#N/A</v>
      </c>
    </row>
    <row r="317" ht="14.25" customHeight="1">
      <c r="A317" s="1" t="str">
        <f>IFERROR(__xludf.DUMMYFUNCTION("LEFT(REGEXREPLACE(B317, ""[^A-Za-z]"", """"), 3) &amp; RIGHT(D317, 2) &amp; LEFT(REGEXREPLACE(C317, ""[^A-Za-z]"", """"), 3)"),"")</f>
        <v/>
      </c>
      <c r="L317" s="1" t="str">
        <f t="array" ref="L317">XLOOKUP(D317,'Other Data Fuckery'!$A$2:$A$101, 'Other Data Fuckery'!$B$2:$B$101)</f>
        <v>#N/A</v>
      </c>
    </row>
    <row r="318" ht="14.25" customHeight="1">
      <c r="A318" s="1" t="str">
        <f>IFERROR(__xludf.DUMMYFUNCTION("LEFT(REGEXREPLACE(B318, ""[^A-Za-z]"", """"), 3) &amp; RIGHT(D318, 2) &amp; LEFT(REGEXREPLACE(C318, ""[^A-Za-z]"", """"), 3)"),"")</f>
        <v/>
      </c>
      <c r="L318" s="1" t="str">
        <f t="array" ref="L318">XLOOKUP(D318,'Other Data Fuckery'!$A$2:$A$101, 'Other Data Fuckery'!$B$2:$B$101)</f>
        <v>#N/A</v>
      </c>
    </row>
    <row r="319" ht="14.25" customHeight="1">
      <c r="A319" s="1" t="str">
        <f>IFERROR(__xludf.DUMMYFUNCTION("LEFT(REGEXREPLACE(B319, ""[^A-Za-z]"", """"), 3) &amp; RIGHT(D319, 2) &amp; LEFT(REGEXREPLACE(C319, ""[^A-Za-z]"", """"), 3)"),"")</f>
        <v/>
      </c>
      <c r="L319" s="1" t="str">
        <f t="array" ref="L319">XLOOKUP(D319,'Other Data Fuckery'!$A$2:$A$101, 'Other Data Fuckery'!$B$2:$B$101)</f>
        <v>#N/A</v>
      </c>
    </row>
    <row r="320" ht="14.25" customHeight="1">
      <c r="A320" s="1" t="str">
        <f>IFERROR(__xludf.DUMMYFUNCTION("LEFT(REGEXREPLACE(B320, ""[^A-Za-z]"", """"), 3) &amp; RIGHT(D320, 2) &amp; LEFT(REGEXREPLACE(C320, ""[^A-Za-z]"", """"), 3)"),"")</f>
        <v/>
      </c>
      <c r="L320" s="1" t="str">
        <f t="array" ref="L320">XLOOKUP(D320,'Other Data Fuckery'!$A$2:$A$101, 'Other Data Fuckery'!$B$2:$B$101)</f>
        <v>#N/A</v>
      </c>
    </row>
    <row r="321" ht="14.25" customHeight="1">
      <c r="A321" s="1" t="str">
        <f>IFERROR(__xludf.DUMMYFUNCTION("LEFT(REGEXREPLACE(B321, ""[^A-Za-z]"", """"), 3) &amp; RIGHT(D321, 2) &amp; LEFT(REGEXREPLACE(C321, ""[^A-Za-z]"", """"), 3)"),"")</f>
        <v/>
      </c>
      <c r="L321" s="1" t="str">
        <f t="array" ref="L321">XLOOKUP(D321,'Other Data Fuckery'!$A$2:$A$101, 'Other Data Fuckery'!$B$2:$B$101)</f>
        <v>#N/A</v>
      </c>
    </row>
    <row r="322" ht="14.25" customHeight="1">
      <c r="A322" s="1" t="str">
        <f>IFERROR(__xludf.DUMMYFUNCTION("LEFT(REGEXREPLACE(B322, ""[^A-Za-z]"", """"), 3) &amp; RIGHT(D322, 2) &amp; LEFT(REGEXREPLACE(C322, ""[^A-Za-z]"", """"), 3)"),"")</f>
        <v/>
      </c>
      <c r="L322" s="1" t="str">
        <f t="array" ref="L322">XLOOKUP(D322,'Other Data Fuckery'!$A$2:$A$101, 'Other Data Fuckery'!$B$2:$B$101)</f>
        <v>#N/A</v>
      </c>
    </row>
    <row r="323" ht="14.25" customHeight="1">
      <c r="A323" s="1" t="str">
        <f>IFERROR(__xludf.DUMMYFUNCTION("LEFT(REGEXREPLACE(B323, ""[^A-Za-z]"", """"), 3) &amp; RIGHT(D323, 2) &amp; LEFT(REGEXREPLACE(C323, ""[^A-Za-z]"", """"), 3)"),"")</f>
        <v/>
      </c>
      <c r="L323" s="1" t="str">
        <f t="array" ref="L323">XLOOKUP(D323,'Other Data Fuckery'!$A$2:$A$101, 'Other Data Fuckery'!$B$2:$B$101)</f>
        <v>#N/A</v>
      </c>
    </row>
    <row r="324" ht="14.25" customHeight="1">
      <c r="A324" s="1" t="str">
        <f>IFERROR(__xludf.DUMMYFUNCTION("LEFT(REGEXREPLACE(B324, ""[^A-Za-z]"", """"), 3) &amp; RIGHT(D324, 2) &amp; LEFT(REGEXREPLACE(C324, ""[^A-Za-z]"", """"), 3)"),"")</f>
        <v/>
      </c>
      <c r="L324" s="1" t="str">
        <f t="array" ref="L324">XLOOKUP(D324,'Other Data Fuckery'!$A$2:$A$101, 'Other Data Fuckery'!$B$2:$B$101)</f>
        <v>#N/A</v>
      </c>
    </row>
    <row r="325" ht="14.25" customHeight="1">
      <c r="A325" s="1" t="str">
        <f>IFERROR(__xludf.DUMMYFUNCTION("LEFT(REGEXREPLACE(B325, ""[^A-Za-z]"", """"), 3) &amp; RIGHT(D325, 2) &amp; LEFT(REGEXREPLACE(C325, ""[^A-Za-z]"", """"), 3)"),"")</f>
        <v/>
      </c>
      <c r="L325" s="1" t="str">
        <f t="array" ref="L325">XLOOKUP(D325,'Other Data Fuckery'!$A$2:$A$101, 'Other Data Fuckery'!$B$2:$B$101)</f>
        <v>#N/A</v>
      </c>
    </row>
    <row r="326" ht="14.25" customHeight="1">
      <c r="A326" s="1" t="str">
        <f>IFERROR(__xludf.DUMMYFUNCTION("LEFT(REGEXREPLACE(B326, ""[^A-Za-z]"", """"), 3) &amp; RIGHT(D326, 2) &amp; LEFT(REGEXREPLACE(C326, ""[^A-Za-z]"", """"), 3)"),"")</f>
        <v/>
      </c>
      <c r="L326" s="1" t="str">
        <f t="array" ref="L326">XLOOKUP(D326,'Other Data Fuckery'!$A$2:$A$101, 'Other Data Fuckery'!$B$2:$B$101)</f>
        <v>#N/A</v>
      </c>
    </row>
    <row r="327" ht="14.25" customHeight="1">
      <c r="A327" s="1" t="str">
        <f>IFERROR(__xludf.DUMMYFUNCTION("LEFT(REGEXREPLACE(B327, ""[^A-Za-z]"", """"), 3) &amp; RIGHT(D327, 2) &amp; LEFT(REGEXREPLACE(C327, ""[^A-Za-z]"", """"), 3)"),"")</f>
        <v/>
      </c>
      <c r="L327" s="1" t="str">
        <f t="array" ref="L327">XLOOKUP(D327,'Other Data Fuckery'!$A$2:$A$101, 'Other Data Fuckery'!$B$2:$B$101)</f>
        <v>#N/A</v>
      </c>
    </row>
    <row r="328" ht="14.25" customHeight="1">
      <c r="A328" s="1" t="str">
        <f>IFERROR(__xludf.DUMMYFUNCTION("LEFT(REGEXREPLACE(B328, ""[^A-Za-z]"", """"), 3) &amp; RIGHT(D328, 2) &amp; LEFT(REGEXREPLACE(C328, ""[^A-Za-z]"", """"), 3)"),"")</f>
        <v/>
      </c>
      <c r="L328" s="1" t="str">
        <f t="array" ref="L328">XLOOKUP(D328,'Other Data Fuckery'!$A$2:$A$101, 'Other Data Fuckery'!$B$2:$B$101)</f>
        <v>#N/A</v>
      </c>
    </row>
    <row r="329" ht="14.25" customHeight="1">
      <c r="A329" s="1" t="str">
        <f>IFERROR(__xludf.DUMMYFUNCTION("LEFT(REGEXREPLACE(B329, ""[^A-Za-z]"", """"), 3) &amp; RIGHT(D329, 2) &amp; LEFT(REGEXREPLACE(C329, ""[^A-Za-z]"", """"), 3)"),"")</f>
        <v/>
      </c>
      <c r="L329" s="1" t="str">
        <f t="array" ref="L329">XLOOKUP(D329,'Other Data Fuckery'!$A$2:$A$101, 'Other Data Fuckery'!$B$2:$B$101)</f>
        <v>#N/A</v>
      </c>
    </row>
    <row r="330" ht="14.25" customHeight="1">
      <c r="A330" s="1" t="str">
        <f>IFERROR(__xludf.DUMMYFUNCTION("LEFT(REGEXREPLACE(B330, ""[^A-Za-z]"", """"), 3) &amp; RIGHT(D330, 2) &amp; LEFT(REGEXREPLACE(C330, ""[^A-Za-z]"", """"), 3)"),"")</f>
        <v/>
      </c>
      <c r="L330" s="1" t="str">
        <f t="array" ref="L330">XLOOKUP(D330,'Other Data Fuckery'!$A$2:$A$101, 'Other Data Fuckery'!$B$2:$B$101)</f>
        <v>#N/A</v>
      </c>
    </row>
    <row r="331" ht="14.25" customHeight="1">
      <c r="A331" s="1" t="str">
        <f>IFERROR(__xludf.DUMMYFUNCTION("LEFT(REGEXREPLACE(B331, ""[^A-Za-z]"", """"), 3) &amp; RIGHT(D331, 2) &amp; LEFT(REGEXREPLACE(C331, ""[^A-Za-z]"", """"), 3)"),"")</f>
        <v/>
      </c>
      <c r="L331" s="1" t="str">
        <f t="array" ref="L331">XLOOKUP(D331,'Other Data Fuckery'!$A$2:$A$101, 'Other Data Fuckery'!$B$2:$B$101)</f>
        <v>#N/A</v>
      </c>
    </row>
    <row r="332" ht="14.25" customHeight="1">
      <c r="A332" s="1" t="str">
        <f>IFERROR(__xludf.DUMMYFUNCTION("LEFT(REGEXREPLACE(B332, ""[^A-Za-z]"", """"), 3) &amp; RIGHT(D332, 2) &amp; LEFT(REGEXREPLACE(C332, ""[^A-Za-z]"", """"), 3)"),"")</f>
        <v/>
      </c>
      <c r="L332" s="1" t="str">
        <f t="array" ref="L332">XLOOKUP(D332,'Other Data Fuckery'!$A$2:$A$101, 'Other Data Fuckery'!$B$2:$B$101)</f>
        <v>#N/A</v>
      </c>
    </row>
    <row r="333" ht="14.25" customHeight="1">
      <c r="A333" s="1" t="str">
        <f>IFERROR(__xludf.DUMMYFUNCTION("LEFT(REGEXREPLACE(B333, ""[^A-Za-z]"", """"), 3) &amp; RIGHT(D333, 2) &amp; LEFT(REGEXREPLACE(C333, ""[^A-Za-z]"", """"), 3)"),"")</f>
        <v/>
      </c>
      <c r="L333" s="1" t="str">
        <f t="array" ref="L333">XLOOKUP(D333,'Other Data Fuckery'!$A$2:$A$101, 'Other Data Fuckery'!$B$2:$B$101)</f>
        <v>#N/A</v>
      </c>
    </row>
    <row r="334" ht="14.25" customHeight="1">
      <c r="A334" s="1" t="str">
        <f>IFERROR(__xludf.DUMMYFUNCTION("LEFT(REGEXREPLACE(B334, ""[^A-Za-z]"", """"), 3) &amp; RIGHT(D334, 2) &amp; LEFT(REGEXREPLACE(C334, ""[^A-Za-z]"", """"), 3)"),"")</f>
        <v/>
      </c>
      <c r="L334" s="1" t="str">
        <f t="array" ref="L334">XLOOKUP(D334,'Other Data Fuckery'!$A$2:$A$101, 'Other Data Fuckery'!$B$2:$B$101)</f>
        <v>#N/A</v>
      </c>
    </row>
    <row r="335" ht="14.25" customHeight="1">
      <c r="A335" s="1" t="str">
        <f>IFERROR(__xludf.DUMMYFUNCTION("LEFT(REGEXREPLACE(B335, ""[^A-Za-z]"", """"), 3) &amp; RIGHT(D335, 2) &amp; LEFT(REGEXREPLACE(C335, ""[^A-Za-z]"", """"), 3)"),"")</f>
        <v/>
      </c>
      <c r="L335" s="1" t="str">
        <f t="array" ref="L335">XLOOKUP(D335,'Other Data Fuckery'!$A$2:$A$101, 'Other Data Fuckery'!$B$2:$B$101)</f>
        <v>#N/A</v>
      </c>
    </row>
    <row r="336" ht="14.25" customHeight="1">
      <c r="A336" s="1" t="str">
        <f>IFERROR(__xludf.DUMMYFUNCTION("LEFT(REGEXREPLACE(B336, ""[^A-Za-z]"", """"), 3) &amp; RIGHT(D336, 2) &amp; LEFT(REGEXREPLACE(C336, ""[^A-Za-z]"", """"), 3)"),"")</f>
        <v/>
      </c>
      <c r="L336" s="1" t="str">
        <f t="array" ref="L336">XLOOKUP(D336,'Other Data Fuckery'!$A$2:$A$101, 'Other Data Fuckery'!$B$2:$B$101)</f>
        <v>#N/A</v>
      </c>
    </row>
    <row r="337" ht="14.25" customHeight="1">
      <c r="A337" s="1" t="str">
        <f>IFERROR(__xludf.DUMMYFUNCTION("LEFT(REGEXREPLACE(B337, ""[^A-Za-z]"", """"), 3) &amp; RIGHT(D337, 2) &amp; LEFT(REGEXREPLACE(C337, ""[^A-Za-z]"", """"), 3)"),"")</f>
        <v/>
      </c>
      <c r="L337" s="1" t="str">
        <f t="array" ref="L337">XLOOKUP(D337,'Other Data Fuckery'!$A$2:$A$101, 'Other Data Fuckery'!$B$2:$B$101)</f>
        <v>#N/A</v>
      </c>
    </row>
    <row r="338" ht="14.25" customHeight="1">
      <c r="A338" s="1" t="str">
        <f>IFERROR(__xludf.DUMMYFUNCTION("LEFT(REGEXREPLACE(B338, ""[^A-Za-z]"", """"), 3) &amp; RIGHT(D338, 2) &amp; LEFT(REGEXREPLACE(C338, ""[^A-Za-z]"", """"), 3)"),"")</f>
        <v/>
      </c>
      <c r="L338" s="1" t="str">
        <f t="array" ref="L338">XLOOKUP(D338,'Other Data Fuckery'!$A$2:$A$101, 'Other Data Fuckery'!$B$2:$B$101)</f>
        <v>#N/A</v>
      </c>
    </row>
    <row r="339" ht="14.25" customHeight="1">
      <c r="A339" s="1" t="str">
        <f>IFERROR(__xludf.DUMMYFUNCTION("LEFT(REGEXREPLACE(B339, ""[^A-Za-z]"", """"), 3) &amp; RIGHT(D339, 2) &amp; LEFT(REGEXREPLACE(C339, ""[^A-Za-z]"", """"), 3)"),"")</f>
        <v/>
      </c>
      <c r="L339" s="1" t="str">
        <f t="array" ref="L339">XLOOKUP(D339,'Other Data Fuckery'!$A$2:$A$101, 'Other Data Fuckery'!$B$2:$B$101)</f>
        <v>#N/A</v>
      </c>
    </row>
    <row r="340" ht="14.25" customHeight="1">
      <c r="A340" s="1" t="str">
        <f>IFERROR(__xludf.DUMMYFUNCTION("LEFT(REGEXREPLACE(B340, ""[^A-Za-z]"", """"), 3) &amp; RIGHT(D340, 2) &amp; LEFT(REGEXREPLACE(C340, ""[^A-Za-z]"", """"), 3)"),"")</f>
        <v/>
      </c>
      <c r="L340" s="1" t="str">
        <f t="array" ref="L340">XLOOKUP(D340,'Other Data Fuckery'!$A$2:$A$101, 'Other Data Fuckery'!$B$2:$B$101)</f>
        <v>#N/A</v>
      </c>
    </row>
    <row r="341" ht="14.25" customHeight="1">
      <c r="A341" s="1" t="str">
        <f>IFERROR(__xludf.DUMMYFUNCTION("LEFT(REGEXREPLACE(B341, ""[^A-Za-z]"", """"), 3) &amp; RIGHT(D341, 2) &amp; LEFT(REGEXREPLACE(C341, ""[^A-Za-z]"", """"), 3)"),"")</f>
        <v/>
      </c>
      <c r="L341" s="1" t="str">
        <f t="array" ref="L341">XLOOKUP(D341,'Other Data Fuckery'!$A$2:$A$101, 'Other Data Fuckery'!$B$2:$B$101)</f>
        <v>#N/A</v>
      </c>
    </row>
    <row r="342" ht="14.25" customHeight="1">
      <c r="A342" s="1" t="str">
        <f>IFERROR(__xludf.DUMMYFUNCTION("LEFT(REGEXREPLACE(B342, ""[^A-Za-z]"", """"), 3) &amp; RIGHT(D342, 2) &amp; LEFT(REGEXREPLACE(C342, ""[^A-Za-z]"", """"), 3)"),"")</f>
        <v/>
      </c>
      <c r="L342" s="1" t="str">
        <f t="array" ref="L342">XLOOKUP(D342,'Other Data Fuckery'!$A$2:$A$101, 'Other Data Fuckery'!$B$2:$B$101)</f>
        <v>#N/A</v>
      </c>
    </row>
    <row r="343" ht="14.25" customHeight="1">
      <c r="A343" s="1" t="str">
        <f>IFERROR(__xludf.DUMMYFUNCTION("LEFT(REGEXREPLACE(B343, ""[^A-Za-z]"", """"), 3) &amp; RIGHT(D343, 2) &amp; LEFT(REGEXREPLACE(C343, ""[^A-Za-z]"", """"), 3)"),"")</f>
        <v/>
      </c>
      <c r="L343" s="1" t="str">
        <f t="array" ref="L343">XLOOKUP(D343,'Other Data Fuckery'!$A$2:$A$101, 'Other Data Fuckery'!$B$2:$B$101)</f>
        <v>#N/A</v>
      </c>
    </row>
    <row r="344" ht="14.25" customHeight="1">
      <c r="A344" s="1" t="str">
        <f>IFERROR(__xludf.DUMMYFUNCTION("LEFT(REGEXREPLACE(B344, ""[^A-Za-z]"", """"), 3) &amp; RIGHT(D344, 2) &amp; LEFT(REGEXREPLACE(C344, ""[^A-Za-z]"", """"), 3)"),"")</f>
        <v/>
      </c>
      <c r="L344" s="1" t="str">
        <f t="array" ref="L344">XLOOKUP(D344,'Other Data Fuckery'!$A$2:$A$101, 'Other Data Fuckery'!$B$2:$B$101)</f>
        <v>#N/A</v>
      </c>
    </row>
    <row r="345" ht="14.25" customHeight="1">
      <c r="A345" s="1" t="str">
        <f>IFERROR(__xludf.DUMMYFUNCTION("LEFT(REGEXREPLACE(B345, ""[^A-Za-z]"", """"), 3) &amp; RIGHT(D345, 2) &amp; LEFT(REGEXREPLACE(C345, ""[^A-Za-z]"", """"), 3)"),"")</f>
        <v/>
      </c>
      <c r="L345" s="1" t="str">
        <f t="array" ref="L345">XLOOKUP(D345,'Other Data Fuckery'!$A$2:$A$101, 'Other Data Fuckery'!$B$2:$B$101)</f>
        <v>#N/A</v>
      </c>
    </row>
    <row r="346" ht="14.25" customHeight="1">
      <c r="A346" s="1" t="str">
        <f>IFERROR(__xludf.DUMMYFUNCTION("LEFT(REGEXREPLACE(B346, ""[^A-Za-z]"", """"), 3) &amp; RIGHT(D346, 2) &amp; LEFT(REGEXREPLACE(C346, ""[^A-Za-z]"", """"), 3)"),"")</f>
        <v/>
      </c>
      <c r="L346" s="1" t="str">
        <f t="array" ref="L346">XLOOKUP(D346,'Other Data Fuckery'!$A$2:$A$101, 'Other Data Fuckery'!$B$2:$B$101)</f>
        <v>#N/A</v>
      </c>
    </row>
    <row r="347" ht="14.25" customHeight="1">
      <c r="A347" s="1" t="str">
        <f>IFERROR(__xludf.DUMMYFUNCTION("LEFT(REGEXREPLACE(B347, ""[^A-Za-z]"", """"), 3) &amp; RIGHT(D347, 2) &amp; LEFT(REGEXREPLACE(C347, ""[^A-Za-z]"", """"), 3)"),"")</f>
        <v/>
      </c>
      <c r="L347" s="1" t="str">
        <f t="array" ref="L347">XLOOKUP(D347,'Other Data Fuckery'!$A$2:$A$101, 'Other Data Fuckery'!$B$2:$B$101)</f>
        <v>#N/A</v>
      </c>
    </row>
    <row r="348" ht="14.25" customHeight="1">
      <c r="A348" s="1" t="str">
        <f>IFERROR(__xludf.DUMMYFUNCTION("LEFT(REGEXREPLACE(B348, ""[^A-Za-z]"", """"), 3) &amp; RIGHT(D348, 2) &amp; LEFT(REGEXREPLACE(C348, ""[^A-Za-z]"", """"), 3)"),"")</f>
        <v/>
      </c>
      <c r="L348" s="1" t="str">
        <f t="array" ref="L348">XLOOKUP(D348,'Other Data Fuckery'!$A$2:$A$101, 'Other Data Fuckery'!$B$2:$B$101)</f>
        <v>#N/A</v>
      </c>
    </row>
    <row r="349" ht="14.25" customHeight="1">
      <c r="A349" s="1" t="str">
        <f>IFERROR(__xludf.DUMMYFUNCTION("LEFT(REGEXREPLACE(B349, ""[^A-Za-z]"", """"), 3) &amp; RIGHT(D349, 2) &amp; LEFT(REGEXREPLACE(C349, ""[^A-Za-z]"", """"), 3)"),"")</f>
        <v/>
      </c>
      <c r="L349" s="1" t="str">
        <f t="array" ref="L349">XLOOKUP(D349,'Other Data Fuckery'!$A$2:$A$101, 'Other Data Fuckery'!$B$2:$B$101)</f>
        <v>#N/A</v>
      </c>
    </row>
    <row r="350" ht="14.25" customHeight="1">
      <c r="A350" s="1" t="str">
        <f>IFERROR(__xludf.DUMMYFUNCTION("LEFT(REGEXREPLACE(B350, ""[^A-Za-z]"", """"), 3) &amp; RIGHT(D350, 2) &amp; LEFT(REGEXREPLACE(C350, ""[^A-Za-z]"", """"), 3)"),"")</f>
        <v/>
      </c>
      <c r="L350" s="1" t="str">
        <f t="array" ref="L350">XLOOKUP(D350,'Other Data Fuckery'!$A$2:$A$101, 'Other Data Fuckery'!$B$2:$B$101)</f>
        <v>#N/A</v>
      </c>
    </row>
    <row r="351" ht="14.25" customHeight="1">
      <c r="A351" s="1" t="str">
        <f>IFERROR(__xludf.DUMMYFUNCTION("LEFT(REGEXREPLACE(B351, ""[^A-Za-z]"", """"), 3) &amp; RIGHT(D351, 2) &amp; LEFT(REGEXREPLACE(C351, ""[^A-Za-z]"", """"), 3)"),"")</f>
        <v/>
      </c>
      <c r="L351" s="1" t="str">
        <f t="array" ref="L351">XLOOKUP(D351,'Other Data Fuckery'!$A$2:$A$101, 'Other Data Fuckery'!$B$2:$B$101)</f>
        <v>#N/A</v>
      </c>
    </row>
    <row r="352" ht="14.25" customHeight="1">
      <c r="A352" s="1" t="str">
        <f>IFERROR(__xludf.DUMMYFUNCTION("LEFT(REGEXREPLACE(B352, ""[^A-Za-z]"", """"), 3) &amp; RIGHT(D352, 2) &amp; LEFT(REGEXREPLACE(C352, ""[^A-Za-z]"", """"), 3)"),"")</f>
        <v/>
      </c>
      <c r="L352" s="1" t="str">
        <f t="array" ref="L352">XLOOKUP(D352,'Other Data Fuckery'!$A$2:$A$101, 'Other Data Fuckery'!$B$2:$B$101)</f>
        <v>#N/A</v>
      </c>
    </row>
    <row r="353" ht="14.25" customHeight="1">
      <c r="A353" s="1" t="str">
        <f>IFERROR(__xludf.DUMMYFUNCTION("LEFT(REGEXREPLACE(B353, ""[^A-Za-z]"", """"), 3) &amp; RIGHT(D353, 2) &amp; LEFT(REGEXREPLACE(C353, ""[^A-Za-z]"", """"), 3)"),"")</f>
        <v/>
      </c>
      <c r="L353" s="1" t="str">
        <f t="array" ref="L353">XLOOKUP(D353,'Other Data Fuckery'!$A$2:$A$101, 'Other Data Fuckery'!$B$2:$B$101)</f>
        <v>#N/A</v>
      </c>
    </row>
    <row r="354" ht="14.25" customHeight="1">
      <c r="A354" s="1" t="str">
        <f>IFERROR(__xludf.DUMMYFUNCTION("LEFT(REGEXREPLACE(B354, ""[^A-Za-z]"", """"), 3) &amp; RIGHT(D354, 2) &amp; LEFT(REGEXREPLACE(C354, ""[^A-Za-z]"", """"), 3)"),"")</f>
        <v/>
      </c>
      <c r="L354" s="1" t="str">
        <f t="array" ref="L354">XLOOKUP(D354,'Other Data Fuckery'!$A$2:$A$101, 'Other Data Fuckery'!$B$2:$B$101)</f>
        <v>#N/A</v>
      </c>
    </row>
    <row r="355" ht="14.25" customHeight="1">
      <c r="A355" s="1" t="str">
        <f>IFERROR(__xludf.DUMMYFUNCTION("LEFT(REGEXREPLACE(B355, ""[^A-Za-z]"", """"), 3) &amp; RIGHT(D355, 2) &amp; LEFT(REGEXREPLACE(C355, ""[^A-Za-z]"", """"), 3)"),"")</f>
        <v/>
      </c>
      <c r="L355" s="1" t="str">
        <f t="array" ref="L355">XLOOKUP(D355,'Other Data Fuckery'!$A$2:$A$101, 'Other Data Fuckery'!$B$2:$B$101)</f>
        <v>#N/A</v>
      </c>
    </row>
    <row r="356" ht="14.25" customHeight="1">
      <c r="A356" s="1" t="str">
        <f>IFERROR(__xludf.DUMMYFUNCTION("LEFT(REGEXREPLACE(B356, ""[^A-Za-z]"", """"), 3) &amp; RIGHT(D356, 2) &amp; LEFT(REGEXREPLACE(C356, ""[^A-Za-z]"", """"), 3)"),"")</f>
        <v/>
      </c>
      <c r="L356" s="1" t="str">
        <f t="array" ref="L356">XLOOKUP(D356,'Other Data Fuckery'!$A$2:$A$101, 'Other Data Fuckery'!$B$2:$B$101)</f>
        <v>#N/A</v>
      </c>
    </row>
    <row r="357" ht="14.25" customHeight="1">
      <c r="A357" s="1" t="str">
        <f>IFERROR(__xludf.DUMMYFUNCTION("LEFT(REGEXREPLACE(B357, ""[^A-Za-z]"", """"), 3) &amp; RIGHT(D357, 2) &amp; LEFT(REGEXREPLACE(C357, ""[^A-Za-z]"", """"), 3)"),"")</f>
        <v/>
      </c>
      <c r="L357" s="1" t="str">
        <f t="array" ref="L357">XLOOKUP(D357,'Other Data Fuckery'!$A$2:$A$101, 'Other Data Fuckery'!$B$2:$B$101)</f>
        <v>#N/A</v>
      </c>
    </row>
    <row r="358" ht="14.25" customHeight="1">
      <c r="A358" s="1" t="str">
        <f>IFERROR(__xludf.DUMMYFUNCTION("LEFT(REGEXREPLACE(B358, ""[^A-Za-z]"", """"), 3) &amp; RIGHT(D358, 2) &amp; LEFT(REGEXREPLACE(C358, ""[^A-Za-z]"", """"), 3)"),"")</f>
        <v/>
      </c>
      <c r="L358" s="1" t="str">
        <f t="array" ref="L358">XLOOKUP(D358,'Other Data Fuckery'!$A$2:$A$101, 'Other Data Fuckery'!$B$2:$B$101)</f>
        <v>#N/A</v>
      </c>
    </row>
    <row r="359" ht="14.25" customHeight="1">
      <c r="A359" s="1" t="str">
        <f>IFERROR(__xludf.DUMMYFUNCTION("LEFT(REGEXREPLACE(B359, ""[^A-Za-z]"", """"), 3) &amp; RIGHT(D359, 2) &amp; LEFT(REGEXREPLACE(C359, ""[^A-Za-z]"", """"), 3)"),"")</f>
        <v/>
      </c>
      <c r="L359" s="1" t="str">
        <f t="array" ref="L359">XLOOKUP(D359,'Other Data Fuckery'!$A$2:$A$101, 'Other Data Fuckery'!$B$2:$B$101)</f>
        <v>#N/A</v>
      </c>
    </row>
    <row r="360" ht="14.25" customHeight="1">
      <c r="A360" s="1" t="str">
        <f>IFERROR(__xludf.DUMMYFUNCTION("LEFT(REGEXREPLACE(B360, ""[^A-Za-z]"", """"), 3) &amp; RIGHT(D360, 2) &amp; LEFT(REGEXREPLACE(C360, ""[^A-Za-z]"", """"), 3)"),"")</f>
        <v/>
      </c>
      <c r="L360" s="1" t="str">
        <f t="array" ref="L360">XLOOKUP(D360,'Other Data Fuckery'!$A$2:$A$101, 'Other Data Fuckery'!$B$2:$B$101)</f>
        <v>#N/A</v>
      </c>
    </row>
    <row r="361" ht="14.25" customHeight="1">
      <c r="A361" s="1" t="str">
        <f>IFERROR(__xludf.DUMMYFUNCTION("LEFT(REGEXREPLACE(B361, ""[^A-Za-z]"", """"), 3) &amp; RIGHT(D361, 2) &amp; LEFT(REGEXREPLACE(C361, ""[^A-Za-z]"", """"), 3)"),"")</f>
        <v/>
      </c>
      <c r="L361" s="1" t="str">
        <f t="array" ref="L361">XLOOKUP(D361,'Other Data Fuckery'!$A$2:$A$101, 'Other Data Fuckery'!$B$2:$B$101)</f>
        <v>#N/A</v>
      </c>
    </row>
    <row r="362" ht="14.25" customHeight="1">
      <c r="A362" s="1" t="str">
        <f>IFERROR(__xludf.DUMMYFUNCTION("LEFT(REGEXREPLACE(B362, ""[^A-Za-z]"", """"), 3) &amp; RIGHT(D362, 2) &amp; LEFT(REGEXREPLACE(C362, ""[^A-Za-z]"", """"), 3)"),"")</f>
        <v/>
      </c>
      <c r="L362" s="1" t="str">
        <f t="array" ref="L362">XLOOKUP(D362,'Other Data Fuckery'!$A$2:$A$101, 'Other Data Fuckery'!$B$2:$B$101)</f>
        <v>#N/A</v>
      </c>
    </row>
    <row r="363" ht="14.25" customHeight="1">
      <c r="A363" s="1" t="str">
        <f>IFERROR(__xludf.DUMMYFUNCTION("LEFT(REGEXREPLACE(B363, ""[^A-Za-z]"", """"), 3) &amp; RIGHT(D363, 2) &amp; LEFT(REGEXREPLACE(C363, ""[^A-Za-z]"", """"), 3)"),"")</f>
        <v/>
      </c>
      <c r="L363" s="1" t="str">
        <f t="array" ref="L363">XLOOKUP(D363,'Other Data Fuckery'!$A$2:$A$101, 'Other Data Fuckery'!$B$2:$B$101)</f>
        <v>#N/A</v>
      </c>
    </row>
    <row r="364" ht="14.25" customHeight="1">
      <c r="A364" s="1" t="str">
        <f>IFERROR(__xludf.DUMMYFUNCTION("LEFT(REGEXREPLACE(B364, ""[^A-Za-z]"", """"), 3) &amp; RIGHT(D364, 2) &amp; LEFT(REGEXREPLACE(C364, ""[^A-Za-z]"", """"), 3)"),"")</f>
        <v/>
      </c>
      <c r="L364" s="1" t="str">
        <f t="array" ref="L364">XLOOKUP(D364,'Other Data Fuckery'!$A$2:$A$101, 'Other Data Fuckery'!$B$2:$B$101)</f>
        <v>#N/A</v>
      </c>
    </row>
    <row r="365" ht="14.25" customHeight="1">
      <c r="A365" s="1" t="str">
        <f>IFERROR(__xludf.DUMMYFUNCTION("LEFT(REGEXREPLACE(B365, ""[^A-Za-z]"", """"), 3) &amp; RIGHT(D365, 2) &amp; LEFT(REGEXREPLACE(C365, ""[^A-Za-z]"", """"), 3)"),"")</f>
        <v/>
      </c>
      <c r="L365" s="1" t="str">
        <f t="array" ref="L365">XLOOKUP(D365,'Other Data Fuckery'!$A$2:$A$101, 'Other Data Fuckery'!$B$2:$B$101)</f>
        <v>#N/A</v>
      </c>
    </row>
    <row r="366" ht="14.25" customHeight="1">
      <c r="A366" s="1" t="str">
        <f>IFERROR(__xludf.DUMMYFUNCTION("LEFT(REGEXREPLACE(B366, ""[^A-Za-z]"", """"), 3) &amp; RIGHT(D366, 2) &amp; LEFT(REGEXREPLACE(C366, ""[^A-Za-z]"", """"), 3)"),"")</f>
        <v/>
      </c>
      <c r="L366" s="1" t="str">
        <f t="array" ref="L366">XLOOKUP(D366,'Other Data Fuckery'!$A$2:$A$101, 'Other Data Fuckery'!$B$2:$B$101)</f>
        <v>#N/A</v>
      </c>
    </row>
    <row r="367" ht="14.25" customHeight="1">
      <c r="A367" s="1" t="str">
        <f>IFERROR(__xludf.DUMMYFUNCTION("LEFT(REGEXREPLACE(B367, ""[^A-Za-z]"", """"), 3) &amp; RIGHT(D367, 2) &amp; LEFT(REGEXREPLACE(C367, ""[^A-Za-z]"", """"), 3)"),"")</f>
        <v/>
      </c>
      <c r="L367" s="1" t="str">
        <f t="array" ref="L367">XLOOKUP(D367,'Other Data Fuckery'!$A$2:$A$101, 'Other Data Fuckery'!$B$2:$B$101)</f>
        <v>#N/A</v>
      </c>
    </row>
    <row r="368" ht="14.25" customHeight="1">
      <c r="A368" s="1" t="str">
        <f>IFERROR(__xludf.DUMMYFUNCTION("LEFT(REGEXREPLACE(B368, ""[^A-Za-z]"", """"), 3) &amp; RIGHT(D368, 2) &amp; LEFT(REGEXREPLACE(C368, ""[^A-Za-z]"", """"), 3)"),"")</f>
        <v/>
      </c>
      <c r="L368" s="1" t="str">
        <f t="array" ref="L368">XLOOKUP(D368,'Other Data Fuckery'!$A$2:$A$101, 'Other Data Fuckery'!$B$2:$B$101)</f>
        <v>#N/A</v>
      </c>
    </row>
    <row r="369" ht="14.25" customHeight="1">
      <c r="A369" s="1" t="str">
        <f>IFERROR(__xludf.DUMMYFUNCTION("LEFT(REGEXREPLACE(B369, ""[^A-Za-z]"", """"), 3) &amp; RIGHT(D369, 2) &amp; LEFT(REGEXREPLACE(C369, ""[^A-Za-z]"", """"), 3)"),"")</f>
        <v/>
      </c>
      <c r="L369" s="1" t="str">
        <f t="array" ref="L369">XLOOKUP(D369,'Other Data Fuckery'!$A$2:$A$101, 'Other Data Fuckery'!$B$2:$B$101)</f>
        <v>#N/A</v>
      </c>
    </row>
    <row r="370" ht="14.25" customHeight="1">
      <c r="A370" s="1" t="str">
        <f>IFERROR(__xludf.DUMMYFUNCTION("LEFT(REGEXREPLACE(B370, ""[^A-Za-z]"", """"), 3) &amp; RIGHT(D370, 2) &amp; LEFT(REGEXREPLACE(C370, ""[^A-Za-z]"", """"), 3)"),"")</f>
        <v/>
      </c>
      <c r="L370" s="1" t="str">
        <f t="array" ref="L370">XLOOKUP(D370,'Other Data Fuckery'!$A$2:$A$101, 'Other Data Fuckery'!$B$2:$B$101)</f>
        <v>#N/A</v>
      </c>
    </row>
    <row r="371" ht="14.25" customHeight="1">
      <c r="A371" s="1" t="str">
        <f>IFERROR(__xludf.DUMMYFUNCTION("LEFT(REGEXREPLACE(B371, ""[^A-Za-z]"", """"), 3) &amp; RIGHT(D371, 2) &amp; LEFT(REGEXREPLACE(C371, ""[^A-Za-z]"", """"), 3)"),"")</f>
        <v/>
      </c>
      <c r="L371" s="1" t="str">
        <f t="array" ref="L371">XLOOKUP(D371,'Other Data Fuckery'!$A$2:$A$101, 'Other Data Fuckery'!$B$2:$B$101)</f>
        <v>#N/A</v>
      </c>
    </row>
    <row r="372" ht="14.25" customHeight="1">
      <c r="A372" s="1" t="str">
        <f>IFERROR(__xludf.DUMMYFUNCTION("LEFT(REGEXREPLACE(B372, ""[^A-Za-z]"", """"), 3) &amp; RIGHT(D372, 2) &amp; LEFT(REGEXREPLACE(C372, ""[^A-Za-z]"", """"), 3)"),"")</f>
        <v/>
      </c>
      <c r="L372" s="1" t="str">
        <f t="array" ref="L372">XLOOKUP(D372,'Other Data Fuckery'!$A$2:$A$101, 'Other Data Fuckery'!$B$2:$B$101)</f>
        <v>#N/A</v>
      </c>
    </row>
    <row r="373" ht="14.25" customHeight="1">
      <c r="A373" s="1" t="str">
        <f>IFERROR(__xludf.DUMMYFUNCTION("LEFT(REGEXREPLACE(B373, ""[^A-Za-z]"", """"), 3) &amp; RIGHT(D373, 2) &amp; LEFT(REGEXREPLACE(C373, ""[^A-Za-z]"", """"), 3)"),"")</f>
        <v/>
      </c>
      <c r="L373" s="1" t="str">
        <f t="array" ref="L373">XLOOKUP(D373,'Other Data Fuckery'!$A$2:$A$101, 'Other Data Fuckery'!$B$2:$B$101)</f>
        <v>#N/A</v>
      </c>
    </row>
    <row r="374" ht="14.25" customHeight="1">
      <c r="A374" s="1" t="str">
        <f>IFERROR(__xludf.DUMMYFUNCTION("LEFT(REGEXREPLACE(B374, ""[^A-Za-z]"", """"), 3) &amp; RIGHT(D374, 2) &amp; LEFT(REGEXREPLACE(C374, ""[^A-Za-z]"", """"), 3)"),"")</f>
        <v/>
      </c>
      <c r="L374" s="1" t="str">
        <f t="array" ref="L374">XLOOKUP(D374,'Other Data Fuckery'!$A$2:$A$101, 'Other Data Fuckery'!$B$2:$B$101)</f>
        <v>#N/A</v>
      </c>
    </row>
    <row r="375" ht="14.25" customHeight="1">
      <c r="A375" s="1" t="str">
        <f>IFERROR(__xludf.DUMMYFUNCTION("LEFT(REGEXREPLACE(B375, ""[^A-Za-z]"", """"), 3) &amp; RIGHT(D375, 2) &amp; LEFT(REGEXREPLACE(C375, ""[^A-Za-z]"", """"), 3)"),"")</f>
        <v/>
      </c>
      <c r="L375" s="1" t="str">
        <f t="array" ref="L375">XLOOKUP(D375,'Other Data Fuckery'!$A$2:$A$101, 'Other Data Fuckery'!$B$2:$B$101)</f>
        <v>#N/A</v>
      </c>
    </row>
    <row r="376" ht="14.25" customHeight="1">
      <c r="A376" s="1" t="str">
        <f>IFERROR(__xludf.DUMMYFUNCTION("LEFT(REGEXREPLACE(B376, ""[^A-Za-z]"", """"), 3) &amp; RIGHT(D376, 2) &amp; LEFT(REGEXREPLACE(C376, ""[^A-Za-z]"", """"), 3)"),"")</f>
        <v/>
      </c>
      <c r="L376" s="1" t="str">
        <f t="array" ref="L376">XLOOKUP(D376,'Other Data Fuckery'!$A$2:$A$101, 'Other Data Fuckery'!$B$2:$B$101)</f>
        <v>#N/A</v>
      </c>
    </row>
    <row r="377" ht="14.25" customHeight="1">
      <c r="A377" s="1" t="str">
        <f>IFERROR(__xludf.DUMMYFUNCTION("LEFT(REGEXREPLACE(B377, ""[^A-Za-z]"", """"), 3) &amp; RIGHT(D377, 2) &amp; LEFT(REGEXREPLACE(C377, ""[^A-Za-z]"", """"), 3)"),"")</f>
        <v/>
      </c>
      <c r="L377" s="1" t="str">
        <f t="array" ref="L377">XLOOKUP(D377,'Other Data Fuckery'!$A$2:$A$101, 'Other Data Fuckery'!$B$2:$B$101)</f>
        <v>#N/A</v>
      </c>
    </row>
    <row r="378" ht="14.25" customHeight="1">
      <c r="A378" s="1" t="str">
        <f>IFERROR(__xludf.DUMMYFUNCTION("LEFT(REGEXREPLACE(B378, ""[^A-Za-z]"", """"), 3) &amp; RIGHT(D378, 2) &amp; LEFT(REGEXREPLACE(C378, ""[^A-Za-z]"", """"), 3)"),"")</f>
        <v/>
      </c>
      <c r="L378" s="1" t="str">
        <f t="array" ref="L378">XLOOKUP(D378,'Other Data Fuckery'!$A$2:$A$101, 'Other Data Fuckery'!$B$2:$B$101)</f>
        <v>#N/A</v>
      </c>
    </row>
    <row r="379" ht="14.25" customHeight="1">
      <c r="A379" s="1" t="str">
        <f>IFERROR(__xludf.DUMMYFUNCTION("LEFT(REGEXREPLACE(B379, ""[^A-Za-z]"", """"), 3) &amp; RIGHT(D379, 2) &amp; LEFT(REGEXREPLACE(C379, ""[^A-Za-z]"", """"), 3)"),"")</f>
        <v/>
      </c>
      <c r="L379" s="1" t="str">
        <f t="array" ref="L379">XLOOKUP(D379,'Other Data Fuckery'!$A$2:$A$101, 'Other Data Fuckery'!$B$2:$B$101)</f>
        <v>#N/A</v>
      </c>
    </row>
    <row r="380" ht="14.25" customHeight="1">
      <c r="A380" s="1" t="str">
        <f>IFERROR(__xludf.DUMMYFUNCTION("LEFT(REGEXREPLACE(B380, ""[^A-Za-z]"", """"), 3) &amp; RIGHT(D380, 2) &amp; LEFT(REGEXREPLACE(C380, ""[^A-Za-z]"", """"), 3)"),"")</f>
        <v/>
      </c>
      <c r="L380" s="1" t="str">
        <f t="array" ref="L380">XLOOKUP(D380,'Other Data Fuckery'!$A$2:$A$101, 'Other Data Fuckery'!$B$2:$B$101)</f>
        <v>#N/A</v>
      </c>
    </row>
    <row r="381" ht="14.25" customHeight="1">
      <c r="A381" s="1" t="str">
        <f>IFERROR(__xludf.DUMMYFUNCTION("LEFT(REGEXREPLACE(B381, ""[^A-Za-z]"", """"), 3) &amp; RIGHT(D381, 2) &amp; LEFT(REGEXREPLACE(C381, ""[^A-Za-z]"", """"), 3)"),"")</f>
        <v/>
      </c>
      <c r="L381" s="1" t="str">
        <f t="array" ref="L381">XLOOKUP(D381,'Other Data Fuckery'!$A$2:$A$101, 'Other Data Fuckery'!$B$2:$B$101)</f>
        <v>#N/A</v>
      </c>
    </row>
    <row r="382" ht="14.25" customHeight="1">
      <c r="A382" s="1" t="str">
        <f>IFERROR(__xludf.DUMMYFUNCTION("LEFT(REGEXREPLACE(B382, ""[^A-Za-z]"", """"), 3) &amp; RIGHT(D382, 2) &amp; LEFT(REGEXREPLACE(C382, ""[^A-Za-z]"", """"), 3)"),"")</f>
        <v/>
      </c>
      <c r="L382" s="1" t="str">
        <f t="array" ref="L382">XLOOKUP(D382,'Other Data Fuckery'!$A$2:$A$101, 'Other Data Fuckery'!$B$2:$B$101)</f>
        <v>#N/A</v>
      </c>
    </row>
    <row r="383" ht="14.25" customHeight="1">
      <c r="A383" s="1" t="str">
        <f>IFERROR(__xludf.DUMMYFUNCTION("LEFT(REGEXREPLACE(B383, ""[^A-Za-z]"", """"), 3) &amp; RIGHT(D383, 2) &amp; LEFT(REGEXREPLACE(C383, ""[^A-Za-z]"", """"), 3)"),"")</f>
        <v/>
      </c>
      <c r="L383" s="1" t="str">
        <f t="array" ref="L383">XLOOKUP(D383,'Other Data Fuckery'!$A$2:$A$101, 'Other Data Fuckery'!$B$2:$B$101)</f>
        <v>#N/A</v>
      </c>
    </row>
    <row r="384" ht="14.25" customHeight="1">
      <c r="A384" s="1" t="str">
        <f>IFERROR(__xludf.DUMMYFUNCTION("LEFT(REGEXREPLACE(B384, ""[^A-Za-z]"", """"), 3) &amp; RIGHT(D384, 2) &amp; LEFT(REGEXREPLACE(C384, ""[^A-Za-z]"", """"), 3)"),"")</f>
        <v/>
      </c>
      <c r="L384" s="1" t="str">
        <f t="array" ref="L384">XLOOKUP(D384,'Other Data Fuckery'!$A$2:$A$101, 'Other Data Fuckery'!$B$2:$B$101)</f>
        <v>#N/A</v>
      </c>
    </row>
    <row r="385" ht="14.25" customHeight="1">
      <c r="A385" s="1" t="str">
        <f>IFERROR(__xludf.DUMMYFUNCTION("LEFT(REGEXREPLACE(B385, ""[^A-Za-z]"", """"), 3) &amp; RIGHT(D385, 2) &amp; LEFT(REGEXREPLACE(C385, ""[^A-Za-z]"", """"), 3)"),"")</f>
        <v/>
      </c>
      <c r="L385" s="1" t="str">
        <f t="array" ref="L385">XLOOKUP(D385,'Other Data Fuckery'!$A$2:$A$101, 'Other Data Fuckery'!$B$2:$B$101)</f>
        <v>#N/A</v>
      </c>
    </row>
    <row r="386" ht="14.25" customHeight="1">
      <c r="A386" s="1" t="str">
        <f>IFERROR(__xludf.DUMMYFUNCTION("LEFT(REGEXREPLACE(B386, ""[^A-Za-z]"", """"), 3) &amp; RIGHT(D386, 2) &amp; LEFT(REGEXREPLACE(C386, ""[^A-Za-z]"", """"), 3)"),"")</f>
        <v/>
      </c>
      <c r="L386" s="1" t="str">
        <f t="array" ref="L386">XLOOKUP(D386,'Other Data Fuckery'!$A$2:$A$101, 'Other Data Fuckery'!$B$2:$B$101)</f>
        <v>#N/A</v>
      </c>
    </row>
    <row r="387" ht="14.25" customHeight="1">
      <c r="A387" s="1" t="str">
        <f>IFERROR(__xludf.DUMMYFUNCTION("LEFT(REGEXREPLACE(B387, ""[^A-Za-z]"", """"), 3) &amp; RIGHT(D387, 2) &amp; LEFT(REGEXREPLACE(C387, ""[^A-Za-z]"", """"), 3)"),"")</f>
        <v/>
      </c>
      <c r="L387" s="1" t="str">
        <f t="array" ref="L387">XLOOKUP(D387,'Other Data Fuckery'!$A$2:$A$101, 'Other Data Fuckery'!$B$2:$B$101)</f>
        <v>#N/A</v>
      </c>
    </row>
    <row r="388" ht="14.25" customHeight="1">
      <c r="A388" s="1" t="str">
        <f>IFERROR(__xludf.DUMMYFUNCTION("LEFT(REGEXREPLACE(B388, ""[^A-Za-z]"", """"), 3) &amp; RIGHT(D388, 2) &amp; LEFT(REGEXREPLACE(C388, ""[^A-Za-z]"", """"), 3)"),"")</f>
        <v/>
      </c>
      <c r="L388" s="1" t="str">
        <f t="array" ref="L388">XLOOKUP(D388,'Other Data Fuckery'!$A$2:$A$101, 'Other Data Fuckery'!$B$2:$B$101)</f>
        <v>#N/A</v>
      </c>
    </row>
    <row r="389" ht="14.25" customHeight="1">
      <c r="A389" s="1" t="str">
        <f>IFERROR(__xludf.DUMMYFUNCTION("LEFT(REGEXREPLACE(B389, ""[^A-Za-z]"", """"), 3) &amp; RIGHT(D389, 2) &amp; LEFT(REGEXREPLACE(C389, ""[^A-Za-z]"", """"), 3)"),"")</f>
        <v/>
      </c>
      <c r="L389" s="1" t="str">
        <f t="array" ref="L389">XLOOKUP(D389,'Other Data Fuckery'!$A$2:$A$101, 'Other Data Fuckery'!$B$2:$B$101)</f>
        <v>#N/A</v>
      </c>
    </row>
    <row r="390" ht="14.25" customHeight="1">
      <c r="A390" s="1" t="str">
        <f>IFERROR(__xludf.DUMMYFUNCTION("LEFT(REGEXREPLACE(B390, ""[^A-Za-z]"", """"), 3) &amp; RIGHT(D390, 2) &amp; LEFT(REGEXREPLACE(C390, ""[^A-Za-z]"", """"), 3)"),"")</f>
        <v/>
      </c>
      <c r="L390" s="1" t="str">
        <f t="array" ref="L390">XLOOKUP(D390,'Other Data Fuckery'!$A$2:$A$101, 'Other Data Fuckery'!$B$2:$B$101)</f>
        <v>#N/A</v>
      </c>
    </row>
    <row r="391" ht="14.25" customHeight="1">
      <c r="A391" s="1" t="str">
        <f>IFERROR(__xludf.DUMMYFUNCTION("LEFT(REGEXREPLACE(B391, ""[^A-Za-z]"", """"), 3) &amp; RIGHT(D391, 2) &amp; LEFT(REGEXREPLACE(C391, ""[^A-Za-z]"", """"), 3)"),"")</f>
        <v/>
      </c>
      <c r="L391" s="1" t="str">
        <f t="array" ref="L391">XLOOKUP(D391,'Other Data Fuckery'!$A$2:$A$101, 'Other Data Fuckery'!$B$2:$B$101)</f>
        <v>#N/A</v>
      </c>
    </row>
    <row r="392" ht="14.25" customHeight="1">
      <c r="A392" s="1" t="str">
        <f>IFERROR(__xludf.DUMMYFUNCTION("LEFT(REGEXREPLACE(B392, ""[^A-Za-z]"", """"), 3) &amp; RIGHT(D392, 2) &amp; LEFT(REGEXREPLACE(C392, ""[^A-Za-z]"", """"), 3)"),"")</f>
        <v/>
      </c>
      <c r="L392" s="1" t="str">
        <f t="array" ref="L392">XLOOKUP(D392,'Other Data Fuckery'!$A$2:$A$101, 'Other Data Fuckery'!$B$2:$B$101)</f>
        <v>#N/A</v>
      </c>
    </row>
    <row r="393" ht="14.25" customHeight="1">
      <c r="A393" s="1" t="str">
        <f>IFERROR(__xludf.DUMMYFUNCTION("LEFT(REGEXREPLACE(B393, ""[^A-Za-z]"", """"), 3) &amp; RIGHT(D393, 2) &amp; LEFT(REGEXREPLACE(C393, ""[^A-Za-z]"", """"), 3)"),"")</f>
        <v/>
      </c>
      <c r="L393" s="1" t="str">
        <f t="array" ref="L393">XLOOKUP(D393,'Other Data Fuckery'!$A$2:$A$101, 'Other Data Fuckery'!$B$2:$B$101)</f>
        <v>#N/A</v>
      </c>
    </row>
    <row r="394" ht="14.25" customHeight="1">
      <c r="A394" s="1" t="str">
        <f>IFERROR(__xludf.DUMMYFUNCTION("LEFT(REGEXREPLACE(B394, ""[^A-Za-z]"", """"), 3) &amp; RIGHT(D394, 2) &amp; LEFT(REGEXREPLACE(C394, ""[^A-Za-z]"", """"), 3)"),"")</f>
        <v/>
      </c>
      <c r="L394" s="1" t="str">
        <f t="array" ref="L394">XLOOKUP(D394,'Other Data Fuckery'!$A$2:$A$101, 'Other Data Fuckery'!$B$2:$B$101)</f>
        <v>#N/A</v>
      </c>
    </row>
    <row r="395" ht="14.25" customHeight="1">
      <c r="A395" s="1" t="str">
        <f>IFERROR(__xludf.DUMMYFUNCTION("LEFT(REGEXREPLACE(B395, ""[^A-Za-z]"", """"), 3) &amp; RIGHT(D395, 2) &amp; LEFT(REGEXREPLACE(C395, ""[^A-Za-z]"", """"), 3)"),"")</f>
        <v/>
      </c>
      <c r="L395" s="1" t="str">
        <f t="array" ref="L395">XLOOKUP(D395,'Other Data Fuckery'!$A$2:$A$101, 'Other Data Fuckery'!$B$2:$B$101)</f>
        <v>#N/A</v>
      </c>
    </row>
    <row r="396" ht="14.25" customHeight="1">
      <c r="A396" s="1" t="str">
        <f>IFERROR(__xludf.DUMMYFUNCTION("LEFT(REGEXREPLACE(B396, ""[^A-Za-z]"", """"), 3) &amp; RIGHT(D396, 2) &amp; LEFT(REGEXREPLACE(C396, ""[^A-Za-z]"", """"), 3)"),"")</f>
        <v/>
      </c>
      <c r="L396" s="1" t="str">
        <f t="array" ref="L396">XLOOKUP(D396,'Other Data Fuckery'!$A$2:$A$101, 'Other Data Fuckery'!$B$2:$B$101)</f>
        <v>#N/A</v>
      </c>
    </row>
    <row r="397" ht="14.25" customHeight="1">
      <c r="A397" s="1" t="str">
        <f>IFERROR(__xludf.DUMMYFUNCTION("LEFT(REGEXREPLACE(B397, ""[^A-Za-z]"", """"), 3) &amp; RIGHT(D397, 2) &amp; LEFT(REGEXREPLACE(C397, ""[^A-Za-z]"", """"), 3)"),"")</f>
        <v/>
      </c>
      <c r="L397" s="1" t="str">
        <f t="array" ref="L397">XLOOKUP(D397,'Other Data Fuckery'!$A$2:$A$101, 'Other Data Fuckery'!$B$2:$B$101)</f>
        <v>#N/A</v>
      </c>
    </row>
    <row r="398" ht="14.25" customHeight="1">
      <c r="A398" s="1" t="str">
        <f>IFERROR(__xludf.DUMMYFUNCTION("LEFT(REGEXREPLACE(B398, ""[^A-Za-z]"", """"), 3) &amp; RIGHT(D398, 2) &amp; LEFT(REGEXREPLACE(C398, ""[^A-Za-z]"", """"), 3)"),"")</f>
        <v/>
      </c>
      <c r="L398" s="1" t="str">
        <f t="array" ref="L398">XLOOKUP(D398,'Other Data Fuckery'!$A$2:$A$101, 'Other Data Fuckery'!$B$2:$B$101)</f>
        <v>#N/A</v>
      </c>
    </row>
    <row r="399" ht="14.25" customHeight="1">
      <c r="A399" s="1" t="str">
        <f>IFERROR(__xludf.DUMMYFUNCTION("LEFT(REGEXREPLACE(B399, ""[^A-Za-z]"", """"), 3) &amp; RIGHT(D399, 2) &amp; LEFT(REGEXREPLACE(C399, ""[^A-Za-z]"", """"), 3)"),"")</f>
        <v/>
      </c>
      <c r="L399" s="1" t="str">
        <f t="array" ref="L399">XLOOKUP(D399,'Other Data Fuckery'!$A$2:$A$101, 'Other Data Fuckery'!$B$2:$B$101)</f>
        <v>#N/A</v>
      </c>
    </row>
    <row r="400" ht="14.25" customHeight="1">
      <c r="A400" s="1" t="str">
        <f>IFERROR(__xludf.DUMMYFUNCTION("LEFT(REGEXREPLACE(B400, ""[^A-Za-z]"", """"), 3) &amp; RIGHT(D400, 2) &amp; LEFT(REGEXREPLACE(C400, ""[^A-Za-z]"", """"), 3)"),"")</f>
        <v/>
      </c>
      <c r="L400" s="1" t="str">
        <f t="array" ref="L400">XLOOKUP(D400,'Other Data Fuckery'!$A$2:$A$101, 'Other Data Fuckery'!$B$2:$B$101)</f>
        <v>#N/A</v>
      </c>
    </row>
    <row r="401" ht="14.25" customHeight="1">
      <c r="A401" s="1" t="str">
        <f>IFERROR(__xludf.DUMMYFUNCTION("LEFT(REGEXREPLACE(B401, ""[^A-Za-z]"", """"), 3) &amp; RIGHT(D401, 2) &amp; LEFT(REGEXREPLACE(C401, ""[^A-Za-z]"", """"), 3)"),"")</f>
        <v/>
      </c>
      <c r="L401" s="1" t="str">
        <f t="array" ref="L401">XLOOKUP(D401,'Other Data Fuckery'!$A$2:$A$101, 'Other Data Fuckery'!$B$2:$B$101)</f>
        <v>#N/A</v>
      </c>
    </row>
    <row r="402" ht="14.25" customHeight="1">
      <c r="A402" s="1" t="str">
        <f>IFERROR(__xludf.DUMMYFUNCTION("LEFT(REGEXREPLACE(B402, ""[^A-Za-z]"", """"), 3) &amp; RIGHT(D402, 2) &amp; LEFT(REGEXREPLACE(C402, ""[^A-Za-z]"", """"), 3)"),"")</f>
        <v/>
      </c>
      <c r="L402" s="1" t="str">
        <f t="array" ref="L402">XLOOKUP(D402,'Other Data Fuckery'!$A$2:$A$101, 'Other Data Fuckery'!$B$2:$B$101)</f>
        <v>#N/A</v>
      </c>
    </row>
    <row r="403" ht="14.25" customHeight="1">
      <c r="A403" s="1" t="str">
        <f>IFERROR(__xludf.DUMMYFUNCTION("LEFT(REGEXREPLACE(B403, ""[^A-Za-z]"", """"), 3) &amp; RIGHT(D403, 2) &amp; LEFT(REGEXREPLACE(C403, ""[^A-Za-z]"", """"), 3)"),"")</f>
        <v/>
      </c>
      <c r="L403" s="1" t="str">
        <f t="array" ref="L403">XLOOKUP(D403,'Other Data Fuckery'!$A$2:$A$101, 'Other Data Fuckery'!$B$2:$B$101)</f>
        <v>#N/A</v>
      </c>
    </row>
    <row r="404" ht="14.25" customHeight="1">
      <c r="A404" s="1" t="str">
        <f>IFERROR(__xludf.DUMMYFUNCTION("LEFT(REGEXREPLACE(B404, ""[^A-Za-z]"", """"), 3) &amp; RIGHT(D404, 2) &amp; LEFT(REGEXREPLACE(C404, ""[^A-Za-z]"", """"), 3)"),"")</f>
        <v/>
      </c>
      <c r="L404" s="1" t="str">
        <f t="array" ref="L404">XLOOKUP(D404,'Other Data Fuckery'!$A$2:$A$101, 'Other Data Fuckery'!$B$2:$B$101)</f>
        <v>#N/A</v>
      </c>
    </row>
    <row r="405" ht="14.25" customHeight="1">
      <c r="A405" s="1" t="str">
        <f>IFERROR(__xludf.DUMMYFUNCTION("LEFT(REGEXREPLACE(B405, ""[^A-Za-z]"", """"), 3) &amp; RIGHT(D405, 2) &amp; LEFT(REGEXREPLACE(C405, ""[^A-Za-z]"", """"), 3)"),"")</f>
        <v/>
      </c>
      <c r="L405" s="1" t="str">
        <f t="array" ref="L405">XLOOKUP(D405,'Other Data Fuckery'!$A$2:$A$101, 'Other Data Fuckery'!$B$2:$B$101)</f>
        <v>#N/A</v>
      </c>
    </row>
    <row r="406" ht="14.25" customHeight="1">
      <c r="A406" s="1" t="str">
        <f>IFERROR(__xludf.DUMMYFUNCTION("LEFT(REGEXREPLACE(B406, ""[^A-Za-z]"", """"), 3) &amp; RIGHT(D406, 2) &amp; LEFT(REGEXREPLACE(C406, ""[^A-Za-z]"", """"), 3)"),"")</f>
        <v/>
      </c>
      <c r="L406" s="1" t="str">
        <f t="array" ref="L406">XLOOKUP(D406,'Other Data Fuckery'!$A$2:$A$101, 'Other Data Fuckery'!$B$2:$B$101)</f>
        <v>#N/A</v>
      </c>
    </row>
    <row r="407" ht="14.25" customHeight="1">
      <c r="A407" s="1" t="str">
        <f>IFERROR(__xludf.DUMMYFUNCTION("LEFT(REGEXREPLACE(B407, ""[^A-Za-z]"", """"), 3) &amp; RIGHT(D407, 2) &amp; LEFT(REGEXREPLACE(C407, ""[^A-Za-z]"", """"), 3)"),"")</f>
        <v/>
      </c>
      <c r="L407" s="1" t="str">
        <f t="array" ref="L407">XLOOKUP(D407,'Other Data Fuckery'!$A$2:$A$101, 'Other Data Fuckery'!$B$2:$B$101)</f>
        <v>#N/A</v>
      </c>
    </row>
    <row r="408" ht="14.25" customHeight="1">
      <c r="A408" s="1" t="str">
        <f>IFERROR(__xludf.DUMMYFUNCTION("LEFT(REGEXREPLACE(B408, ""[^A-Za-z]"", """"), 3) &amp; RIGHT(D408, 2) &amp; LEFT(REGEXREPLACE(C408, ""[^A-Za-z]"", """"), 3)"),"")</f>
        <v/>
      </c>
      <c r="L408" s="1" t="str">
        <f t="array" ref="L408">XLOOKUP(D408,'Other Data Fuckery'!$A$2:$A$101, 'Other Data Fuckery'!$B$2:$B$101)</f>
        <v>#N/A</v>
      </c>
    </row>
    <row r="409" ht="14.25" customHeight="1">
      <c r="A409" s="1" t="str">
        <f>IFERROR(__xludf.DUMMYFUNCTION("LEFT(REGEXREPLACE(B409, ""[^A-Za-z]"", """"), 3) &amp; RIGHT(D409, 2) &amp; LEFT(REGEXREPLACE(C409, ""[^A-Za-z]"", """"), 3)"),"")</f>
        <v/>
      </c>
      <c r="L409" s="1" t="str">
        <f t="array" ref="L409">XLOOKUP(D409,'Other Data Fuckery'!$A$2:$A$101, 'Other Data Fuckery'!$B$2:$B$101)</f>
        <v>#N/A</v>
      </c>
    </row>
    <row r="410" ht="14.25" customHeight="1">
      <c r="A410" s="1" t="str">
        <f>IFERROR(__xludf.DUMMYFUNCTION("LEFT(REGEXREPLACE(B410, ""[^A-Za-z]"", """"), 3) &amp; RIGHT(D410, 2) &amp; LEFT(REGEXREPLACE(C410, ""[^A-Za-z]"", """"), 3)"),"")</f>
        <v/>
      </c>
      <c r="L410" s="1" t="str">
        <f t="array" ref="L410">XLOOKUP(D410,'Other Data Fuckery'!$A$2:$A$101, 'Other Data Fuckery'!$B$2:$B$101)</f>
        <v>#N/A</v>
      </c>
    </row>
    <row r="411" ht="14.25" customHeight="1">
      <c r="A411" s="1" t="str">
        <f>IFERROR(__xludf.DUMMYFUNCTION("LEFT(REGEXREPLACE(B411, ""[^A-Za-z]"", """"), 3) &amp; RIGHT(D411, 2) &amp; LEFT(REGEXREPLACE(C411, ""[^A-Za-z]"", """"), 3)"),"")</f>
        <v/>
      </c>
      <c r="L411" s="1" t="str">
        <f t="array" ref="L411">XLOOKUP(D411,'Other Data Fuckery'!$A$2:$A$101, 'Other Data Fuckery'!$B$2:$B$101)</f>
        <v>#N/A</v>
      </c>
    </row>
    <row r="412" ht="14.25" customHeight="1">
      <c r="A412" s="1" t="str">
        <f>IFERROR(__xludf.DUMMYFUNCTION("LEFT(REGEXREPLACE(B412, ""[^A-Za-z]"", """"), 3) &amp; RIGHT(D412, 2) &amp; LEFT(REGEXREPLACE(C412, ""[^A-Za-z]"", """"), 3)"),"")</f>
        <v/>
      </c>
      <c r="L412" s="1" t="str">
        <f t="array" ref="L412">XLOOKUP(D412,'Other Data Fuckery'!$A$2:$A$101, 'Other Data Fuckery'!$B$2:$B$101)</f>
        <v>#N/A</v>
      </c>
    </row>
    <row r="413" ht="14.25" customHeight="1">
      <c r="A413" s="1" t="str">
        <f>IFERROR(__xludf.DUMMYFUNCTION("LEFT(REGEXREPLACE(B413, ""[^A-Za-z]"", """"), 3) &amp; RIGHT(D413, 2) &amp; LEFT(REGEXREPLACE(C413, ""[^A-Za-z]"", """"), 3)"),"")</f>
        <v/>
      </c>
      <c r="L413" s="1" t="str">
        <f t="array" ref="L413">XLOOKUP(D413,'Other Data Fuckery'!$A$2:$A$101, 'Other Data Fuckery'!$B$2:$B$101)</f>
        <v>#N/A</v>
      </c>
    </row>
    <row r="414" ht="14.25" customHeight="1">
      <c r="A414" s="1" t="str">
        <f>IFERROR(__xludf.DUMMYFUNCTION("LEFT(REGEXREPLACE(B414, ""[^A-Za-z]"", """"), 3) &amp; RIGHT(D414, 2) &amp; LEFT(REGEXREPLACE(C414, ""[^A-Za-z]"", """"), 3)"),"")</f>
        <v/>
      </c>
      <c r="L414" s="1" t="str">
        <f t="array" ref="L414">XLOOKUP(D414,'Other Data Fuckery'!$A$2:$A$101, 'Other Data Fuckery'!$B$2:$B$101)</f>
        <v>#N/A</v>
      </c>
    </row>
    <row r="415" ht="14.25" customHeight="1">
      <c r="A415" s="1" t="str">
        <f>IFERROR(__xludf.DUMMYFUNCTION("LEFT(REGEXREPLACE(B415, ""[^A-Za-z]"", """"), 3) &amp; RIGHT(D415, 2) &amp; LEFT(REGEXREPLACE(C415, ""[^A-Za-z]"", """"), 3)"),"")</f>
        <v/>
      </c>
      <c r="L415" s="1" t="str">
        <f t="array" ref="L415">XLOOKUP(D415,'Other Data Fuckery'!$A$2:$A$101, 'Other Data Fuckery'!$B$2:$B$101)</f>
        <v>#N/A</v>
      </c>
    </row>
    <row r="416" ht="14.25" customHeight="1">
      <c r="A416" s="1" t="str">
        <f>IFERROR(__xludf.DUMMYFUNCTION("LEFT(REGEXREPLACE(B416, ""[^A-Za-z]"", """"), 3) &amp; RIGHT(D416, 2) &amp; LEFT(REGEXREPLACE(C416, ""[^A-Za-z]"", """"), 3)"),"")</f>
        <v/>
      </c>
      <c r="L416" s="1" t="str">
        <f t="array" ref="L416">XLOOKUP(D416,'Other Data Fuckery'!$A$2:$A$101, 'Other Data Fuckery'!$B$2:$B$101)</f>
        <v>#N/A</v>
      </c>
    </row>
    <row r="417" ht="14.25" customHeight="1">
      <c r="A417" s="1" t="str">
        <f>IFERROR(__xludf.DUMMYFUNCTION("LEFT(REGEXREPLACE(B417, ""[^A-Za-z]"", """"), 3) &amp; RIGHT(D417, 2) &amp; LEFT(REGEXREPLACE(C417, ""[^A-Za-z]"", """"), 3)"),"")</f>
        <v/>
      </c>
      <c r="L417" s="1" t="str">
        <f t="array" ref="L417">XLOOKUP(D417,'Other Data Fuckery'!$A$2:$A$101, 'Other Data Fuckery'!$B$2:$B$101)</f>
        <v>#N/A</v>
      </c>
    </row>
    <row r="418" ht="14.25" customHeight="1">
      <c r="A418" s="1" t="str">
        <f>IFERROR(__xludf.DUMMYFUNCTION("LEFT(REGEXREPLACE(B418, ""[^A-Za-z]"", """"), 3) &amp; RIGHT(D418, 2) &amp; LEFT(REGEXREPLACE(C418, ""[^A-Za-z]"", """"), 3)"),"")</f>
        <v/>
      </c>
      <c r="L418" s="1" t="str">
        <f t="array" ref="L418">XLOOKUP(D418,'Other Data Fuckery'!$A$2:$A$101, 'Other Data Fuckery'!$B$2:$B$101)</f>
        <v>#N/A</v>
      </c>
    </row>
    <row r="419" ht="14.25" customHeight="1">
      <c r="A419" s="1" t="str">
        <f>IFERROR(__xludf.DUMMYFUNCTION("LEFT(REGEXREPLACE(B419, ""[^A-Za-z]"", """"), 3) &amp; RIGHT(D419, 2) &amp; LEFT(REGEXREPLACE(C419, ""[^A-Za-z]"", """"), 3)"),"")</f>
        <v/>
      </c>
      <c r="L419" s="1" t="str">
        <f t="array" ref="L419">XLOOKUP(D419,'Other Data Fuckery'!$A$2:$A$101, 'Other Data Fuckery'!$B$2:$B$101)</f>
        <v>#N/A</v>
      </c>
    </row>
    <row r="420" ht="14.25" customHeight="1">
      <c r="A420" s="1" t="str">
        <f>IFERROR(__xludf.DUMMYFUNCTION("LEFT(REGEXREPLACE(B420, ""[^A-Za-z]"", """"), 3) &amp; RIGHT(D420, 2) &amp; LEFT(REGEXREPLACE(C420, ""[^A-Za-z]"", """"), 3)"),"")</f>
        <v/>
      </c>
      <c r="L420" s="1" t="str">
        <f t="array" ref="L420">XLOOKUP(D420,'Other Data Fuckery'!$A$2:$A$101, 'Other Data Fuckery'!$B$2:$B$101)</f>
        <v>#N/A</v>
      </c>
    </row>
    <row r="421" ht="14.25" customHeight="1">
      <c r="A421" s="1" t="str">
        <f>IFERROR(__xludf.DUMMYFUNCTION("LEFT(REGEXREPLACE(B421, ""[^A-Za-z]"", """"), 3) &amp; RIGHT(D421, 2) &amp; LEFT(REGEXREPLACE(C421, ""[^A-Za-z]"", """"), 3)"),"")</f>
        <v/>
      </c>
      <c r="L421" s="1" t="str">
        <f t="array" ref="L421">XLOOKUP(D421,'Other Data Fuckery'!$A$2:$A$101, 'Other Data Fuckery'!$B$2:$B$101)</f>
        <v>#N/A</v>
      </c>
    </row>
    <row r="422" ht="14.25" customHeight="1">
      <c r="A422" s="1" t="str">
        <f>IFERROR(__xludf.DUMMYFUNCTION("LEFT(REGEXREPLACE(B422, ""[^A-Za-z]"", """"), 3) &amp; RIGHT(D422, 2) &amp; LEFT(REGEXREPLACE(C422, ""[^A-Za-z]"", """"), 3)"),"")</f>
        <v/>
      </c>
      <c r="L422" s="1" t="str">
        <f t="array" ref="L422">XLOOKUP(D422,'Other Data Fuckery'!$A$2:$A$101, 'Other Data Fuckery'!$B$2:$B$101)</f>
        <v>#N/A</v>
      </c>
    </row>
    <row r="423" ht="14.25" customHeight="1">
      <c r="A423" s="1" t="str">
        <f>IFERROR(__xludf.DUMMYFUNCTION("LEFT(REGEXREPLACE(B423, ""[^A-Za-z]"", """"), 3) &amp; RIGHT(D423, 2) &amp; LEFT(REGEXREPLACE(C423, ""[^A-Za-z]"", """"), 3)"),"")</f>
        <v/>
      </c>
      <c r="L423" s="1" t="str">
        <f t="array" ref="L423">XLOOKUP(D423,'Other Data Fuckery'!$A$2:$A$101, 'Other Data Fuckery'!$B$2:$B$101)</f>
        <v>#N/A</v>
      </c>
    </row>
    <row r="424" ht="14.25" customHeight="1">
      <c r="A424" s="1" t="str">
        <f>IFERROR(__xludf.DUMMYFUNCTION("LEFT(REGEXREPLACE(B424, ""[^A-Za-z]"", """"), 3) &amp; RIGHT(D424, 2) &amp; LEFT(REGEXREPLACE(C424, ""[^A-Za-z]"", """"), 3)"),"")</f>
        <v/>
      </c>
      <c r="L424" s="1" t="str">
        <f t="array" ref="L424">XLOOKUP(D424,'Other Data Fuckery'!$A$2:$A$101, 'Other Data Fuckery'!$B$2:$B$101)</f>
        <v>#N/A</v>
      </c>
    </row>
    <row r="425" ht="14.25" customHeight="1">
      <c r="A425" s="1" t="str">
        <f>IFERROR(__xludf.DUMMYFUNCTION("LEFT(REGEXREPLACE(B425, ""[^A-Za-z]"", """"), 3) &amp; RIGHT(D425, 2) &amp; LEFT(REGEXREPLACE(C425, ""[^A-Za-z]"", """"), 3)"),"")</f>
        <v/>
      </c>
      <c r="L425" s="1" t="str">
        <f t="array" ref="L425">XLOOKUP(D425,'Other Data Fuckery'!$A$2:$A$101, 'Other Data Fuckery'!$B$2:$B$101)</f>
        <v>#N/A</v>
      </c>
    </row>
    <row r="426" ht="14.25" customHeight="1">
      <c r="A426" s="1" t="str">
        <f>IFERROR(__xludf.DUMMYFUNCTION("LEFT(REGEXREPLACE(B426, ""[^A-Za-z]"", """"), 3) &amp; RIGHT(D426, 2) &amp; LEFT(REGEXREPLACE(C426, ""[^A-Za-z]"", """"), 3)"),"")</f>
        <v/>
      </c>
      <c r="L426" s="1" t="str">
        <f t="array" ref="L426">XLOOKUP(D426,'Other Data Fuckery'!$A$2:$A$101, 'Other Data Fuckery'!$B$2:$B$101)</f>
        <v>#N/A</v>
      </c>
    </row>
    <row r="427" ht="14.25" customHeight="1">
      <c r="A427" s="1" t="str">
        <f>IFERROR(__xludf.DUMMYFUNCTION("LEFT(REGEXREPLACE(B427, ""[^A-Za-z]"", """"), 3) &amp; RIGHT(D427, 2) &amp; LEFT(REGEXREPLACE(C427, ""[^A-Za-z]"", """"), 3)"),"")</f>
        <v/>
      </c>
      <c r="L427" s="1" t="str">
        <f t="array" ref="L427">XLOOKUP(D427,'Other Data Fuckery'!$A$2:$A$101, 'Other Data Fuckery'!$B$2:$B$101)</f>
        <v>#N/A</v>
      </c>
    </row>
    <row r="428" ht="14.25" customHeight="1">
      <c r="A428" s="1" t="str">
        <f>IFERROR(__xludf.DUMMYFUNCTION("LEFT(REGEXREPLACE(B428, ""[^A-Za-z]"", """"), 3) &amp; RIGHT(D428, 2) &amp; LEFT(REGEXREPLACE(C428, ""[^A-Za-z]"", """"), 3)"),"")</f>
        <v/>
      </c>
      <c r="L428" s="1" t="str">
        <f t="array" ref="L428">XLOOKUP(D428,'Other Data Fuckery'!$A$2:$A$101, 'Other Data Fuckery'!$B$2:$B$101)</f>
        <v>#N/A</v>
      </c>
    </row>
    <row r="429" ht="14.25" customHeight="1">
      <c r="A429" s="1" t="str">
        <f>IFERROR(__xludf.DUMMYFUNCTION("LEFT(REGEXREPLACE(B429, ""[^A-Za-z]"", """"), 3) &amp; RIGHT(D429, 2) &amp; LEFT(REGEXREPLACE(C429, ""[^A-Za-z]"", """"), 3)"),"")</f>
        <v/>
      </c>
      <c r="L429" s="1" t="str">
        <f t="array" ref="L429">XLOOKUP(D429,'Other Data Fuckery'!$A$2:$A$101, 'Other Data Fuckery'!$B$2:$B$101)</f>
        <v>#N/A</v>
      </c>
    </row>
    <row r="430" ht="14.25" customHeight="1">
      <c r="A430" s="1" t="str">
        <f>IFERROR(__xludf.DUMMYFUNCTION("LEFT(REGEXREPLACE(B430, ""[^A-Za-z]"", """"), 3) &amp; RIGHT(D430, 2) &amp; LEFT(REGEXREPLACE(C430, ""[^A-Za-z]"", """"), 3)"),"")</f>
        <v/>
      </c>
      <c r="L430" s="1" t="str">
        <f t="array" ref="L430">XLOOKUP(D430,'Other Data Fuckery'!$A$2:$A$101, 'Other Data Fuckery'!$B$2:$B$101)</f>
        <v>#N/A</v>
      </c>
    </row>
    <row r="431" ht="14.25" customHeight="1">
      <c r="A431" s="1" t="str">
        <f>IFERROR(__xludf.DUMMYFUNCTION("LEFT(REGEXREPLACE(B431, ""[^A-Za-z]"", """"), 3) &amp; RIGHT(D431, 2) &amp; LEFT(REGEXREPLACE(C431, ""[^A-Za-z]"", """"), 3)"),"")</f>
        <v/>
      </c>
      <c r="L431" s="1" t="str">
        <f t="array" ref="L431">XLOOKUP(D431,'Other Data Fuckery'!$A$2:$A$101, 'Other Data Fuckery'!$B$2:$B$101)</f>
        <v>#N/A</v>
      </c>
    </row>
    <row r="432" ht="14.25" customHeight="1">
      <c r="A432" s="1" t="str">
        <f>IFERROR(__xludf.DUMMYFUNCTION("LEFT(REGEXREPLACE(B432, ""[^A-Za-z]"", """"), 3) &amp; RIGHT(D432, 2) &amp; LEFT(REGEXREPLACE(C432, ""[^A-Za-z]"", """"), 3)"),"")</f>
        <v/>
      </c>
      <c r="L432" s="1" t="str">
        <f t="array" ref="L432">XLOOKUP(D432,'Other Data Fuckery'!$A$2:$A$101, 'Other Data Fuckery'!$B$2:$B$101)</f>
        <v>#N/A</v>
      </c>
    </row>
    <row r="433" ht="14.25" customHeight="1">
      <c r="A433" s="1" t="str">
        <f>IFERROR(__xludf.DUMMYFUNCTION("LEFT(REGEXREPLACE(B433, ""[^A-Za-z]"", """"), 3) &amp; RIGHT(D433, 2) &amp; LEFT(REGEXREPLACE(C433, ""[^A-Za-z]"", """"), 3)"),"")</f>
        <v/>
      </c>
      <c r="L433" s="1" t="str">
        <f t="array" ref="L433">XLOOKUP(D433,'Other Data Fuckery'!$A$2:$A$101, 'Other Data Fuckery'!$B$2:$B$101)</f>
        <v>#N/A</v>
      </c>
    </row>
    <row r="434" ht="14.25" customHeight="1">
      <c r="A434" s="1" t="str">
        <f>IFERROR(__xludf.DUMMYFUNCTION("LEFT(REGEXREPLACE(B434, ""[^A-Za-z]"", """"), 3) &amp; RIGHT(D434, 2) &amp; LEFT(REGEXREPLACE(C434, ""[^A-Za-z]"", """"), 3)"),"")</f>
        <v/>
      </c>
      <c r="L434" s="1" t="str">
        <f t="array" ref="L434">XLOOKUP(D434,'Other Data Fuckery'!$A$2:$A$101, 'Other Data Fuckery'!$B$2:$B$101)</f>
        <v>#N/A</v>
      </c>
    </row>
    <row r="435" ht="14.25" customHeight="1">
      <c r="A435" s="1" t="str">
        <f>IFERROR(__xludf.DUMMYFUNCTION("LEFT(REGEXREPLACE(B435, ""[^A-Za-z]"", """"), 3) &amp; RIGHT(D435, 2) &amp; LEFT(REGEXREPLACE(C435, ""[^A-Za-z]"", """"), 3)"),"")</f>
        <v/>
      </c>
      <c r="L435" s="1" t="str">
        <f t="array" ref="L435">XLOOKUP(D435,'Other Data Fuckery'!$A$2:$A$101, 'Other Data Fuckery'!$B$2:$B$101)</f>
        <v>#N/A</v>
      </c>
    </row>
    <row r="436" ht="14.25" customHeight="1">
      <c r="A436" s="1" t="str">
        <f>IFERROR(__xludf.DUMMYFUNCTION("LEFT(REGEXREPLACE(B436, ""[^A-Za-z]"", """"), 3) &amp; RIGHT(D436, 2) &amp; LEFT(REGEXREPLACE(C436, ""[^A-Za-z]"", """"), 3)"),"")</f>
        <v/>
      </c>
      <c r="L436" s="1" t="str">
        <f t="array" ref="L436">XLOOKUP(D436,'Other Data Fuckery'!$A$2:$A$101, 'Other Data Fuckery'!$B$2:$B$101)</f>
        <v>#N/A</v>
      </c>
    </row>
    <row r="437" ht="14.25" customHeight="1">
      <c r="A437" s="1" t="str">
        <f>IFERROR(__xludf.DUMMYFUNCTION("LEFT(REGEXREPLACE(B437, ""[^A-Za-z]"", """"), 3) &amp; RIGHT(D437, 2) &amp; LEFT(REGEXREPLACE(C437, ""[^A-Za-z]"", """"), 3)"),"")</f>
        <v/>
      </c>
      <c r="L437" s="1" t="str">
        <f t="array" ref="L437">XLOOKUP(D437,'Other Data Fuckery'!$A$2:$A$101, 'Other Data Fuckery'!$B$2:$B$101)</f>
        <v>#N/A</v>
      </c>
    </row>
    <row r="438" ht="14.25" customHeight="1">
      <c r="A438" s="1" t="str">
        <f>IFERROR(__xludf.DUMMYFUNCTION("LEFT(REGEXREPLACE(B438, ""[^A-Za-z]"", """"), 3) &amp; RIGHT(D438, 2) &amp; LEFT(REGEXREPLACE(C438, ""[^A-Za-z]"", """"), 3)"),"")</f>
        <v/>
      </c>
      <c r="L438" s="1" t="str">
        <f t="array" ref="L438">XLOOKUP(D438,'Other Data Fuckery'!$A$2:$A$101, 'Other Data Fuckery'!$B$2:$B$101)</f>
        <v>#N/A</v>
      </c>
    </row>
    <row r="439" ht="14.25" customHeight="1">
      <c r="A439" s="1" t="str">
        <f>IFERROR(__xludf.DUMMYFUNCTION("LEFT(REGEXREPLACE(B439, ""[^A-Za-z]"", """"), 3) &amp; RIGHT(D439, 2) &amp; LEFT(REGEXREPLACE(C439, ""[^A-Za-z]"", """"), 3)"),"")</f>
        <v/>
      </c>
      <c r="L439" s="1" t="str">
        <f t="array" ref="L439">XLOOKUP(D439,'Other Data Fuckery'!$A$2:$A$101, 'Other Data Fuckery'!$B$2:$B$101)</f>
        <v>#N/A</v>
      </c>
    </row>
    <row r="440" ht="14.25" customHeight="1">
      <c r="A440" s="1" t="str">
        <f>IFERROR(__xludf.DUMMYFUNCTION("LEFT(REGEXREPLACE(B440, ""[^A-Za-z]"", """"), 3) &amp; RIGHT(D440, 2) &amp; LEFT(REGEXREPLACE(C440, ""[^A-Za-z]"", """"), 3)"),"")</f>
        <v/>
      </c>
      <c r="L440" s="1" t="str">
        <f t="array" ref="L440">XLOOKUP(D440,'Other Data Fuckery'!$A$2:$A$101, 'Other Data Fuckery'!$B$2:$B$101)</f>
        <v>#N/A</v>
      </c>
    </row>
    <row r="441" ht="14.25" customHeight="1">
      <c r="A441" s="1" t="str">
        <f>IFERROR(__xludf.DUMMYFUNCTION("LEFT(REGEXREPLACE(B441, ""[^A-Za-z]"", """"), 3) &amp; RIGHT(D441, 2) &amp; LEFT(REGEXREPLACE(C441, ""[^A-Za-z]"", """"), 3)"),"")</f>
        <v/>
      </c>
      <c r="L441" s="1" t="str">
        <f t="array" ref="L441">XLOOKUP(D441,'Other Data Fuckery'!$A$2:$A$101, 'Other Data Fuckery'!$B$2:$B$101)</f>
        <v>#N/A</v>
      </c>
    </row>
    <row r="442" ht="14.25" customHeight="1">
      <c r="A442" s="1" t="str">
        <f>IFERROR(__xludf.DUMMYFUNCTION("LEFT(REGEXREPLACE(B442, ""[^A-Za-z]"", """"), 3) &amp; RIGHT(D442, 2) &amp; LEFT(REGEXREPLACE(C442, ""[^A-Za-z]"", """"), 3)"),"")</f>
        <v/>
      </c>
      <c r="L442" s="1" t="str">
        <f t="array" ref="L442">XLOOKUP(D442,'Other Data Fuckery'!$A$2:$A$101, 'Other Data Fuckery'!$B$2:$B$101)</f>
        <v>#N/A</v>
      </c>
    </row>
    <row r="443" ht="14.25" customHeight="1">
      <c r="A443" s="1" t="str">
        <f>IFERROR(__xludf.DUMMYFUNCTION("LEFT(REGEXREPLACE(B443, ""[^A-Za-z]"", """"), 3) &amp; RIGHT(D443, 2) &amp; LEFT(REGEXREPLACE(C443, ""[^A-Za-z]"", """"), 3)"),"")</f>
        <v/>
      </c>
      <c r="L443" s="1" t="str">
        <f t="array" ref="L443">XLOOKUP(D443,'Other Data Fuckery'!$A$2:$A$101, 'Other Data Fuckery'!$B$2:$B$101)</f>
        <v>#N/A</v>
      </c>
    </row>
    <row r="444" ht="14.25" customHeight="1">
      <c r="A444" s="1" t="str">
        <f>IFERROR(__xludf.DUMMYFUNCTION("LEFT(REGEXREPLACE(B444, ""[^A-Za-z]"", """"), 3) &amp; RIGHT(D444, 2) &amp; LEFT(REGEXREPLACE(C444, ""[^A-Za-z]"", """"), 3)"),"")</f>
        <v/>
      </c>
      <c r="L444" s="1" t="str">
        <f t="array" ref="L444">XLOOKUP(D444,'Other Data Fuckery'!$A$2:$A$101, 'Other Data Fuckery'!$B$2:$B$101)</f>
        <v>#N/A</v>
      </c>
    </row>
    <row r="445" ht="14.25" customHeight="1">
      <c r="A445" s="1" t="str">
        <f>IFERROR(__xludf.DUMMYFUNCTION("LEFT(REGEXREPLACE(B445, ""[^A-Za-z]"", """"), 3) &amp; RIGHT(D445, 2) &amp; LEFT(REGEXREPLACE(C445, ""[^A-Za-z]"", """"), 3)"),"")</f>
        <v/>
      </c>
      <c r="L445" s="1" t="str">
        <f t="array" ref="L445">XLOOKUP(D445,'Other Data Fuckery'!$A$2:$A$101, 'Other Data Fuckery'!$B$2:$B$101)</f>
        <v>#N/A</v>
      </c>
    </row>
    <row r="446" ht="14.25" customHeight="1">
      <c r="A446" s="1" t="str">
        <f>IFERROR(__xludf.DUMMYFUNCTION("LEFT(REGEXREPLACE(B446, ""[^A-Za-z]"", """"), 3) &amp; RIGHT(D446, 2) &amp; LEFT(REGEXREPLACE(C446, ""[^A-Za-z]"", """"), 3)"),"")</f>
        <v/>
      </c>
      <c r="L446" s="1" t="str">
        <f t="array" ref="L446">XLOOKUP(D446,'Other Data Fuckery'!$A$2:$A$101, 'Other Data Fuckery'!$B$2:$B$101)</f>
        <v>#N/A</v>
      </c>
    </row>
    <row r="447" ht="14.25" customHeight="1">
      <c r="A447" s="1" t="str">
        <f>IFERROR(__xludf.DUMMYFUNCTION("LEFT(REGEXREPLACE(B447, ""[^A-Za-z]"", """"), 3) &amp; RIGHT(D447, 2) &amp; LEFT(REGEXREPLACE(C447, ""[^A-Za-z]"", """"), 3)"),"")</f>
        <v/>
      </c>
      <c r="L447" s="1" t="str">
        <f t="array" ref="L447">XLOOKUP(D447,'Other Data Fuckery'!$A$2:$A$101, 'Other Data Fuckery'!$B$2:$B$101)</f>
        <v>#N/A</v>
      </c>
    </row>
    <row r="448" ht="14.25" customHeight="1">
      <c r="A448" s="1" t="str">
        <f>IFERROR(__xludf.DUMMYFUNCTION("LEFT(REGEXREPLACE(B448, ""[^A-Za-z]"", """"), 3) &amp; RIGHT(D448, 2) &amp; LEFT(REGEXREPLACE(C448, ""[^A-Za-z]"", """"), 3)"),"")</f>
        <v/>
      </c>
      <c r="L448" s="1" t="str">
        <f t="array" ref="L448">XLOOKUP(D448,'Other Data Fuckery'!$A$2:$A$101, 'Other Data Fuckery'!$B$2:$B$101)</f>
        <v>#N/A</v>
      </c>
    </row>
    <row r="449" ht="14.25" customHeight="1">
      <c r="A449" s="1" t="str">
        <f>IFERROR(__xludf.DUMMYFUNCTION("LEFT(REGEXREPLACE(B449, ""[^A-Za-z]"", """"), 3) &amp; RIGHT(D449, 2) &amp; LEFT(REGEXREPLACE(C449, ""[^A-Za-z]"", """"), 3)"),"")</f>
        <v/>
      </c>
      <c r="L449" s="1" t="str">
        <f t="array" ref="L449">XLOOKUP(D449,'Other Data Fuckery'!$A$2:$A$101, 'Other Data Fuckery'!$B$2:$B$101)</f>
        <v>#N/A</v>
      </c>
    </row>
    <row r="450" ht="14.25" customHeight="1">
      <c r="A450" s="1" t="str">
        <f>IFERROR(__xludf.DUMMYFUNCTION("LEFT(REGEXREPLACE(B450, ""[^A-Za-z]"", """"), 3) &amp; RIGHT(D450, 2) &amp; LEFT(REGEXREPLACE(C450, ""[^A-Za-z]"", """"), 3)"),"")</f>
        <v/>
      </c>
      <c r="L450" s="1" t="str">
        <f t="array" ref="L450">XLOOKUP(D450,'Other Data Fuckery'!$A$2:$A$101, 'Other Data Fuckery'!$B$2:$B$101)</f>
        <v>#N/A</v>
      </c>
    </row>
    <row r="451" ht="14.25" customHeight="1">
      <c r="A451" s="1" t="str">
        <f>IFERROR(__xludf.DUMMYFUNCTION("LEFT(REGEXREPLACE(B451, ""[^A-Za-z]"", """"), 3) &amp; RIGHT(D451, 2) &amp; LEFT(REGEXREPLACE(C451, ""[^A-Za-z]"", """"), 3)"),"")</f>
        <v/>
      </c>
      <c r="L451" s="1" t="str">
        <f t="array" ref="L451">XLOOKUP(D451,'Other Data Fuckery'!$A$2:$A$101, 'Other Data Fuckery'!$B$2:$B$101)</f>
        <v>#N/A</v>
      </c>
    </row>
    <row r="452" ht="14.25" customHeight="1">
      <c r="A452" s="1" t="str">
        <f>IFERROR(__xludf.DUMMYFUNCTION("LEFT(REGEXREPLACE(B452, ""[^A-Za-z]"", """"), 3) &amp; RIGHT(D452, 2) &amp; LEFT(REGEXREPLACE(C452, ""[^A-Za-z]"", """"), 3)"),"")</f>
        <v/>
      </c>
      <c r="L452" s="1" t="str">
        <f t="array" ref="L452">XLOOKUP(D452,'Other Data Fuckery'!$A$2:$A$101, 'Other Data Fuckery'!$B$2:$B$101)</f>
        <v>#N/A</v>
      </c>
    </row>
    <row r="453" ht="14.25" customHeight="1">
      <c r="A453" s="1" t="str">
        <f>IFERROR(__xludf.DUMMYFUNCTION("LEFT(REGEXREPLACE(B453, ""[^A-Za-z]"", """"), 3) &amp; RIGHT(D453, 2) &amp; LEFT(REGEXREPLACE(C453, ""[^A-Za-z]"", """"), 3)"),"")</f>
        <v/>
      </c>
      <c r="L453" s="1" t="str">
        <f t="array" ref="L453">XLOOKUP(D453,'Other Data Fuckery'!$A$2:$A$101, 'Other Data Fuckery'!$B$2:$B$101)</f>
        <v>#N/A</v>
      </c>
    </row>
    <row r="454" ht="14.25" customHeight="1">
      <c r="A454" s="1" t="str">
        <f>IFERROR(__xludf.DUMMYFUNCTION("LEFT(REGEXREPLACE(B454, ""[^A-Za-z]"", """"), 3) &amp; RIGHT(D454, 2) &amp; LEFT(REGEXREPLACE(C454, ""[^A-Za-z]"", """"), 3)"),"")</f>
        <v/>
      </c>
      <c r="L454" s="1" t="str">
        <f t="array" ref="L454">XLOOKUP(D454,'Other Data Fuckery'!$A$2:$A$101, 'Other Data Fuckery'!$B$2:$B$101)</f>
        <v>#N/A</v>
      </c>
    </row>
    <row r="455" ht="14.25" customHeight="1">
      <c r="A455" s="1" t="str">
        <f>IFERROR(__xludf.DUMMYFUNCTION("LEFT(REGEXREPLACE(B455, ""[^A-Za-z]"", """"), 3) &amp; RIGHT(D455, 2) &amp; LEFT(REGEXREPLACE(C455, ""[^A-Za-z]"", """"), 3)"),"")</f>
        <v/>
      </c>
      <c r="L455" s="1" t="str">
        <f t="array" ref="L455">XLOOKUP(D455,'Other Data Fuckery'!$A$2:$A$101, 'Other Data Fuckery'!$B$2:$B$101)</f>
        <v>#N/A</v>
      </c>
    </row>
    <row r="456" ht="14.25" customHeight="1">
      <c r="A456" s="1" t="str">
        <f>IFERROR(__xludf.DUMMYFUNCTION("LEFT(REGEXREPLACE(B456, ""[^A-Za-z]"", """"), 3) &amp; RIGHT(D456, 2) &amp; LEFT(REGEXREPLACE(C456, ""[^A-Za-z]"", """"), 3)"),"")</f>
        <v/>
      </c>
      <c r="L456" s="1" t="str">
        <f t="array" ref="L456">XLOOKUP(D456,'Other Data Fuckery'!$A$2:$A$101, 'Other Data Fuckery'!$B$2:$B$101)</f>
        <v>#N/A</v>
      </c>
    </row>
    <row r="457" ht="14.25" customHeight="1">
      <c r="A457" s="1" t="str">
        <f>IFERROR(__xludf.DUMMYFUNCTION("LEFT(REGEXREPLACE(B457, ""[^A-Za-z]"", """"), 3) &amp; RIGHT(D457, 2) &amp; LEFT(REGEXREPLACE(C457, ""[^A-Za-z]"", """"), 3)"),"")</f>
        <v/>
      </c>
      <c r="L457" s="1" t="str">
        <f t="array" ref="L457">XLOOKUP(D457,'Other Data Fuckery'!$A$2:$A$101, 'Other Data Fuckery'!$B$2:$B$101)</f>
        <v>#N/A</v>
      </c>
    </row>
    <row r="458" ht="14.25" customHeight="1">
      <c r="A458" s="1" t="str">
        <f>IFERROR(__xludf.DUMMYFUNCTION("LEFT(REGEXREPLACE(B458, ""[^A-Za-z]"", """"), 3) &amp; RIGHT(D458, 2) &amp; LEFT(REGEXREPLACE(C458, ""[^A-Za-z]"", """"), 3)"),"")</f>
        <v/>
      </c>
      <c r="L458" s="1" t="str">
        <f t="array" ref="L458">XLOOKUP(D458,'Other Data Fuckery'!$A$2:$A$101, 'Other Data Fuckery'!$B$2:$B$101)</f>
        <v>#N/A</v>
      </c>
    </row>
    <row r="459" ht="14.25" customHeight="1">
      <c r="A459" s="1" t="str">
        <f>IFERROR(__xludf.DUMMYFUNCTION("LEFT(REGEXREPLACE(B459, ""[^A-Za-z]"", """"), 3) &amp; RIGHT(D459, 2) &amp; LEFT(REGEXREPLACE(C459, ""[^A-Za-z]"", """"), 3)"),"")</f>
        <v/>
      </c>
      <c r="L459" s="1" t="str">
        <f t="array" ref="L459">XLOOKUP(D459,'Other Data Fuckery'!$A$2:$A$101, 'Other Data Fuckery'!$B$2:$B$101)</f>
        <v>#N/A</v>
      </c>
    </row>
    <row r="460" ht="14.25" customHeight="1">
      <c r="A460" s="1" t="str">
        <f>IFERROR(__xludf.DUMMYFUNCTION("LEFT(REGEXREPLACE(B460, ""[^A-Za-z]"", """"), 3) &amp; RIGHT(D460, 2) &amp; LEFT(REGEXREPLACE(C460, ""[^A-Za-z]"", """"), 3)"),"")</f>
        <v/>
      </c>
      <c r="L460" s="1" t="str">
        <f t="array" ref="L460">XLOOKUP(D460,'Other Data Fuckery'!$A$2:$A$101, 'Other Data Fuckery'!$B$2:$B$101)</f>
        <v>#N/A</v>
      </c>
    </row>
    <row r="461" ht="14.25" customHeight="1">
      <c r="A461" s="1" t="str">
        <f>IFERROR(__xludf.DUMMYFUNCTION("LEFT(REGEXREPLACE(B461, ""[^A-Za-z]"", """"), 3) &amp; RIGHT(D461, 2) &amp; LEFT(REGEXREPLACE(C461, ""[^A-Za-z]"", """"), 3)"),"")</f>
        <v/>
      </c>
      <c r="L461" s="1" t="str">
        <f t="array" ref="L461">XLOOKUP(D461,'Other Data Fuckery'!$A$2:$A$101, 'Other Data Fuckery'!$B$2:$B$101)</f>
        <v>#N/A</v>
      </c>
    </row>
    <row r="462" ht="14.25" customHeight="1">
      <c r="A462" s="1" t="str">
        <f>IFERROR(__xludf.DUMMYFUNCTION("LEFT(REGEXREPLACE(B462, ""[^A-Za-z]"", """"), 3) &amp; RIGHT(D462, 2) &amp; LEFT(REGEXREPLACE(C462, ""[^A-Za-z]"", """"), 3)"),"")</f>
        <v/>
      </c>
      <c r="L462" s="1" t="str">
        <f t="array" ref="L462">XLOOKUP(D462,'Other Data Fuckery'!$A$2:$A$101, 'Other Data Fuckery'!$B$2:$B$101)</f>
        <v>#N/A</v>
      </c>
    </row>
    <row r="463" ht="14.25" customHeight="1">
      <c r="A463" s="1" t="str">
        <f>IFERROR(__xludf.DUMMYFUNCTION("LEFT(REGEXREPLACE(B463, ""[^A-Za-z]"", """"), 3) &amp; RIGHT(D463, 2) &amp; LEFT(REGEXREPLACE(C463, ""[^A-Za-z]"", """"), 3)"),"")</f>
        <v/>
      </c>
      <c r="L463" s="1" t="str">
        <f t="array" ref="L463">XLOOKUP(D463,'Other Data Fuckery'!$A$2:$A$101, 'Other Data Fuckery'!$B$2:$B$101)</f>
        <v>#N/A</v>
      </c>
    </row>
    <row r="464" ht="14.25" customHeight="1">
      <c r="A464" s="1" t="str">
        <f>IFERROR(__xludf.DUMMYFUNCTION("LEFT(REGEXREPLACE(B464, ""[^A-Za-z]"", """"), 3) &amp; RIGHT(D464, 2) &amp; LEFT(REGEXREPLACE(C464, ""[^A-Za-z]"", """"), 3)"),"")</f>
        <v/>
      </c>
      <c r="L464" s="1" t="str">
        <f t="array" ref="L464">XLOOKUP(D464,'Other Data Fuckery'!$A$2:$A$101, 'Other Data Fuckery'!$B$2:$B$101)</f>
        <v>#N/A</v>
      </c>
    </row>
    <row r="465" ht="14.25" customHeight="1">
      <c r="A465" s="1" t="str">
        <f>IFERROR(__xludf.DUMMYFUNCTION("LEFT(REGEXREPLACE(B465, ""[^A-Za-z]"", """"), 3) &amp; RIGHT(D465, 2) &amp; LEFT(REGEXREPLACE(C465, ""[^A-Za-z]"", """"), 3)"),"")</f>
        <v/>
      </c>
      <c r="L465" s="1" t="str">
        <f t="array" ref="L465">XLOOKUP(D465,'Other Data Fuckery'!$A$2:$A$101, 'Other Data Fuckery'!$B$2:$B$101)</f>
        <v>#N/A</v>
      </c>
    </row>
    <row r="466" ht="14.25" customHeight="1">
      <c r="A466" s="1" t="str">
        <f>IFERROR(__xludf.DUMMYFUNCTION("LEFT(REGEXREPLACE(B466, ""[^A-Za-z]"", """"), 3) &amp; RIGHT(D466, 2) &amp; LEFT(REGEXREPLACE(C466, ""[^A-Za-z]"", """"), 3)"),"")</f>
        <v/>
      </c>
      <c r="L466" s="1" t="str">
        <f t="array" ref="L466">XLOOKUP(D466,'Other Data Fuckery'!$A$2:$A$101, 'Other Data Fuckery'!$B$2:$B$101)</f>
        <v>#N/A</v>
      </c>
    </row>
    <row r="467" ht="14.25" customHeight="1">
      <c r="A467" s="1" t="str">
        <f>IFERROR(__xludf.DUMMYFUNCTION("LEFT(REGEXREPLACE(B467, ""[^A-Za-z]"", """"), 3) &amp; RIGHT(D467, 2) &amp; LEFT(REGEXREPLACE(C467, ""[^A-Za-z]"", """"), 3)"),"")</f>
        <v/>
      </c>
      <c r="L467" s="1" t="str">
        <f t="array" ref="L467">XLOOKUP(D467,'Other Data Fuckery'!$A$2:$A$101, 'Other Data Fuckery'!$B$2:$B$101)</f>
        <v>#N/A</v>
      </c>
    </row>
    <row r="468" ht="14.25" customHeight="1">
      <c r="A468" s="1" t="str">
        <f>IFERROR(__xludf.DUMMYFUNCTION("LEFT(REGEXREPLACE(B468, ""[^A-Za-z]"", """"), 3) &amp; RIGHT(D468, 2) &amp; LEFT(REGEXREPLACE(C468, ""[^A-Za-z]"", """"), 3)"),"")</f>
        <v/>
      </c>
      <c r="L468" s="1" t="str">
        <f t="array" ref="L468">XLOOKUP(D468,'Other Data Fuckery'!$A$2:$A$101, 'Other Data Fuckery'!$B$2:$B$101)</f>
        <v>#N/A</v>
      </c>
    </row>
    <row r="469" ht="14.25" customHeight="1">
      <c r="A469" s="1" t="str">
        <f>IFERROR(__xludf.DUMMYFUNCTION("LEFT(REGEXREPLACE(B469, ""[^A-Za-z]"", """"), 3) &amp; RIGHT(D469, 2) &amp; LEFT(REGEXREPLACE(C469, ""[^A-Za-z]"", """"), 3)"),"")</f>
        <v/>
      </c>
      <c r="L469" s="1" t="str">
        <f t="array" ref="L469">XLOOKUP(D469,'Other Data Fuckery'!$A$2:$A$101, 'Other Data Fuckery'!$B$2:$B$101)</f>
        <v>#N/A</v>
      </c>
    </row>
    <row r="470" ht="14.25" customHeight="1">
      <c r="A470" s="1" t="str">
        <f>IFERROR(__xludf.DUMMYFUNCTION("LEFT(REGEXREPLACE(B470, ""[^A-Za-z]"", """"), 3) &amp; RIGHT(D470, 2) &amp; LEFT(REGEXREPLACE(C470, ""[^A-Za-z]"", """"), 3)"),"")</f>
        <v/>
      </c>
      <c r="L470" s="1" t="str">
        <f t="array" ref="L470">XLOOKUP(D470,'Other Data Fuckery'!$A$2:$A$101, 'Other Data Fuckery'!$B$2:$B$101)</f>
        <v>#N/A</v>
      </c>
    </row>
    <row r="471" ht="14.25" customHeight="1">
      <c r="A471" s="1" t="str">
        <f>IFERROR(__xludf.DUMMYFUNCTION("LEFT(REGEXREPLACE(B471, ""[^A-Za-z]"", """"), 3) &amp; RIGHT(D471, 2) &amp; LEFT(REGEXREPLACE(C471, ""[^A-Za-z]"", """"), 3)"),"")</f>
        <v/>
      </c>
      <c r="L471" s="1" t="str">
        <f t="array" ref="L471">XLOOKUP(D471,'Other Data Fuckery'!$A$2:$A$101, 'Other Data Fuckery'!$B$2:$B$101)</f>
        <v>#N/A</v>
      </c>
    </row>
    <row r="472" ht="14.25" customHeight="1">
      <c r="A472" s="1" t="str">
        <f>IFERROR(__xludf.DUMMYFUNCTION("LEFT(REGEXREPLACE(B472, ""[^A-Za-z]"", """"), 3) &amp; RIGHT(D472, 2) &amp; LEFT(REGEXREPLACE(C472, ""[^A-Za-z]"", """"), 3)"),"")</f>
        <v/>
      </c>
      <c r="L472" s="1" t="str">
        <f t="array" ref="L472">XLOOKUP(D472,'Other Data Fuckery'!$A$2:$A$101, 'Other Data Fuckery'!$B$2:$B$101)</f>
        <v>#N/A</v>
      </c>
    </row>
    <row r="473" ht="14.25" customHeight="1">
      <c r="A473" s="1" t="str">
        <f>IFERROR(__xludf.DUMMYFUNCTION("LEFT(REGEXREPLACE(B473, ""[^A-Za-z]"", """"), 3) &amp; RIGHT(D473, 2) &amp; LEFT(REGEXREPLACE(C473, ""[^A-Za-z]"", """"), 3)"),"")</f>
        <v/>
      </c>
      <c r="L473" s="1" t="str">
        <f t="array" ref="L473">XLOOKUP(D473,'Other Data Fuckery'!$A$2:$A$101, 'Other Data Fuckery'!$B$2:$B$101)</f>
        <v>#N/A</v>
      </c>
    </row>
    <row r="474" ht="14.25" customHeight="1">
      <c r="A474" s="1" t="str">
        <f>IFERROR(__xludf.DUMMYFUNCTION("LEFT(REGEXREPLACE(B474, ""[^A-Za-z]"", """"), 3) &amp; RIGHT(D474, 2) &amp; LEFT(REGEXREPLACE(C474, ""[^A-Za-z]"", """"), 3)"),"")</f>
        <v/>
      </c>
      <c r="L474" s="1" t="str">
        <f t="array" ref="L474">XLOOKUP(D474,'Other Data Fuckery'!$A$2:$A$101, 'Other Data Fuckery'!$B$2:$B$101)</f>
        <v>#N/A</v>
      </c>
    </row>
    <row r="475" ht="14.25" customHeight="1">
      <c r="A475" s="1" t="str">
        <f>IFERROR(__xludf.DUMMYFUNCTION("LEFT(REGEXREPLACE(B475, ""[^A-Za-z]"", """"), 3) &amp; RIGHT(D475, 2) &amp; LEFT(REGEXREPLACE(C475, ""[^A-Za-z]"", """"), 3)"),"")</f>
        <v/>
      </c>
      <c r="L475" s="1" t="str">
        <f t="array" ref="L475">XLOOKUP(D475,'Other Data Fuckery'!$A$2:$A$101, 'Other Data Fuckery'!$B$2:$B$101)</f>
        <v>#N/A</v>
      </c>
    </row>
    <row r="476" ht="14.25" customHeight="1">
      <c r="A476" s="1" t="str">
        <f>IFERROR(__xludf.DUMMYFUNCTION("LEFT(REGEXREPLACE(B476, ""[^A-Za-z]"", """"), 3) &amp; RIGHT(D476, 2) &amp; LEFT(REGEXREPLACE(C476, ""[^A-Za-z]"", """"), 3)"),"")</f>
        <v/>
      </c>
      <c r="L476" s="1" t="str">
        <f t="array" ref="L476">XLOOKUP(D476,'Other Data Fuckery'!$A$2:$A$101, 'Other Data Fuckery'!$B$2:$B$101)</f>
        <v>#N/A</v>
      </c>
    </row>
    <row r="477" ht="14.25" customHeight="1">
      <c r="A477" s="1" t="str">
        <f>IFERROR(__xludf.DUMMYFUNCTION("LEFT(REGEXREPLACE(B477, ""[^A-Za-z]"", """"), 3) &amp; RIGHT(D477, 2) &amp; LEFT(REGEXREPLACE(C477, ""[^A-Za-z]"", """"), 3)"),"")</f>
        <v/>
      </c>
      <c r="L477" s="1" t="str">
        <f t="array" ref="L477">XLOOKUP(D477,'Other Data Fuckery'!$A$2:$A$101, 'Other Data Fuckery'!$B$2:$B$101)</f>
        <v>#N/A</v>
      </c>
    </row>
    <row r="478" ht="14.25" customHeight="1">
      <c r="A478" s="1" t="str">
        <f>IFERROR(__xludf.DUMMYFUNCTION("LEFT(REGEXREPLACE(B478, ""[^A-Za-z]"", """"), 3) &amp; RIGHT(D478, 2) &amp; LEFT(REGEXREPLACE(C478, ""[^A-Za-z]"", """"), 3)"),"")</f>
        <v/>
      </c>
      <c r="L478" s="1" t="str">
        <f t="array" ref="L478">XLOOKUP(D478,'Other Data Fuckery'!$A$2:$A$101, 'Other Data Fuckery'!$B$2:$B$101)</f>
        <v>#N/A</v>
      </c>
    </row>
    <row r="479" ht="14.25" customHeight="1">
      <c r="A479" s="1" t="str">
        <f>IFERROR(__xludf.DUMMYFUNCTION("LEFT(REGEXREPLACE(B479, ""[^A-Za-z]"", """"), 3) &amp; RIGHT(D479, 2) &amp; LEFT(REGEXREPLACE(C479, ""[^A-Za-z]"", """"), 3)"),"")</f>
        <v/>
      </c>
      <c r="L479" s="1" t="str">
        <f t="array" ref="L479">XLOOKUP(D479,'Other Data Fuckery'!$A$2:$A$101, 'Other Data Fuckery'!$B$2:$B$101)</f>
        <v>#N/A</v>
      </c>
    </row>
    <row r="480" ht="14.25" customHeight="1">
      <c r="A480" s="1" t="str">
        <f>IFERROR(__xludf.DUMMYFUNCTION("LEFT(REGEXREPLACE(B480, ""[^A-Za-z]"", """"), 3) &amp; RIGHT(D480, 2) &amp; LEFT(REGEXREPLACE(C480, ""[^A-Za-z]"", """"), 3)"),"")</f>
        <v/>
      </c>
      <c r="L480" s="1" t="str">
        <f t="array" ref="L480">XLOOKUP(D480,'Other Data Fuckery'!$A$2:$A$101, 'Other Data Fuckery'!$B$2:$B$101)</f>
        <v>#N/A</v>
      </c>
    </row>
    <row r="481" ht="14.25" customHeight="1">
      <c r="A481" s="1" t="str">
        <f>IFERROR(__xludf.DUMMYFUNCTION("LEFT(REGEXREPLACE(B481, ""[^A-Za-z]"", """"), 3) &amp; RIGHT(D481, 2) &amp; LEFT(REGEXREPLACE(C481, ""[^A-Za-z]"", """"), 3)"),"")</f>
        <v/>
      </c>
      <c r="L481" s="1" t="str">
        <f t="array" ref="L481">XLOOKUP(D481,'Other Data Fuckery'!$A$2:$A$101, 'Other Data Fuckery'!$B$2:$B$101)</f>
        <v>#N/A</v>
      </c>
    </row>
    <row r="482" ht="14.25" customHeight="1">
      <c r="A482" s="1" t="str">
        <f>IFERROR(__xludf.DUMMYFUNCTION("LEFT(REGEXREPLACE(B482, ""[^A-Za-z]"", """"), 3) &amp; RIGHT(D482, 2) &amp; LEFT(REGEXREPLACE(C482, ""[^A-Za-z]"", """"), 3)"),"")</f>
        <v/>
      </c>
      <c r="L482" s="1" t="str">
        <f t="array" ref="L482">XLOOKUP(D482,'Other Data Fuckery'!$A$2:$A$101, 'Other Data Fuckery'!$B$2:$B$101)</f>
        <v>#N/A</v>
      </c>
    </row>
    <row r="483" ht="14.25" customHeight="1">
      <c r="A483" s="1" t="str">
        <f>IFERROR(__xludf.DUMMYFUNCTION("LEFT(REGEXREPLACE(B483, ""[^A-Za-z]"", """"), 3) &amp; RIGHT(D483, 2) &amp; LEFT(REGEXREPLACE(C483, ""[^A-Za-z]"", """"), 3)"),"")</f>
        <v/>
      </c>
      <c r="L483" s="1" t="str">
        <f t="array" ref="L483">XLOOKUP(D483,'Other Data Fuckery'!$A$2:$A$101, 'Other Data Fuckery'!$B$2:$B$101)</f>
        <v>#N/A</v>
      </c>
    </row>
    <row r="484" ht="14.25" customHeight="1">
      <c r="A484" s="1" t="str">
        <f>IFERROR(__xludf.DUMMYFUNCTION("LEFT(REGEXREPLACE(B484, ""[^A-Za-z]"", """"), 3) &amp; RIGHT(D484, 2) &amp; LEFT(REGEXREPLACE(C484, ""[^A-Za-z]"", """"), 3)"),"")</f>
        <v/>
      </c>
      <c r="L484" s="1" t="str">
        <f t="array" ref="L484">XLOOKUP(D484,'Other Data Fuckery'!$A$2:$A$101, 'Other Data Fuckery'!$B$2:$B$101)</f>
        <v>#N/A</v>
      </c>
    </row>
    <row r="485" ht="14.25" customHeight="1">
      <c r="A485" s="1" t="str">
        <f>IFERROR(__xludf.DUMMYFUNCTION("LEFT(REGEXREPLACE(B485, ""[^A-Za-z]"", """"), 3) &amp; RIGHT(D485, 2) &amp; LEFT(REGEXREPLACE(C485, ""[^A-Za-z]"", """"), 3)"),"")</f>
        <v/>
      </c>
      <c r="L485" s="1" t="str">
        <f t="array" ref="L485">XLOOKUP(D485,'Other Data Fuckery'!$A$2:$A$101, 'Other Data Fuckery'!$B$2:$B$101)</f>
        <v>#N/A</v>
      </c>
    </row>
    <row r="486" ht="14.25" customHeight="1">
      <c r="A486" s="1" t="str">
        <f>IFERROR(__xludf.DUMMYFUNCTION("LEFT(REGEXREPLACE(B486, ""[^A-Za-z]"", """"), 3) &amp; RIGHT(D486, 2) &amp; LEFT(REGEXREPLACE(C486, ""[^A-Za-z]"", """"), 3)"),"")</f>
        <v/>
      </c>
      <c r="L486" s="1" t="str">
        <f t="array" ref="L486">XLOOKUP(D486,'Other Data Fuckery'!$A$2:$A$101, 'Other Data Fuckery'!$B$2:$B$101)</f>
        <v>#N/A</v>
      </c>
    </row>
    <row r="487" ht="14.25" customHeight="1">
      <c r="A487" s="1" t="str">
        <f>IFERROR(__xludf.DUMMYFUNCTION("LEFT(REGEXREPLACE(B487, ""[^A-Za-z]"", """"), 3) &amp; RIGHT(D487, 2) &amp; LEFT(REGEXREPLACE(C487, ""[^A-Za-z]"", """"), 3)"),"")</f>
        <v/>
      </c>
      <c r="L487" s="1" t="str">
        <f t="array" ref="L487">XLOOKUP(D487,'Other Data Fuckery'!$A$2:$A$101, 'Other Data Fuckery'!$B$2:$B$101)</f>
        <v>#N/A</v>
      </c>
    </row>
    <row r="488" ht="14.25" customHeight="1">
      <c r="A488" s="1" t="str">
        <f>IFERROR(__xludf.DUMMYFUNCTION("LEFT(REGEXREPLACE(B488, ""[^A-Za-z]"", """"), 3) &amp; RIGHT(D488, 2) &amp; LEFT(REGEXREPLACE(C488, ""[^A-Za-z]"", """"), 3)"),"")</f>
        <v/>
      </c>
      <c r="L488" s="1" t="str">
        <f t="array" ref="L488">XLOOKUP(D488,'Other Data Fuckery'!$A$2:$A$101, 'Other Data Fuckery'!$B$2:$B$101)</f>
        <v>#N/A</v>
      </c>
    </row>
    <row r="489" ht="14.25" customHeight="1">
      <c r="A489" s="1" t="str">
        <f>IFERROR(__xludf.DUMMYFUNCTION("LEFT(REGEXREPLACE(B489, ""[^A-Za-z]"", """"), 3) &amp; RIGHT(D489, 2) &amp; LEFT(REGEXREPLACE(C489, ""[^A-Za-z]"", """"), 3)"),"")</f>
        <v/>
      </c>
      <c r="L489" s="1" t="str">
        <f t="array" ref="L489">XLOOKUP(D489,'Other Data Fuckery'!$A$2:$A$101, 'Other Data Fuckery'!$B$2:$B$101)</f>
        <v>#N/A</v>
      </c>
    </row>
    <row r="490" ht="14.25" customHeight="1">
      <c r="A490" s="1" t="str">
        <f>IFERROR(__xludf.DUMMYFUNCTION("LEFT(REGEXREPLACE(B490, ""[^A-Za-z]"", """"), 3) &amp; RIGHT(D490, 2) &amp; LEFT(REGEXREPLACE(C490, ""[^A-Za-z]"", """"), 3)"),"")</f>
        <v/>
      </c>
      <c r="L490" s="1" t="str">
        <f t="array" ref="L490">XLOOKUP(D490,'Other Data Fuckery'!$A$2:$A$101, 'Other Data Fuckery'!$B$2:$B$101)</f>
        <v>#N/A</v>
      </c>
    </row>
    <row r="491" ht="14.25" customHeight="1">
      <c r="A491" s="1" t="str">
        <f>IFERROR(__xludf.DUMMYFUNCTION("LEFT(REGEXREPLACE(B491, ""[^A-Za-z]"", """"), 3) &amp; RIGHT(D491, 2) &amp; LEFT(REGEXREPLACE(C491, ""[^A-Za-z]"", """"), 3)"),"")</f>
        <v/>
      </c>
      <c r="L491" s="1" t="str">
        <f t="array" ref="L491">XLOOKUP(D491,'Other Data Fuckery'!$A$2:$A$101, 'Other Data Fuckery'!$B$2:$B$101)</f>
        <v>#N/A</v>
      </c>
    </row>
    <row r="492" ht="14.25" customHeight="1">
      <c r="A492" s="1" t="str">
        <f>IFERROR(__xludf.DUMMYFUNCTION("LEFT(REGEXREPLACE(B492, ""[^A-Za-z]"", """"), 3) &amp; RIGHT(D492, 2) &amp; LEFT(REGEXREPLACE(C492, ""[^A-Za-z]"", """"), 3)"),"")</f>
        <v/>
      </c>
      <c r="L492" s="1" t="str">
        <f t="array" ref="L492">XLOOKUP(D492,'Other Data Fuckery'!$A$2:$A$101, 'Other Data Fuckery'!$B$2:$B$101)</f>
        <v>#N/A</v>
      </c>
    </row>
    <row r="493" ht="14.25" customHeight="1">
      <c r="A493" s="1" t="str">
        <f>IFERROR(__xludf.DUMMYFUNCTION("LEFT(REGEXREPLACE(B493, ""[^A-Za-z]"", """"), 3) &amp; RIGHT(D493, 2) &amp; LEFT(REGEXREPLACE(C493, ""[^A-Za-z]"", """"), 3)"),"")</f>
        <v/>
      </c>
      <c r="L493" s="1" t="str">
        <f t="array" ref="L493">XLOOKUP(D493,'Other Data Fuckery'!$A$2:$A$101, 'Other Data Fuckery'!$B$2:$B$101)</f>
        <v>#N/A</v>
      </c>
    </row>
    <row r="494" ht="14.25" customHeight="1">
      <c r="A494" s="1" t="str">
        <f>IFERROR(__xludf.DUMMYFUNCTION("LEFT(REGEXREPLACE(B494, ""[^A-Za-z]"", """"), 3) &amp; RIGHT(D494, 2) &amp; LEFT(REGEXREPLACE(C494, ""[^A-Za-z]"", """"), 3)"),"")</f>
        <v/>
      </c>
      <c r="L494" s="1" t="str">
        <f t="array" ref="L494">XLOOKUP(D494,'Other Data Fuckery'!$A$2:$A$101, 'Other Data Fuckery'!$B$2:$B$101)</f>
        <v>#N/A</v>
      </c>
    </row>
    <row r="495" ht="14.25" customHeight="1">
      <c r="A495" s="1" t="str">
        <f>IFERROR(__xludf.DUMMYFUNCTION("LEFT(REGEXREPLACE(B495, ""[^A-Za-z]"", """"), 3) &amp; RIGHT(D495, 2) &amp; LEFT(REGEXREPLACE(C495, ""[^A-Za-z]"", """"), 3)"),"")</f>
        <v/>
      </c>
      <c r="L495" s="1" t="str">
        <f t="array" ref="L495">XLOOKUP(D495,'Other Data Fuckery'!$A$2:$A$101, 'Other Data Fuckery'!$B$2:$B$101)</f>
        <v>#N/A</v>
      </c>
    </row>
    <row r="496" ht="14.25" customHeight="1">
      <c r="A496" s="1" t="str">
        <f>IFERROR(__xludf.DUMMYFUNCTION("LEFT(REGEXREPLACE(B496, ""[^A-Za-z]"", """"), 3) &amp; RIGHT(D496, 2) &amp; LEFT(REGEXREPLACE(C496, ""[^A-Za-z]"", """"), 3)"),"")</f>
        <v/>
      </c>
      <c r="L496" s="1" t="str">
        <f t="array" ref="L496">XLOOKUP(D496,'Other Data Fuckery'!$A$2:$A$101, 'Other Data Fuckery'!$B$2:$B$101)</f>
        <v>#N/A</v>
      </c>
    </row>
    <row r="497" ht="14.25" customHeight="1">
      <c r="A497" s="1" t="str">
        <f>IFERROR(__xludf.DUMMYFUNCTION("LEFT(REGEXREPLACE(B497, ""[^A-Za-z]"", """"), 3) &amp; RIGHT(D497, 2) &amp; LEFT(REGEXREPLACE(C497, ""[^A-Za-z]"", """"), 3)"),"")</f>
        <v/>
      </c>
      <c r="L497" s="1" t="str">
        <f t="array" ref="L497">XLOOKUP(D497,'Other Data Fuckery'!$A$2:$A$101, 'Other Data Fuckery'!$B$2:$B$101)</f>
        <v>#N/A</v>
      </c>
    </row>
    <row r="498" ht="14.25" customHeight="1">
      <c r="A498" s="1" t="str">
        <f>IFERROR(__xludf.DUMMYFUNCTION("LEFT(REGEXREPLACE(B498, ""[^A-Za-z]"", """"), 3) &amp; RIGHT(D498, 2) &amp; LEFT(REGEXREPLACE(C498, ""[^A-Za-z]"", """"), 3)"),"")</f>
        <v/>
      </c>
      <c r="L498" s="1" t="str">
        <f t="array" ref="L498">XLOOKUP(D498,'Other Data Fuckery'!$A$2:$A$101, 'Other Data Fuckery'!$B$2:$B$101)</f>
        <v>#N/A</v>
      </c>
    </row>
    <row r="499" ht="14.25" customHeight="1">
      <c r="A499" s="1" t="str">
        <f>IFERROR(__xludf.DUMMYFUNCTION("LEFT(REGEXREPLACE(B499, ""[^A-Za-z]"", """"), 3) &amp; RIGHT(D499, 2) &amp; LEFT(REGEXREPLACE(C499, ""[^A-Za-z]"", """"), 3)"),"")</f>
        <v/>
      </c>
    </row>
    <row r="500" ht="14.25" customHeight="1">
      <c r="A500" s="1" t="str">
        <f>IFERROR(__xludf.DUMMYFUNCTION("LEFT(REGEXREPLACE(B500, ""[^A-Za-z]"", """"), 3) &amp; RIGHT(D500, 2) &amp; LEFT(REGEXREPLACE(C500, ""[^A-Za-z]"", """"), 3)"),"")</f>
        <v/>
      </c>
    </row>
    <row r="501" ht="14.25" customHeight="1">
      <c r="A501" s="1" t="str">
        <f>IFERROR(__xludf.DUMMYFUNCTION("LEFT(REGEXREPLACE(B501, ""[^A-Za-z]"", """"), 3) &amp; RIGHT(D501, 2) &amp; LEFT(REGEXREPLACE(C501, ""[^A-Za-z]"", """"), 3)"),"")</f>
        <v/>
      </c>
    </row>
    <row r="502" ht="14.25" customHeight="1">
      <c r="A502" s="1" t="str">
        <f>IFERROR(__xludf.DUMMYFUNCTION("LEFT(REGEXREPLACE(B502, ""[^A-Za-z]"", """"), 3) &amp; RIGHT(D502, 2) &amp; LEFT(REGEXREPLACE(C502, ""[^A-Za-z]"", """"), 3)"),"")</f>
        <v/>
      </c>
    </row>
    <row r="503" ht="14.25" customHeight="1">
      <c r="A503" s="1" t="str">
        <f>IFERROR(__xludf.DUMMYFUNCTION("LEFT(REGEXREPLACE(B503, ""[^A-Za-z]"", """"), 3) &amp; RIGHT(D503, 2) &amp; LEFT(REGEXREPLACE(C503, ""[^A-Za-z]"", """"), 3)"),"")</f>
        <v/>
      </c>
    </row>
    <row r="504" ht="14.25" customHeight="1">
      <c r="A504" s="1" t="str">
        <f>IFERROR(__xludf.DUMMYFUNCTION("LEFT(REGEXREPLACE(B504, ""[^A-Za-z]"", """"), 3) &amp; RIGHT(D504, 2) &amp; LEFT(REGEXREPLACE(C504, ""[^A-Za-z]"", """"), 3)"),"")</f>
        <v/>
      </c>
    </row>
    <row r="505" ht="14.25" customHeight="1">
      <c r="A505" s="1" t="str">
        <f>IFERROR(__xludf.DUMMYFUNCTION("LEFT(REGEXREPLACE(B505, ""[^A-Za-z]"", """"), 3) &amp; RIGHT(D505, 2) &amp; LEFT(REGEXREPLACE(C505, ""[^A-Za-z]"", """"), 3)"),"")</f>
        <v/>
      </c>
    </row>
    <row r="506" ht="14.25" customHeight="1">
      <c r="A506" s="1" t="str">
        <f>IFERROR(__xludf.DUMMYFUNCTION("LEFT(REGEXREPLACE(B506, ""[^A-Za-z]"", """"), 3) &amp; RIGHT(D506, 2) &amp; LEFT(REGEXREPLACE(C506, ""[^A-Za-z]"", """"), 3)"),"")</f>
        <v/>
      </c>
    </row>
    <row r="507" ht="14.25" customHeight="1">
      <c r="A507" s="1" t="str">
        <f>IFERROR(__xludf.DUMMYFUNCTION("LEFT(REGEXREPLACE(B507, ""[^A-Za-z]"", """"), 3) &amp; RIGHT(D507, 2) &amp; LEFT(REGEXREPLACE(C507, ""[^A-Za-z]"", """"), 3)"),"")</f>
        <v/>
      </c>
    </row>
    <row r="508" ht="14.25" customHeight="1">
      <c r="A508" s="1" t="str">
        <f>IFERROR(__xludf.DUMMYFUNCTION("LEFT(REGEXREPLACE(B508, ""[^A-Za-z]"", """"), 3) &amp; RIGHT(D508, 2) &amp; LEFT(REGEXREPLACE(C508, ""[^A-Za-z]"", """"), 3)"),"")</f>
        <v/>
      </c>
    </row>
    <row r="509" ht="14.25" customHeight="1">
      <c r="A509" s="1" t="str">
        <f>IFERROR(__xludf.DUMMYFUNCTION("LEFT(REGEXREPLACE(B509, ""[^A-Za-z]"", """"), 3) &amp; RIGHT(D509, 2) &amp; LEFT(REGEXREPLACE(C509, ""[^A-Za-z]"", """"), 3)"),"")</f>
        <v/>
      </c>
    </row>
    <row r="510" ht="14.25" customHeight="1">
      <c r="A510" s="1" t="str">
        <f>IFERROR(__xludf.DUMMYFUNCTION("LEFT(REGEXREPLACE(B510, ""[^A-Za-z]"", """"), 3) &amp; RIGHT(D510, 2) &amp; LEFT(REGEXREPLACE(C510, ""[^A-Za-z]"", """"), 3)"),"")</f>
        <v/>
      </c>
    </row>
    <row r="511" ht="14.25" customHeight="1">
      <c r="A511" s="1" t="str">
        <f>IFERROR(__xludf.DUMMYFUNCTION("LEFT(REGEXREPLACE(B511, ""[^A-Za-z]"", """"), 3) &amp; RIGHT(D511, 2) &amp; LEFT(REGEXREPLACE(C511, ""[^A-Za-z]"", """"), 3)"),"")</f>
        <v/>
      </c>
    </row>
    <row r="512" ht="14.25" customHeight="1">
      <c r="A512" s="1" t="str">
        <f>IFERROR(__xludf.DUMMYFUNCTION("LEFT(REGEXREPLACE(B512, ""[^A-Za-z]"", """"), 3) &amp; RIGHT(D512, 2) &amp; LEFT(REGEXREPLACE(C512, ""[^A-Za-z]"", """"), 3)"),"")</f>
        <v/>
      </c>
    </row>
    <row r="513" ht="14.25" customHeight="1">
      <c r="A513" s="1" t="str">
        <f>IFERROR(__xludf.DUMMYFUNCTION("LEFT(REGEXREPLACE(B513, ""[^A-Za-z]"", """"), 3) &amp; RIGHT(D513, 2) &amp; LEFT(REGEXREPLACE(C513, ""[^A-Za-z]"", """"), 3)"),"")</f>
        <v/>
      </c>
    </row>
    <row r="514" ht="14.25" customHeight="1">
      <c r="A514" s="1" t="str">
        <f>IFERROR(__xludf.DUMMYFUNCTION("LEFT(REGEXREPLACE(B514, ""[^A-Za-z]"", """"), 3) &amp; RIGHT(D514, 2) &amp; LEFT(REGEXREPLACE(C514, ""[^A-Za-z]"", """"), 3)"),"")</f>
        <v/>
      </c>
    </row>
    <row r="515" ht="14.25" customHeight="1">
      <c r="A515" s="1" t="str">
        <f>IFERROR(__xludf.DUMMYFUNCTION("LEFT(REGEXREPLACE(B515, ""[^A-Za-z]"", """"), 3) &amp; RIGHT(D515, 2) &amp; LEFT(REGEXREPLACE(C515, ""[^A-Za-z]"", """"), 3)"),"")</f>
        <v/>
      </c>
    </row>
    <row r="516" ht="14.25" customHeight="1">
      <c r="A516" s="1" t="str">
        <f>IFERROR(__xludf.DUMMYFUNCTION("LEFT(REGEXREPLACE(B516, ""[^A-Za-z]"", """"), 3) &amp; RIGHT(D516, 2) &amp; LEFT(REGEXREPLACE(C516, ""[^A-Za-z]"", """"), 3)"),"")</f>
        <v/>
      </c>
    </row>
    <row r="517" ht="14.25" customHeight="1">
      <c r="A517" s="1" t="str">
        <f>IFERROR(__xludf.DUMMYFUNCTION("LEFT(REGEXREPLACE(B517, ""[^A-Za-z]"", """"), 3) &amp; RIGHT(D517, 2) &amp; LEFT(REGEXREPLACE(C517, ""[^A-Za-z]"", """"), 3)"),"")</f>
        <v/>
      </c>
    </row>
    <row r="518" ht="14.25" customHeight="1">
      <c r="A518" s="1" t="str">
        <f>IFERROR(__xludf.DUMMYFUNCTION("LEFT(REGEXREPLACE(B518, ""[^A-Za-z]"", """"), 3) &amp; RIGHT(D518, 2) &amp; LEFT(REGEXREPLACE(C518, ""[^A-Za-z]"", """"), 3)"),"")</f>
        <v/>
      </c>
    </row>
    <row r="519" ht="14.25" customHeight="1">
      <c r="A519" s="1" t="str">
        <f>IFERROR(__xludf.DUMMYFUNCTION("LEFT(REGEXREPLACE(B519, ""[^A-Za-z]"", """"), 3) &amp; RIGHT(D519, 2) &amp; LEFT(REGEXREPLACE(C519, ""[^A-Za-z]"", """"), 3)"),"")</f>
        <v/>
      </c>
    </row>
    <row r="520" ht="14.25" customHeight="1">
      <c r="A520" s="1" t="str">
        <f>IFERROR(__xludf.DUMMYFUNCTION("LEFT(REGEXREPLACE(B520, ""[^A-Za-z]"", """"), 3) &amp; RIGHT(D520, 2) &amp; LEFT(REGEXREPLACE(C520, ""[^A-Za-z]"", """"), 3)"),"")</f>
        <v/>
      </c>
    </row>
    <row r="521" ht="14.25" customHeight="1">
      <c r="A521" s="1" t="str">
        <f>IFERROR(__xludf.DUMMYFUNCTION("LEFT(REGEXREPLACE(B521, ""[^A-Za-z]"", """"), 3) &amp; RIGHT(D521, 2) &amp; LEFT(REGEXREPLACE(C521, ""[^A-Za-z]"", """"), 3)"),"")</f>
        <v/>
      </c>
    </row>
    <row r="522" ht="14.25" customHeight="1">
      <c r="A522" s="1" t="str">
        <f>IFERROR(__xludf.DUMMYFUNCTION("LEFT(REGEXREPLACE(B522, ""[^A-Za-z]"", """"), 3) &amp; RIGHT(D522, 2) &amp; LEFT(REGEXREPLACE(C522, ""[^A-Za-z]"", """"), 3)"),"")</f>
        <v/>
      </c>
    </row>
    <row r="523" ht="14.25" customHeight="1">
      <c r="A523" s="1" t="str">
        <f>IFERROR(__xludf.DUMMYFUNCTION("LEFT(REGEXREPLACE(B523, ""[^A-Za-z]"", """"), 3) &amp; RIGHT(D523, 2) &amp; LEFT(REGEXREPLACE(C523, ""[^A-Za-z]"", """"), 3)"),"")</f>
        <v/>
      </c>
    </row>
    <row r="524" ht="14.25" customHeight="1">
      <c r="A524" s="1" t="str">
        <f>IFERROR(__xludf.DUMMYFUNCTION("LEFT(REGEXREPLACE(B524, ""[^A-Za-z]"", """"), 3) &amp; RIGHT(D524, 2) &amp; LEFT(REGEXREPLACE(C524, ""[^A-Za-z]"", """"), 3)"),"")</f>
        <v/>
      </c>
    </row>
    <row r="525" ht="14.25" customHeight="1">
      <c r="A525" s="1" t="str">
        <f>IFERROR(__xludf.DUMMYFUNCTION("LEFT(REGEXREPLACE(B525, ""[^A-Za-z]"", """"), 3) &amp; RIGHT(D525, 2) &amp; LEFT(REGEXREPLACE(C525, ""[^A-Za-z]"", """"), 3)"),"")</f>
        <v/>
      </c>
    </row>
    <row r="526" ht="14.25" customHeight="1">
      <c r="A526" s="1" t="str">
        <f>IFERROR(__xludf.DUMMYFUNCTION("LEFT(REGEXREPLACE(B526, ""[^A-Za-z]"", """"), 3) &amp; RIGHT(D526, 2) &amp; LEFT(REGEXREPLACE(C526, ""[^A-Za-z]"", """"), 3)"),"")</f>
        <v/>
      </c>
    </row>
    <row r="527" ht="14.25" customHeight="1">
      <c r="A527" s="1" t="str">
        <f>IFERROR(__xludf.DUMMYFUNCTION("LEFT(REGEXREPLACE(B527, ""[^A-Za-z]"", """"), 3) &amp; RIGHT(D527, 2) &amp; LEFT(REGEXREPLACE(C527, ""[^A-Za-z]"", """"), 3)"),"")</f>
        <v/>
      </c>
    </row>
    <row r="528" ht="14.25" customHeight="1">
      <c r="A528" s="1" t="str">
        <f>IFERROR(__xludf.DUMMYFUNCTION("LEFT(REGEXREPLACE(B528, ""[^A-Za-z]"", """"), 3) &amp; RIGHT(D528, 2) &amp; LEFT(REGEXREPLACE(C528, ""[^A-Za-z]"", """"), 3)"),"")</f>
        <v/>
      </c>
    </row>
    <row r="529" ht="14.25" customHeight="1">
      <c r="A529" s="1" t="str">
        <f>IFERROR(__xludf.DUMMYFUNCTION("LEFT(REGEXREPLACE(B529, ""[^A-Za-z]"", """"), 3) &amp; RIGHT(D529, 2) &amp; LEFT(REGEXREPLACE(C529, ""[^A-Za-z]"", """"), 3)"),"")</f>
        <v/>
      </c>
    </row>
    <row r="530" ht="14.25" customHeight="1">
      <c r="A530" s="1" t="str">
        <f>IFERROR(__xludf.DUMMYFUNCTION("LEFT(REGEXREPLACE(B530, ""[^A-Za-z]"", """"), 3) &amp; RIGHT(D530, 2) &amp; LEFT(REGEXREPLACE(C530, ""[^A-Za-z]"", """"), 3)"),"")</f>
        <v/>
      </c>
    </row>
    <row r="531" ht="14.25" customHeight="1">
      <c r="A531" s="1" t="str">
        <f>IFERROR(__xludf.DUMMYFUNCTION("LEFT(REGEXREPLACE(B531, ""[^A-Za-z]"", """"), 3) &amp; RIGHT(D531, 2) &amp; LEFT(REGEXREPLACE(C531, ""[^A-Za-z]"", """"), 3)"),"")</f>
        <v/>
      </c>
    </row>
    <row r="532" ht="14.25" customHeight="1">
      <c r="A532" s="1" t="str">
        <f>IFERROR(__xludf.DUMMYFUNCTION("LEFT(REGEXREPLACE(B532, ""[^A-Za-z]"", """"), 3) &amp; RIGHT(D532, 2) &amp; LEFT(REGEXREPLACE(C532, ""[^A-Za-z]"", """"), 3)"),"")</f>
        <v/>
      </c>
    </row>
    <row r="533" ht="14.25" customHeight="1">
      <c r="A533" s="1" t="str">
        <f>IFERROR(__xludf.DUMMYFUNCTION("LEFT(REGEXREPLACE(B533, ""[^A-Za-z]"", """"), 3) &amp; RIGHT(D533, 2) &amp; LEFT(REGEXREPLACE(C533, ""[^A-Za-z]"", """"), 3)"),"")</f>
        <v/>
      </c>
    </row>
    <row r="534" ht="14.25" customHeight="1">
      <c r="A534" s="1" t="str">
        <f>IFERROR(__xludf.DUMMYFUNCTION("LEFT(REGEXREPLACE(B534, ""[^A-Za-z]"", """"), 3) &amp; RIGHT(D534, 2) &amp; LEFT(REGEXREPLACE(C534, ""[^A-Za-z]"", """"), 3)"),"")</f>
        <v/>
      </c>
    </row>
    <row r="535" ht="14.25" customHeight="1">
      <c r="A535" s="1" t="str">
        <f>IFERROR(__xludf.DUMMYFUNCTION("LEFT(REGEXREPLACE(B535, ""[^A-Za-z]"", """"), 3) &amp; RIGHT(D535, 2) &amp; LEFT(REGEXREPLACE(C535, ""[^A-Za-z]"", """"), 3)"),"")</f>
        <v/>
      </c>
    </row>
    <row r="536" ht="14.25" customHeight="1">
      <c r="A536" s="1" t="str">
        <f>IFERROR(__xludf.DUMMYFUNCTION("LEFT(REGEXREPLACE(B536, ""[^A-Za-z]"", """"), 3) &amp; RIGHT(D536, 2) &amp; LEFT(REGEXREPLACE(C536, ""[^A-Za-z]"", """"), 3)"),"")</f>
        <v/>
      </c>
    </row>
    <row r="537" ht="14.25" customHeight="1">
      <c r="A537" s="1" t="str">
        <f>IFERROR(__xludf.DUMMYFUNCTION("LEFT(REGEXREPLACE(B537, ""[^A-Za-z]"", """"), 3) &amp; RIGHT(D537, 2) &amp; LEFT(REGEXREPLACE(C537, ""[^A-Za-z]"", """"), 3)"),"")</f>
        <v/>
      </c>
    </row>
    <row r="538" ht="14.25" customHeight="1">
      <c r="A538" s="1" t="str">
        <f>IFERROR(__xludf.DUMMYFUNCTION("LEFT(REGEXREPLACE(B538, ""[^A-Za-z]"", """"), 3) &amp; RIGHT(D538, 2) &amp; LEFT(REGEXREPLACE(C538, ""[^A-Za-z]"", """"), 3)"),"")</f>
        <v/>
      </c>
    </row>
    <row r="539" ht="14.25" customHeight="1">
      <c r="A539" s="1" t="str">
        <f>IFERROR(__xludf.DUMMYFUNCTION("LEFT(REGEXREPLACE(B539, ""[^A-Za-z]"", """"), 3) &amp; RIGHT(D539, 2) &amp; LEFT(REGEXREPLACE(C539, ""[^A-Za-z]"", """"), 3)"),"")</f>
        <v/>
      </c>
    </row>
    <row r="540" ht="14.25" customHeight="1">
      <c r="A540" s="1" t="str">
        <f>IFERROR(__xludf.DUMMYFUNCTION("LEFT(REGEXREPLACE(B540, ""[^A-Za-z]"", """"), 3) &amp; RIGHT(D540, 2) &amp; LEFT(REGEXREPLACE(C540, ""[^A-Za-z]"", """"), 3)"),"")</f>
        <v/>
      </c>
    </row>
    <row r="541" ht="14.25" customHeight="1">
      <c r="A541" s="1" t="str">
        <f>IFERROR(__xludf.DUMMYFUNCTION("LEFT(REGEXREPLACE(B541, ""[^A-Za-z]"", """"), 3) &amp; RIGHT(D541, 2) &amp; LEFT(REGEXREPLACE(C541, ""[^A-Za-z]"", """"), 3)"),"")</f>
        <v/>
      </c>
    </row>
    <row r="542" ht="14.25" customHeight="1">
      <c r="A542" s="1" t="str">
        <f>IFERROR(__xludf.DUMMYFUNCTION("LEFT(REGEXREPLACE(B542, ""[^A-Za-z]"", """"), 3) &amp; RIGHT(D542, 2) &amp; LEFT(REGEXREPLACE(C542, ""[^A-Za-z]"", """"), 3)"),"")</f>
        <v/>
      </c>
    </row>
    <row r="543" ht="14.25" customHeight="1">
      <c r="A543" s="1" t="str">
        <f>IFERROR(__xludf.DUMMYFUNCTION("LEFT(REGEXREPLACE(B543, ""[^A-Za-z]"", """"), 3) &amp; RIGHT(D543, 2) &amp; LEFT(REGEXREPLACE(C543, ""[^A-Za-z]"", """"), 3)"),"")</f>
        <v/>
      </c>
    </row>
    <row r="544" ht="14.25" customHeight="1">
      <c r="A544" s="1" t="str">
        <f>IFERROR(__xludf.DUMMYFUNCTION("LEFT(REGEXREPLACE(B544, ""[^A-Za-z]"", """"), 3) &amp; RIGHT(D544, 2) &amp; LEFT(REGEXREPLACE(C544, ""[^A-Za-z]"", """"), 3)"),"")</f>
        <v/>
      </c>
    </row>
    <row r="545" ht="14.25" customHeight="1">
      <c r="A545" s="1" t="str">
        <f>IFERROR(__xludf.DUMMYFUNCTION("LEFT(REGEXREPLACE(B545, ""[^A-Za-z]"", """"), 3) &amp; RIGHT(D545, 2) &amp; LEFT(REGEXREPLACE(C545, ""[^A-Za-z]"", """"), 3)"),"")</f>
        <v/>
      </c>
    </row>
    <row r="546" ht="14.25" customHeight="1">
      <c r="A546" s="1" t="str">
        <f>IFERROR(__xludf.DUMMYFUNCTION("LEFT(REGEXREPLACE(B546, ""[^A-Za-z]"", """"), 3) &amp; RIGHT(D546, 2) &amp; LEFT(REGEXREPLACE(C546, ""[^A-Za-z]"", """"), 3)"),"")</f>
        <v/>
      </c>
    </row>
    <row r="547" ht="14.25" customHeight="1">
      <c r="A547" s="1" t="str">
        <f>IFERROR(__xludf.DUMMYFUNCTION("LEFT(REGEXREPLACE(B547, ""[^A-Za-z]"", """"), 3) &amp; RIGHT(D547, 2) &amp; LEFT(REGEXREPLACE(C547, ""[^A-Za-z]"", """"), 3)"),"")</f>
        <v/>
      </c>
    </row>
    <row r="548" ht="14.25" customHeight="1">
      <c r="A548" s="1" t="str">
        <f>IFERROR(__xludf.DUMMYFUNCTION("LEFT(REGEXREPLACE(B548, ""[^A-Za-z]"", """"), 3) &amp; RIGHT(D548, 2) &amp; LEFT(REGEXREPLACE(C548, ""[^A-Za-z]"", """"), 3)"),"")</f>
        <v/>
      </c>
    </row>
    <row r="549" ht="14.25" customHeight="1">
      <c r="A549" s="1" t="str">
        <f>IFERROR(__xludf.DUMMYFUNCTION("LEFT(REGEXREPLACE(B549, ""[^A-Za-z]"", """"), 3) &amp; RIGHT(D549, 2) &amp; LEFT(REGEXREPLACE(C549, ""[^A-Za-z]"", """"), 3)"),"")</f>
        <v/>
      </c>
    </row>
    <row r="550" ht="14.25" customHeight="1">
      <c r="A550" s="1" t="str">
        <f>IFERROR(__xludf.DUMMYFUNCTION("LEFT(REGEXREPLACE(B550, ""[^A-Za-z]"", """"), 3) &amp; RIGHT(D550, 2) &amp; LEFT(REGEXREPLACE(C550, ""[^A-Za-z]"", """"), 3)"),"")</f>
        <v/>
      </c>
    </row>
    <row r="551" ht="14.25" customHeight="1">
      <c r="A551" s="1" t="str">
        <f>IFERROR(__xludf.DUMMYFUNCTION("LEFT(REGEXREPLACE(B551, ""[^A-Za-z]"", """"), 3) &amp; RIGHT(D551, 2) &amp; LEFT(REGEXREPLACE(C551, ""[^A-Za-z]"", """"), 3)"),"")</f>
        <v/>
      </c>
    </row>
    <row r="552" ht="14.25" customHeight="1">
      <c r="A552" s="1" t="str">
        <f>IFERROR(__xludf.DUMMYFUNCTION("LEFT(REGEXREPLACE(B552, ""[^A-Za-z]"", """"), 3) &amp; RIGHT(D552, 2) &amp; LEFT(REGEXREPLACE(C552, ""[^A-Za-z]"", """"), 3)"),"")</f>
        <v/>
      </c>
    </row>
    <row r="553" ht="14.25" customHeight="1">
      <c r="A553" s="1" t="str">
        <f>IFERROR(__xludf.DUMMYFUNCTION("LEFT(REGEXREPLACE(B553, ""[^A-Za-z]"", """"), 3) &amp; RIGHT(D553, 2) &amp; LEFT(REGEXREPLACE(C553, ""[^A-Za-z]"", """"), 3)"),"")</f>
        <v/>
      </c>
    </row>
    <row r="554" ht="14.25" customHeight="1">
      <c r="A554" s="1" t="str">
        <f>IFERROR(__xludf.DUMMYFUNCTION("LEFT(REGEXREPLACE(B554, ""[^A-Za-z]"", """"), 3) &amp; RIGHT(D554, 2) &amp; LEFT(REGEXREPLACE(C554, ""[^A-Za-z]"", """"), 3)"),"")</f>
        <v/>
      </c>
    </row>
    <row r="555" ht="14.25" customHeight="1">
      <c r="A555" s="1" t="str">
        <f>IFERROR(__xludf.DUMMYFUNCTION("LEFT(REGEXREPLACE(B555, ""[^A-Za-z]"", """"), 3) &amp; RIGHT(D555, 2) &amp; LEFT(REGEXREPLACE(C555, ""[^A-Za-z]"", """"), 3)"),"")</f>
        <v/>
      </c>
    </row>
    <row r="556" ht="14.25" customHeight="1">
      <c r="A556" s="1" t="str">
        <f>IFERROR(__xludf.DUMMYFUNCTION("LEFT(REGEXREPLACE(B556, ""[^A-Za-z]"", """"), 3) &amp; RIGHT(D556, 2) &amp; LEFT(REGEXREPLACE(C556, ""[^A-Za-z]"", """"), 3)"),"")</f>
        <v/>
      </c>
    </row>
    <row r="557" ht="14.25" customHeight="1">
      <c r="A557" s="1" t="str">
        <f>IFERROR(__xludf.DUMMYFUNCTION("LEFT(REGEXREPLACE(B557, ""[^A-Za-z]"", """"), 3) &amp; RIGHT(D557, 2) &amp; LEFT(REGEXREPLACE(C557, ""[^A-Za-z]"", """"), 3)"),"")</f>
        <v/>
      </c>
    </row>
    <row r="558" ht="14.25" customHeight="1">
      <c r="A558" s="1" t="str">
        <f>IFERROR(__xludf.DUMMYFUNCTION("LEFT(REGEXREPLACE(B558, ""[^A-Za-z]"", """"), 3) &amp; RIGHT(D558, 2) &amp; LEFT(REGEXREPLACE(C558, ""[^A-Za-z]"", """"), 3)"),"")</f>
        <v/>
      </c>
    </row>
    <row r="559" ht="14.25" customHeight="1">
      <c r="A559" s="1" t="str">
        <f>IFERROR(__xludf.DUMMYFUNCTION("LEFT(REGEXREPLACE(B559, ""[^A-Za-z]"", """"), 3) &amp; RIGHT(D559, 2) &amp; LEFT(REGEXREPLACE(C559, ""[^A-Za-z]"", """"), 3)"),"")</f>
        <v/>
      </c>
    </row>
    <row r="560" ht="14.25" customHeight="1">
      <c r="A560" s="1" t="str">
        <f>IFERROR(__xludf.DUMMYFUNCTION("LEFT(REGEXREPLACE(B560, ""[^A-Za-z]"", """"), 3) &amp; RIGHT(D560, 2) &amp; LEFT(REGEXREPLACE(C560, ""[^A-Za-z]"", """"), 3)"),"")</f>
        <v/>
      </c>
    </row>
    <row r="561" ht="14.25" customHeight="1">
      <c r="A561" s="1" t="str">
        <f>IFERROR(__xludf.DUMMYFUNCTION("LEFT(REGEXREPLACE(B561, ""[^A-Za-z]"", """"), 3) &amp; RIGHT(D561, 2) &amp; LEFT(REGEXREPLACE(C561, ""[^A-Za-z]"", """"), 3)"),"")</f>
        <v/>
      </c>
    </row>
    <row r="562" ht="14.25" customHeight="1">
      <c r="A562" s="1" t="str">
        <f>IFERROR(__xludf.DUMMYFUNCTION("LEFT(REGEXREPLACE(B562, ""[^A-Za-z]"", """"), 3) &amp; RIGHT(D562, 2) &amp; LEFT(REGEXREPLACE(C562, ""[^A-Za-z]"", """"), 3)"),"")</f>
        <v/>
      </c>
    </row>
    <row r="563" ht="14.25" customHeight="1">
      <c r="A563" s="1" t="str">
        <f>IFERROR(__xludf.DUMMYFUNCTION("LEFT(REGEXREPLACE(B563, ""[^A-Za-z]"", """"), 3) &amp; RIGHT(D563, 2) &amp; LEFT(REGEXREPLACE(C563, ""[^A-Za-z]"", """"), 3)"),"")</f>
        <v/>
      </c>
    </row>
    <row r="564" ht="14.25" customHeight="1">
      <c r="A564" s="1" t="str">
        <f>IFERROR(__xludf.DUMMYFUNCTION("LEFT(REGEXREPLACE(B564, ""[^A-Za-z]"", """"), 3) &amp; RIGHT(D564, 2) &amp; LEFT(REGEXREPLACE(C564, ""[^A-Za-z]"", """"), 3)"),"")</f>
        <v/>
      </c>
    </row>
    <row r="565" ht="14.25" customHeight="1">
      <c r="A565" s="1" t="str">
        <f>IFERROR(__xludf.DUMMYFUNCTION("LEFT(REGEXREPLACE(B565, ""[^A-Za-z]"", """"), 3) &amp; RIGHT(D565, 2) &amp; LEFT(REGEXREPLACE(C565, ""[^A-Za-z]"", """"), 3)"),"")</f>
        <v/>
      </c>
    </row>
    <row r="566" ht="14.25" customHeight="1">
      <c r="A566" s="1" t="str">
        <f>IFERROR(__xludf.DUMMYFUNCTION("LEFT(REGEXREPLACE(B566, ""[^A-Za-z]"", """"), 3) &amp; RIGHT(D566, 2) &amp; LEFT(REGEXREPLACE(C566, ""[^A-Za-z]"", """"), 3)"),"")</f>
        <v/>
      </c>
    </row>
    <row r="567" ht="14.25" customHeight="1">
      <c r="A567" s="1" t="str">
        <f>IFERROR(__xludf.DUMMYFUNCTION("LEFT(REGEXREPLACE(B567, ""[^A-Za-z]"", """"), 3) &amp; RIGHT(D567, 2) &amp; LEFT(REGEXREPLACE(C567, ""[^A-Za-z]"", """"), 3)"),"")</f>
        <v/>
      </c>
    </row>
    <row r="568" ht="14.25" customHeight="1">
      <c r="A568" s="1" t="str">
        <f>IFERROR(__xludf.DUMMYFUNCTION("LEFT(REGEXREPLACE(B568, ""[^A-Za-z]"", """"), 3) &amp; RIGHT(D568, 2) &amp; LEFT(REGEXREPLACE(C568, ""[^A-Za-z]"", """"), 3)"),"")</f>
        <v/>
      </c>
    </row>
    <row r="569" ht="14.25" customHeight="1">
      <c r="A569" s="1" t="str">
        <f>IFERROR(__xludf.DUMMYFUNCTION("LEFT(REGEXREPLACE(B569, ""[^A-Za-z]"", """"), 3) &amp; RIGHT(D569, 2) &amp; LEFT(REGEXREPLACE(C569, ""[^A-Za-z]"", """"), 3)"),"")</f>
        <v/>
      </c>
    </row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9" width="8.71"/>
    <col customWidth="1" min="10" max="10" width="16.29"/>
    <col customWidth="1" min="11" max="72" width="8.71"/>
  </cols>
  <sheetData>
    <row r="1" ht="14.25" customHeight="1">
      <c r="D1" s="1" t="s">
        <v>3</v>
      </c>
      <c r="E1" s="1" t="s">
        <v>658</v>
      </c>
    </row>
    <row r="2" ht="14.25" customHeight="1">
      <c r="D2" s="1"/>
      <c r="E2" s="1">
        <v>0.0</v>
      </c>
    </row>
    <row r="3" ht="14.25" customHeight="1">
      <c r="D3" s="1">
        <v>1955.0</v>
      </c>
      <c r="E3" s="1">
        <v>1.0</v>
      </c>
    </row>
    <row r="4" ht="14.25" customHeight="1">
      <c r="D4" s="1">
        <v>1956.0</v>
      </c>
      <c r="E4" s="1">
        <v>2.0</v>
      </c>
    </row>
    <row r="5" ht="14.25" customHeight="1">
      <c r="D5" s="1">
        <v>1957.0</v>
      </c>
      <c r="E5" s="1">
        <v>2.0</v>
      </c>
    </row>
    <row r="6" ht="14.25" customHeight="1">
      <c r="D6" s="1">
        <v>1958.0</v>
      </c>
      <c r="E6" s="1">
        <v>3.0</v>
      </c>
    </row>
    <row r="7" ht="14.25" customHeight="1">
      <c r="D7" s="1">
        <v>1959.0</v>
      </c>
      <c r="E7" s="1">
        <v>6.0</v>
      </c>
    </row>
    <row r="8" ht="14.25" customHeight="1">
      <c r="D8" s="1">
        <v>1960.0</v>
      </c>
      <c r="E8" s="1">
        <v>5.0</v>
      </c>
    </row>
    <row r="9" ht="14.25" customHeight="1">
      <c r="D9" s="1">
        <v>1961.0</v>
      </c>
      <c r="E9" s="1">
        <v>4.0</v>
      </c>
    </row>
    <row r="10" ht="14.25" customHeight="1">
      <c r="D10" s="1">
        <v>1962.0</v>
      </c>
      <c r="E10" s="1">
        <v>4.0</v>
      </c>
    </row>
    <row r="11" ht="14.25" customHeight="1">
      <c r="D11" s="1">
        <v>1963.0</v>
      </c>
      <c r="E11" s="1">
        <v>6.0</v>
      </c>
    </row>
    <row r="12" ht="14.25" customHeight="1">
      <c r="D12" s="1">
        <v>1964.0</v>
      </c>
      <c r="E12" s="1">
        <v>14.0</v>
      </c>
    </row>
    <row r="13" ht="14.25" customHeight="1">
      <c r="D13" s="1">
        <v>1965.0</v>
      </c>
      <c r="E13" s="1">
        <v>6.0</v>
      </c>
    </row>
    <row r="14" ht="14.25" customHeight="1">
      <c r="D14" s="1">
        <v>1966.0</v>
      </c>
      <c r="E14" s="1">
        <v>7.0</v>
      </c>
    </row>
    <row r="15" ht="14.25" customHeight="1">
      <c r="D15" s="1">
        <v>1967.0</v>
      </c>
      <c r="E15" s="1">
        <v>8.0</v>
      </c>
    </row>
    <row r="16" ht="14.25" customHeight="1">
      <c r="D16" s="1">
        <v>1968.0</v>
      </c>
      <c r="E16" s="1">
        <v>5.0</v>
      </c>
    </row>
    <row r="17" ht="14.25" customHeight="1">
      <c r="D17" s="1">
        <v>1969.0</v>
      </c>
      <c r="E17" s="1">
        <v>5.0</v>
      </c>
    </row>
    <row r="18" ht="14.25" customHeight="1">
      <c r="D18" s="1">
        <v>1970.0</v>
      </c>
      <c r="E18" s="1">
        <v>2.0</v>
      </c>
    </row>
    <row r="19" ht="14.25" customHeight="1">
      <c r="D19" s="1">
        <v>1971.0</v>
      </c>
      <c r="E19" s="1">
        <v>3.0</v>
      </c>
    </row>
    <row r="20" ht="14.25" customHeight="1">
      <c r="D20" s="1">
        <v>1972.0</v>
      </c>
      <c r="E20" s="1">
        <v>5.0</v>
      </c>
    </row>
    <row r="21" ht="14.25" customHeight="1">
      <c r="D21" s="1">
        <v>1973.0</v>
      </c>
      <c r="E21" s="1">
        <v>11.0</v>
      </c>
    </row>
    <row r="22" ht="14.25" customHeight="1">
      <c r="D22" s="1">
        <v>1974.0</v>
      </c>
      <c r="E22" s="1">
        <v>2.0</v>
      </c>
    </row>
    <row r="23" ht="14.25" customHeight="1">
      <c r="D23" s="1">
        <v>1975.0</v>
      </c>
      <c r="E23" s="1">
        <v>5.0</v>
      </c>
    </row>
    <row r="24" ht="14.25" customHeight="1">
      <c r="D24" s="1">
        <v>1976.0</v>
      </c>
      <c r="E24" s="1">
        <v>3.0</v>
      </c>
    </row>
    <row r="25" ht="14.25" customHeight="1">
      <c r="D25" s="1">
        <v>1977.0</v>
      </c>
      <c r="E25" s="1">
        <v>5.0</v>
      </c>
    </row>
    <row r="26" ht="14.25" customHeight="1">
      <c r="D26" s="1">
        <v>1978.0</v>
      </c>
      <c r="E26" s="1">
        <v>2.0</v>
      </c>
    </row>
    <row r="27" ht="14.25" customHeight="1">
      <c r="D27" s="1">
        <v>1979.0</v>
      </c>
      <c r="E27" s="1">
        <v>4.0</v>
      </c>
    </row>
    <row r="28" ht="14.25" customHeight="1">
      <c r="D28" s="1">
        <v>1980.0</v>
      </c>
      <c r="E28" s="1">
        <v>4.0</v>
      </c>
    </row>
    <row r="29" ht="14.25" customHeight="1">
      <c r="D29" s="1">
        <v>1981.0</v>
      </c>
      <c r="E29" s="1">
        <v>2.0</v>
      </c>
    </row>
    <row r="30" ht="14.25" customHeight="1">
      <c r="D30" s="1">
        <v>1982.0</v>
      </c>
      <c r="E30" s="1">
        <v>4.0</v>
      </c>
    </row>
    <row r="31" ht="14.25" customHeight="1">
      <c r="D31" s="1">
        <v>1983.0</v>
      </c>
      <c r="E31" s="1">
        <v>2.0</v>
      </c>
    </row>
    <row r="32" ht="14.25" customHeight="1">
      <c r="D32" s="1">
        <v>1984.0</v>
      </c>
      <c r="E32" s="1">
        <v>3.0</v>
      </c>
    </row>
    <row r="33" ht="14.25" customHeight="1">
      <c r="D33" s="1">
        <v>1985.0</v>
      </c>
      <c r="E33" s="1">
        <v>2.0</v>
      </c>
    </row>
    <row r="34" ht="14.25" customHeight="1">
      <c r="D34" s="1">
        <v>1986.0</v>
      </c>
      <c r="E34" s="1">
        <v>1.0</v>
      </c>
    </row>
    <row r="35" ht="14.25" customHeight="1">
      <c r="D35" s="1">
        <v>1997.0</v>
      </c>
      <c r="E35" s="1">
        <v>2.0</v>
      </c>
    </row>
    <row r="36" ht="14.25" customHeight="1">
      <c r="D36" s="1">
        <v>1998.0</v>
      </c>
      <c r="E36" s="1">
        <v>2.0</v>
      </c>
    </row>
    <row r="37" ht="14.25" customHeight="1">
      <c r="D37" s="1">
        <v>1999.0</v>
      </c>
      <c r="E37" s="1">
        <v>1.0</v>
      </c>
    </row>
    <row r="38" ht="14.25" customHeight="1">
      <c r="D38" s="1">
        <v>2000.0</v>
      </c>
      <c r="E38" s="1">
        <v>1.0</v>
      </c>
    </row>
    <row r="39" ht="14.25" customHeight="1">
      <c r="D39" s="1">
        <v>2001.0</v>
      </c>
      <c r="E39" s="1">
        <v>4.0</v>
      </c>
    </row>
    <row r="40" ht="14.25" customHeight="1">
      <c r="D40" s="1">
        <v>2002.0</v>
      </c>
      <c r="E40" s="1">
        <v>4.0</v>
      </c>
    </row>
    <row r="41" ht="14.25" customHeight="1">
      <c r="D41" s="1">
        <v>2003.0</v>
      </c>
      <c r="E41" s="1">
        <v>13.0</v>
      </c>
    </row>
    <row r="42" ht="14.25" customHeight="1">
      <c r="D42" s="1">
        <v>2004.0</v>
      </c>
      <c r="E42" s="1">
        <v>4.0</v>
      </c>
    </row>
    <row r="43" ht="14.25" customHeight="1">
      <c r="D43" s="1">
        <v>2005.0</v>
      </c>
      <c r="E43" s="1">
        <v>10.0</v>
      </c>
    </row>
    <row r="44" ht="14.25" customHeight="1">
      <c r="D44" s="1">
        <v>2006.0</v>
      </c>
      <c r="E44" s="1">
        <v>1.0</v>
      </c>
    </row>
    <row r="45" ht="14.25" customHeight="1">
      <c r="D45" s="1">
        <v>2007.0</v>
      </c>
      <c r="E45" s="1">
        <v>2.0</v>
      </c>
    </row>
    <row r="46" ht="14.25" customHeight="1">
      <c r="D46" s="1">
        <v>2008.0</v>
      </c>
      <c r="E46" s="1">
        <v>2.0</v>
      </c>
    </row>
    <row r="47" ht="14.25" customHeight="1">
      <c r="D47" s="1">
        <v>2009.0</v>
      </c>
      <c r="E47" s="1">
        <v>2.0</v>
      </c>
    </row>
    <row r="48" ht="14.25" customHeight="1">
      <c r="D48" s="1">
        <v>2010.0</v>
      </c>
      <c r="E48" s="1">
        <v>2.0</v>
      </c>
    </row>
    <row r="49" ht="14.25" customHeight="1">
      <c r="D49" s="1">
        <v>2011.0</v>
      </c>
      <c r="E49" s="1">
        <v>1.0</v>
      </c>
    </row>
    <row r="50" ht="14.25" customHeight="1">
      <c r="D50" s="1">
        <v>2012.0</v>
      </c>
      <c r="E50" s="1">
        <v>2.0</v>
      </c>
    </row>
    <row r="51" ht="14.25" customHeight="1">
      <c r="D51" s="1">
        <v>2013.0</v>
      </c>
      <c r="E51" s="1">
        <v>3.0</v>
      </c>
    </row>
    <row r="52" ht="14.25" customHeight="1">
      <c r="D52" s="1">
        <v>2014.0</v>
      </c>
      <c r="E52" s="1">
        <v>4.0</v>
      </c>
    </row>
    <row r="53" ht="14.25" customHeight="1">
      <c r="D53" s="1">
        <v>2015.0</v>
      </c>
      <c r="E53" s="1">
        <v>7.0</v>
      </c>
    </row>
    <row r="54" ht="14.25" customHeight="1">
      <c r="D54" s="1">
        <v>2016.0</v>
      </c>
      <c r="E54" s="1">
        <v>8.0</v>
      </c>
    </row>
    <row r="55" ht="14.25" customHeight="1">
      <c r="D55" s="1">
        <v>2017.0</v>
      </c>
      <c r="E55" s="1">
        <v>4.0</v>
      </c>
    </row>
    <row r="56" ht="14.25" customHeight="1">
      <c r="D56" s="1">
        <v>2018.0</v>
      </c>
      <c r="E56" s="1">
        <v>7.0</v>
      </c>
    </row>
    <row r="57" ht="14.25" customHeight="1">
      <c r="D57" s="1">
        <v>2019.0</v>
      </c>
      <c r="E57" s="1">
        <v>6.0</v>
      </c>
    </row>
    <row r="58" ht="14.25" customHeight="1">
      <c r="D58" s="1">
        <v>2020.0</v>
      </c>
      <c r="E58" s="1">
        <v>6.0</v>
      </c>
    </row>
    <row r="59" ht="14.25" customHeight="1">
      <c r="D59" s="1">
        <v>2021.0</v>
      </c>
      <c r="E59" s="1">
        <v>5.0</v>
      </c>
    </row>
    <row r="60" ht="14.25" customHeight="1">
      <c r="D60" s="1">
        <v>2022.0</v>
      </c>
      <c r="E60" s="1">
        <v>16.0</v>
      </c>
    </row>
    <row r="61" ht="14.25" customHeight="1">
      <c r="D61" s="1">
        <v>2023.0</v>
      </c>
      <c r="E61" s="1">
        <v>11.0</v>
      </c>
    </row>
    <row r="62" ht="14.25" customHeight="1">
      <c r="D62" s="1">
        <v>2024.0</v>
      </c>
      <c r="E62" s="1">
        <v>8.0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" t="s">
        <v>675</v>
      </c>
      <c r="B1" s="4" t="s">
        <v>11</v>
      </c>
    </row>
    <row r="2">
      <c r="A2" s="4">
        <v>1930.0</v>
      </c>
      <c r="B2" s="4" t="s">
        <v>676</v>
      </c>
    </row>
    <row r="3">
      <c r="A3" s="4">
        <v>1931.0</v>
      </c>
      <c r="B3" s="4" t="s">
        <v>676</v>
      </c>
    </row>
    <row r="4">
      <c r="A4" s="4">
        <v>1932.0</v>
      </c>
      <c r="B4" s="4" t="s">
        <v>676</v>
      </c>
    </row>
    <row r="5">
      <c r="A5" s="4">
        <v>1933.0</v>
      </c>
      <c r="B5" s="4" t="s">
        <v>676</v>
      </c>
    </row>
    <row r="6">
      <c r="A6" s="4">
        <v>1934.0</v>
      </c>
      <c r="B6" s="4" t="s">
        <v>676</v>
      </c>
    </row>
    <row r="7">
      <c r="A7" s="4">
        <v>1935.0</v>
      </c>
      <c r="B7" s="4" t="s">
        <v>676</v>
      </c>
    </row>
    <row r="8">
      <c r="A8" s="4">
        <v>1936.0</v>
      </c>
      <c r="B8" s="4" t="s">
        <v>676</v>
      </c>
    </row>
    <row r="9">
      <c r="A9" s="4">
        <v>1937.0</v>
      </c>
      <c r="B9" s="4" t="s">
        <v>676</v>
      </c>
    </row>
    <row r="10">
      <c r="A10" s="4">
        <v>1938.0</v>
      </c>
      <c r="B10" s="4" t="s">
        <v>676</v>
      </c>
    </row>
    <row r="11">
      <c r="A11" s="4">
        <v>1939.0</v>
      </c>
      <c r="B11" s="4" t="s">
        <v>676</v>
      </c>
    </row>
    <row r="12">
      <c r="A12" s="4">
        <v>1940.0</v>
      </c>
      <c r="B12" s="4" t="s">
        <v>677</v>
      </c>
    </row>
    <row r="13">
      <c r="A13" s="4">
        <v>1941.0</v>
      </c>
      <c r="B13" s="4" t="s">
        <v>677</v>
      </c>
    </row>
    <row r="14">
      <c r="A14" s="4">
        <v>1942.0</v>
      </c>
      <c r="B14" s="4" t="s">
        <v>677</v>
      </c>
    </row>
    <row r="15">
      <c r="A15" s="4">
        <v>1943.0</v>
      </c>
      <c r="B15" s="4" t="s">
        <v>677</v>
      </c>
    </row>
    <row r="16">
      <c r="A16" s="4">
        <v>1944.0</v>
      </c>
      <c r="B16" s="4" t="s">
        <v>677</v>
      </c>
    </row>
    <row r="17">
      <c r="A17" s="4">
        <v>1945.0</v>
      </c>
      <c r="B17" s="4" t="s">
        <v>677</v>
      </c>
    </row>
    <row r="18">
      <c r="A18" s="4">
        <v>1946.0</v>
      </c>
      <c r="B18" s="4" t="s">
        <v>677</v>
      </c>
    </row>
    <row r="19">
      <c r="A19" s="4">
        <v>1947.0</v>
      </c>
      <c r="B19" s="4" t="s">
        <v>677</v>
      </c>
    </row>
    <row r="20">
      <c r="A20" s="4">
        <v>1948.0</v>
      </c>
      <c r="B20" s="4" t="s">
        <v>677</v>
      </c>
    </row>
    <row r="21">
      <c r="A21" s="4">
        <v>1949.0</v>
      </c>
      <c r="B21" s="4" t="s">
        <v>677</v>
      </c>
    </row>
    <row r="22">
      <c r="A22" s="4">
        <v>1950.0</v>
      </c>
      <c r="B22" s="4" t="s">
        <v>663</v>
      </c>
    </row>
    <row r="23">
      <c r="A23" s="4">
        <v>1951.0</v>
      </c>
      <c r="B23" s="4" t="s">
        <v>663</v>
      </c>
    </row>
    <row r="24">
      <c r="A24" s="4">
        <v>1952.0</v>
      </c>
      <c r="B24" s="4" t="s">
        <v>663</v>
      </c>
    </row>
    <row r="25">
      <c r="A25" s="4">
        <v>1953.0</v>
      </c>
      <c r="B25" s="4" t="s">
        <v>663</v>
      </c>
    </row>
    <row r="26">
      <c r="A26" s="4">
        <v>1954.0</v>
      </c>
      <c r="B26" s="4" t="s">
        <v>663</v>
      </c>
    </row>
    <row r="27">
      <c r="A27" s="4">
        <v>1955.0</v>
      </c>
      <c r="B27" s="4" t="s">
        <v>663</v>
      </c>
    </row>
    <row r="28">
      <c r="A28" s="4">
        <v>1956.0</v>
      </c>
      <c r="B28" s="4" t="s">
        <v>663</v>
      </c>
    </row>
    <row r="29">
      <c r="A29" s="4">
        <v>1957.0</v>
      </c>
      <c r="B29" s="4" t="s">
        <v>663</v>
      </c>
    </row>
    <row r="30">
      <c r="A30" s="4">
        <v>1958.0</v>
      </c>
      <c r="B30" s="4" t="s">
        <v>663</v>
      </c>
    </row>
    <row r="31">
      <c r="A31" s="4">
        <v>1959.0</v>
      </c>
      <c r="B31" s="4" t="s">
        <v>663</v>
      </c>
    </row>
    <row r="32">
      <c r="A32" s="4">
        <v>1960.0</v>
      </c>
      <c r="B32" s="4" t="s">
        <v>664</v>
      </c>
    </row>
    <row r="33">
      <c r="A33" s="4">
        <v>1961.0</v>
      </c>
      <c r="B33" s="4" t="s">
        <v>664</v>
      </c>
    </row>
    <row r="34">
      <c r="A34" s="4">
        <v>1962.0</v>
      </c>
      <c r="B34" s="4" t="s">
        <v>664</v>
      </c>
    </row>
    <row r="35">
      <c r="A35" s="4">
        <v>1963.0</v>
      </c>
      <c r="B35" s="4" t="s">
        <v>664</v>
      </c>
    </row>
    <row r="36">
      <c r="A36" s="4">
        <v>1964.0</v>
      </c>
      <c r="B36" s="4" t="s">
        <v>664</v>
      </c>
    </row>
    <row r="37">
      <c r="A37" s="4">
        <v>1965.0</v>
      </c>
      <c r="B37" s="4" t="s">
        <v>664</v>
      </c>
    </row>
    <row r="38">
      <c r="A38" s="4">
        <v>1966.0</v>
      </c>
      <c r="B38" s="4" t="s">
        <v>664</v>
      </c>
    </row>
    <row r="39">
      <c r="A39" s="4">
        <v>1967.0</v>
      </c>
      <c r="B39" s="4" t="s">
        <v>664</v>
      </c>
    </row>
    <row r="40">
      <c r="A40" s="4">
        <v>1968.0</v>
      </c>
      <c r="B40" s="4" t="s">
        <v>664</v>
      </c>
    </row>
    <row r="41">
      <c r="A41" s="4">
        <v>1969.0</v>
      </c>
      <c r="B41" s="4" t="s">
        <v>664</v>
      </c>
    </row>
    <row r="42">
      <c r="A42" s="4">
        <v>1970.0</v>
      </c>
      <c r="B42" s="4" t="s">
        <v>665</v>
      </c>
    </row>
    <row r="43">
      <c r="A43" s="4">
        <v>1971.0</v>
      </c>
      <c r="B43" s="4" t="s">
        <v>665</v>
      </c>
    </row>
    <row r="44">
      <c r="A44" s="4">
        <v>1972.0</v>
      </c>
      <c r="B44" s="4" t="s">
        <v>665</v>
      </c>
    </row>
    <row r="45">
      <c r="A45" s="4">
        <v>1973.0</v>
      </c>
      <c r="B45" s="4" t="s">
        <v>665</v>
      </c>
    </row>
    <row r="46">
      <c r="A46" s="4">
        <v>1974.0</v>
      </c>
      <c r="B46" s="4" t="s">
        <v>665</v>
      </c>
      <c r="E46" s="4"/>
    </row>
    <row r="47">
      <c r="A47" s="4">
        <v>1975.0</v>
      </c>
      <c r="B47" s="4" t="s">
        <v>665</v>
      </c>
    </row>
    <row r="48">
      <c r="A48" s="4">
        <v>1976.0</v>
      </c>
      <c r="B48" s="4" t="s">
        <v>665</v>
      </c>
    </row>
    <row r="49">
      <c r="A49" s="4">
        <v>1977.0</v>
      </c>
      <c r="B49" s="4" t="s">
        <v>665</v>
      </c>
    </row>
    <row r="50">
      <c r="A50" s="4">
        <v>1978.0</v>
      </c>
      <c r="B50" s="4" t="s">
        <v>665</v>
      </c>
    </row>
    <row r="51">
      <c r="A51" s="4">
        <v>1979.0</v>
      </c>
      <c r="B51" s="4" t="s">
        <v>665</v>
      </c>
    </row>
    <row r="52">
      <c r="A52" s="4">
        <v>1980.0</v>
      </c>
      <c r="B52" s="4" t="s">
        <v>666</v>
      </c>
    </row>
    <row r="53">
      <c r="A53" s="4">
        <v>1981.0</v>
      </c>
      <c r="B53" s="4" t="s">
        <v>666</v>
      </c>
    </row>
    <row r="54">
      <c r="A54" s="4">
        <v>1982.0</v>
      </c>
      <c r="B54" s="4" t="s">
        <v>666</v>
      </c>
    </row>
    <row r="55">
      <c r="A55" s="4">
        <v>1983.0</v>
      </c>
      <c r="B55" s="4" t="s">
        <v>666</v>
      </c>
    </row>
    <row r="56">
      <c r="A56" s="4">
        <v>1984.0</v>
      </c>
      <c r="B56" s="4" t="s">
        <v>666</v>
      </c>
    </row>
    <row r="57">
      <c r="A57" s="4">
        <v>1985.0</v>
      </c>
      <c r="B57" s="4" t="s">
        <v>666</v>
      </c>
    </row>
    <row r="58">
      <c r="A58" s="4">
        <v>1986.0</v>
      </c>
      <c r="B58" s="4" t="s">
        <v>666</v>
      </c>
    </row>
    <row r="59">
      <c r="A59" s="4">
        <v>1987.0</v>
      </c>
      <c r="B59" s="4" t="s">
        <v>666</v>
      </c>
    </row>
    <row r="60">
      <c r="A60" s="4">
        <v>1988.0</v>
      </c>
      <c r="B60" s="4" t="s">
        <v>666</v>
      </c>
    </row>
    <row r="61">
      <c r="A61" s="4">
        <v>1989.0</v>
      </c>
      <c r="B61" s="4" t="s">
        <v>666</v>
      </c>
    </row>
    <row r="62">
      <c r="A62" s="4">
        <v>1990.0</v>
      </c>
      <c r="B62" s="4" t="s">
        <v>668</v>
      </c>
    </row>
    <row r="63">
      <c r="A63" s="4">
        <v>1991.0</v>
      </c>
      <c r="B63" s="4" t="s">
        <v>668</v>
      </c>
    </row>
    <row r="64">
      <c r="A64" s="4">
        <v>1992.0</v>
      </c>
      <c r="B64" s="4" t="s">
        <v>668</v>
      </c>
    </row>
    <row r="65">
      <c r="A65" s="4">
        <v>1993.0</v>
      </c>
      <c r="B65" s="4" t="s">
        <v>668</v>
      </c>
    </row>
    <row r="66">
      <c r="A66" s="4">
        <v>1994.0</v>
      </c>
      <c r="B66" s="4" t="s">
        <v>668</v>
      </c>
    </row>
    <row r="67">
      <c r="A67" s="4">
        <v>1995.0</v>
      </c>
      <c r="B67" s="4" t="s">
        <v>668</v>
      </c>
    </row>
    <row r="68">
      <c r="A68" s="4">
        <v>1996.0</v>
      </c>
      <c r="B68" s="4" t="s">
        <v>668</v>
      </c>
    </row>
    <row r="69">
      <c r="A69" s="4">
        <v>1997.0</v>
      </c>
      <c r="B69" s="4" t="s">
        <v>668</v>
      </c>
    </row>
    <row r="70">
      <c r="A70" s="4">
        <v>1998.0</v>
      </c>
      <c r="B70" s="4" t="s">
        <v>668</v>
      </c>
    </row>
    <row r="71">
      <c r="A71" s="4">
        <v>1999.0</v>
      </c>
      <c r="B71" s="4" t="s">
        <v>668</v>
      </c>
    </row>
    <row r="72">
      <c r="A72" s="4">
        <v>2000.0</v>
      </c>
      <c r="B72" s="4" t="s">
        <v>669</v>
      </c>
    </row>
    <row r="73">
      <c r="A73" s="4">
        <v>2001.0</v>
      </c>
      <c r="B73" s="4" t="s">
        <v>669</v>
      </c>
    </row>
    <row r="74">
      <c r="A74" s="4">
        <v>2002.0</v>
      </c>
      <c r="B74" s="4" t="s">
        <v>669</v>
      </c>
    </row>
    <row r="75">
      <c r="A75" s="4">
        <v>2003.0</v>
      </c>
      <c r="B75" s="4" t="s">
        <v>669</v>
      </c>
    </row>
    <row r="76">
      <c r="A76" s="4">
        <v>2004.0</v>
      </c>
      <c r="B76" s="4" t="s">
        <v>669</v>
      </c>
    </row>
    <row r="77">
      <c r="A77" s="4">
        <v>2005.0</v>
      </c>
      <c r="B77" s="4" t="s">
        <v>669</v>
      </c>
    </row>
    <row r="78">
      <c r="A78" s="4">
        <v>2006.0</v>
      </c>
      <c r="B78" s="4" t="s">
        <v>669</v>
      </c>
    </row>
    <row r="79">
      <c r="A79" s="4">
        <v>2007.0</v>
      </c>
      <c r="B79" s="4" t="s">
        <v>669</v>
      </c>
    </row>
    <row r="80">
      <c r="A80" s="4">
        <v>2008.0</v>
      </c>
      <c r="B80" s="4" t="s">
        <v>669</v>
      </c>
    </row>
    <row r="81">
      <c r="A81" s="4">
        <v>2009.0</v>
      </c>
      <c r="B81" s="4" t="s">
        <v>669</v>
      </c>
    </row>
    <row r="82">
      <c r="A82" s="4">
        <v>2010.0</v>
      </c>
      <c r="B82" s="4" t="s">
        <v>670</v>
      </c>
    </row>
    <row r="83">
      <c r="A83" s="4">
        <v>2011.0</v>
      </c>
      <c r="B83" s="4" t="s">
        <v>670</v>
      </c>
    </row>
    <row r="84">
      <c r="A84" s="4">
        <v>2012.0</v>
      </c>
      <c r="B84" s="4" t="s">
        <v>670</v>
      </c>
    </row>
    <row r="85">
      <c r="A85" s="4">
        <v>2013.0</v>
      </c>
      <c r="B85" s="4" t="s">
        <v>670</v>
      </c>
    </row>
    <row r="86">
      <c r="A86" s="4">
        <v>2014.0</v>
      </c>
      <c r="B86" s="4" t="s">
        <v>670</v>
      </c>
    </row>
    <row r="87">
      <c r="A87" s="4">
        <v>2015.0</v>
      </c>
      <c r="B87" s="4" t="s">
        <v>670</v>
      </c>
    </row>
    <row r="88">
      <c r="A88" s="4">
        <v>2016.0</v>
      </c>
      <c r="B88" s="4" t="s">
        <v>670</v>
      </c>
    </row>
    <row r="89">
      <c r="A89" s="4">
        <v>2017.0</v>
      </c>
      <c r="B89" s="4" t="s">
        <v>670</v>
      </c>
    </row>
    <row r="90">
      <c r="A90" s="4">
        <v>2018.0</v>
      </c>
      <c r="B90" s="4" t="s">
        <v>670</v>
      </c>
    </row>
    <row r="91">
      <c r="A91" s="4">
        <v>2019.0</v>
      </c>
      <c r="B91" s="4" t="s">
        <v>670</v>
      </c>
    </row>
    <row r="92">
      <c r="A92" s="4">
        <v>2020.0</v>
      </c>
      <c r="B92" s="4" t="s">
        <v>671</v>
      </c>
    </row>
    <row r="93">
      <c r="A93" s="4">
        <v>2021.0</v>
      </c>
      <c r="B93" s="4" t="s">
        <v>671</v>
      </c>
    </row>
    <row r="94">
      <c r="A94" s="4">
        <v>2022.0</v>
      </c>
      <c r="B94" s="4" t="s">
        <v>671</v>
      </c>
    </row>
    <row r="95">
      <c r="A95" s="4">
        <v>2023.0</v>
      </c>
      <c r="B95" s="4" t="s">
        <v>671</v>
      </c>
    </row>
    <row r="96">
      <c r="A96" s="4">
        <v>2024.0</v>
      </c>
      <c r="B96" s="4" t="s">
        <v>671</v>
      </c>
    </row>
    <row r="97">
      <c r="A97" s="4">
        <v>2025.0</v>
      </c>
      <c r="B97" s="4" t="s">
        <v>671</v>
      </c>
    </row>
    <row r="98">
      <c r="A98" s="4">
        <v>2026.0</v>
      </c>
      <c r="B98" s="4" t="s">
        <v>671</v>
      </c>
    </row>
    <row r="99">
      <c r="A99" s="4">
        <v>2027.0</v>
      </c>
      <c r="B99" s="4" t="s">
        <v>671</v>
      </c>
    </row>
    <row r="100">
      <c r="A100" s="4">
        <v>2028.0</v>
      </c>
      <c r="B100" s="4" t="s">
        <v>671</v>
      </c>
    </row>
    <row r="101">
      <c r="A101" s="4">
        <v>2029.0</v>
      </c>
      <c r="B101" s="4" t="s">
        <v>671</v>
      </c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2023-07-04T19:49:34Z</dcterms:created>
  <dc:creator>kieran bailey</dc:creator>
</cp:coreProperties>
</file>