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MyRepo\RD135EFI\Misc\"/>
    </mc:Choice>
  </mc:AlternateContent>
  <xr:revisionPtr revIDLastSave="0" documentId="13_ncr:1_{B54126D9-C107-4F69-A2B2-3248A26E2A22}" xr6:coauthVersionLast="45" xr6:coauthVersionMax="45" xr10:uidLastSave="{00000000-0000-0000-0000-000000000000}"/>
  <bookViews>
    <workbookView xWindow="-108" yWindow="-108" windowWidth="23256" windowHeight="12720" activeTab="3" xr2:uid="{A44796AA-7E38-40AD-AECC-D440A5845C66}"/>
  </bookViews>
  <sheets>
    <sheet name="Definitions" sheetId="5" r:id="rId1"/>
    <sheet name="Backlog" sheetId="1" r:id="rId2"/>
    <sheet name="Current_Sprint" sheetId="3" r:id="rId3"/>
    <sheet name="Microcontroller" sheetId="2" r:id="rId4"/>
    <sheet name="Calibration" sheetId="4" r:id="rId5"/>
    <sheet name="FilterSignal" sheetId="7" r:id="rId6"/>
    <sheet name="Xtau" sheetId="11" r:id="rId7"/>
    <sheet name="Models" sheetId="9" r:id="rId8"/>
    <sheet name="Strategy" sheetId="10" r:id="rId9"/>
    <sheet name="Ref_Calculation" sheetId="12" r:id="rId10"/>
    <sheet name="ReadBattery" sheetId="13" r:id="rId11"/>
    <sheet name="Sheet1" sheetId="14" r:id="rId12"/>
    <sheet name="Literature" sheetId="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13" l="1"/>
  <c r="C3" i="13"/>
  <c r="B15" i="13"/>
  <c r="B14" i="13"/>
  <c r="B5" i="13"/>
  <c r="B3" i="13"/>
  <c r="B13" i="13"/>
  <c r="B4" i="13"/>
  <c r="B6" i="13" l="1"/>
  <c r="B8" i="13" s="1"/>
  <c r="H21" i="12"/>
  <c r="B20" i="12"/>
  <c r="H13" i="12"/>
  <c r="H14" i="12"/>
  <c r="H11" i="12"/>
  <c r="H12" i="12" s="1"/>
  <c r="C49" i="12"/>
  <c r="B12" i="12"/>
  <c r="H15" i="12" l="1"/>
  <c r="H16" i="12" s="1"/>
  <c r="C22" i="10"/>
  <c r="B44" i="12"/>
  <c r="B45" i="12" s="1"/>
  <c r="B46" i="12" s="1"/>
  <c r="B47" i="12" s="1"/>
  <c r="B28" i="12"/>
  <c r="B10" i="12"/>
  <c r="B13" i="12" l="1"/>
  <c r="B37" i="12"/>
  <c r="B36" i="12"/>
  <c r="B11" i="12"/>
  <c r="B14" i="12" l="1"/>
  <c r="B15" i="12" s="1"/>
  <c r="B38" i="12"/>
  <c r="B41" i="12" s="1"/>
  <c r="B31" i="10"/>
  <c r="B33" i="10" s="1"/>
  <c r="B34" i="10" s="1"/>
  <c r="B32" i="10"/>
  <c r="C21" i="12" l="1"/>
  <c r="C15" i="12"/>
  <c r="C20" i="12" s="1"/>
  <c r="B31" i="12"/>
  <c r="C48" i="12" s="1"/>
  <c r="B39" i="12"/>
  <c r="B36" i="10"/>
  <c r="E4" i="10"/>
  <c r="B6" i="10"/>
  <c r="B14" i="10"/>
  <c r="B48" i="12" l="1"/>
  <c r="B49" i="12" s="1"/>
  <c r="C31" i="12"/>
  <c r="D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C6" i="11"/>
  <c r="C7" i="11" s="1"/>
  <c r="D8" i="11" s="1"/>
  <c r="B10" i="10"/>
  <c r="B11" i="10" s="1"/>
  <c r="V29" i="9"/>
  <c r="V30" i="9"/>
  <c r="V31" i="9"/>
  <c r="V28" i="9"/>
  <c r="S29" i="9"/>
  <c r="S30" i="9"/>
  <c r="S31" i="9"/>
  <c r="S28" i="9"/>
  <c r="D14" i="9"/>
  <c r="D7" i="11" l="1"/>
  <c r="F7" i="11"/>
  <c r="C8" i="11"/>
  <c r="D9" i="11" s="1"/>
  <c r="F6" i="11"/>
  <c r="B21" i="10"/>
  <c r="B20" i="10"/>
  <c r="D13" i="9"/>
  <c r="E28" i="9" s="1"/>
  <c r="E29" i="9" s="1"/>
  <c r="E31" i="9" s="1"/>
  <c r="D10" i="9"/>
  <c r="D7" i="9"/>
  <c r="B16" i="9"/>
  <c r="F8" i="11" l="1"/>
  <c r="C9" i="11"/>
  <c r="D10" i="11" s="1"/>
  <c r="B22" i="10"/>
  <c r="B23" i="10" s="1"/>
  <c r="H28" i="9"/>
  <c r="H31" i="9" s="1"/>
  <c r="T31" i="9"/>
  <c r="U31" i="9" s="1"/>
  <c r="B17" i="9"/>
  <c r="T30" i="9"/>
  <c r="U30" i="9" s="1"/>
  <c r="T29" i="9"/>
  <c r="U29" i="9" s="1"/>
  <c r="T28" i="9"/>
  <c r="U28" i="9" s="1"/>
  <c r="B28" i="9"/>
  <c r="E32" i="9"/>
  <c r="E30" i="9"/>
  <c r="B25" i="10" l="1"/>
  <c r="B26" i="10" s="1"/>
  <c r="B24" i="10"/>
  <c r="B38" i="10"/>
  <c r="B39" i="10" s="1"/>
  <c r="C10" i="11"/>
  <c r="D11" i="11" s="1"/>
  <c r="F9" i="11"/>
  <c r="H29" i="9"/>
  <c r="H30" i="9" s="1"/>
  <c r="H32" i="9"/>
  <c r="B18" i="9"/>
  <c r="B29" i="9"/>
  <c r="B30" i="9" s="1"/>
  <c r="B31" i="9" s="1"/>
  <c r="B32" i="9" s="1"/>
  <c r="E33" i="9"/>
  <c r="E34" i="9" s="1"/>
  <c r="C11" i="11" l="1"/>
  <c r="D12" i="11" s="1"/>
  <c r="F10" i="11"/>
  <c r="D46" i="4"/>
  <c r="D47" i="4"/>
  <c r="D48" i="4"/>
  <c r="D49" i="4"/>
  <c r="D50" i="4"/>
  <c r="D51" i="4"/>
  <c r="D52" i="4"/>
  <c r="D53" i="4"/>
  <c r="F54" i="4"/>
  <c r="G54" i="4"/>
  <c r="H54" i="4"/>
  <c r="I54" i="4"/>
  <c r="J54" i="4"/>
  <c r="K54" i="4"/>
  <c r="L54" i="4"/>
  <c r="E54" i="4"/>
  <c r="E14" i="4"/>
  <c r="L53" i="4"/>
  <c r="K53" i="4"/>
  <c r="J53" i="4"/>
  <c r="I53" i="4"/>
  <c r="H53" i="4"/>
  <c r="G53" i="4"/>
  <c r="F53" i="4"/>
  <c r="E53" i="4"/>
  <c r="L52" i="4"/>
  <c r="K52" i="4"/>
  <c r="J52" i="4"/>
  <c r="I52" i="4"/>
  <c r="H52" i="4"/>
  <c r="G52" i="4"/>
  <c r="F52" i="4"/>
  <c r="E52" i="4"/>
  <c r="L51" i="4"/>
  <c r="K51" i="4"/>
  <c r="J51" i="4"/>
  <c r="I51" i="4"/>
  <c r="H51" i="4"/>
  <c r="G51" i="4"/>
  <c r="F51" i="4"/>
  <c r="E51" i="4"/>
  <c r="L50" i="4"/>
  <c r="K50" i="4"/>
  <c r="J50" i="4"/>
  <c r="I50" i="4"/>
  <c r="H50" i="4"/>
  <c r="G50" i="4"/>
  <c r="F50" i="4"/>
  <c r="E50" i="4"/>
  <c r="L49" i="4"/>
  <c r="K49" i="4"/>
  <c r="J49" i="4"/>
  <c r="I49" i="4"/>
  <c r="H49" i="4"/>
  <c r="G49" i="4"/>
  <c r="F49" i="4"/>
  <c r="E49" i="4"/>
  <c r="L48" i="4"/>
  <c r="K48" i="4"/>
  <c r="J48" i="4"/>
  <c r="I48" i="4"/>
  <c r="H48" i="4"/>
  <c r="G48" i="4"/>
  <c r="F48" i="4"/>
  <c r="E48" i="4"/>
  <c r="L47" i="4"/>
  <c r="K47" i="4"/>
  <c r="J47" i="4"/>
  <c r="I47" i="4"/>
  <c r="H47" i="4"/>
  <c r="G47" i="4"/>
  <c r="F47" i="4"/>
  <c r="E47" i="4"/>
  <c r="L46" i="4"/>
  <c r="K46" i="4"/>
  <c r="J46" i="4"/>
  <c r="I46" i="4"/>
  <c r="H46" i="4"/>
  <c r="G46" i="4"/>
  <c r="F46" i="4"/>
  <c r="E46" i="4"/>
  <c r="F11" i="11" l="1"/>
  <c r="C12" i="11"/>
  <c r="D13" i="11" s="1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6" i="7"/>
  <c r="C13" i="11" l="1"/>
  <c r="D14" i="11" s="1"/>
  <c r="F12" i="11"/>
  <c r="C6" i="7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F13" i="11" l="1"/>
  <c r="C14" i="11"/>
  <c r="D15" i="11" s="1"/>
  <c r="F14" i="4"/>
  <c r="G14" i="4"/>
  <c r="H14" i="4"/>
  <c r="I14" i="4"/>
  <c r="J14" i="4"/>
  <c r="K14" i="4"/>
  <c r="L14" i="4"/>
  <c r="D13" i="4"/>
  <c r="D12" i="4"/>
  <c r="D11" i="4"/>
  <c r="D10" i="4"/>
  <c r="D9" i="4"/>
  <c r="D8" i="4"/>
  <c r="D7" i="4"/>
  <c r="D6" i="4"/>
  <c r="C6" i="4"/>
  <c r="E6" i="4"/>
  <c r="F6" i="4"/>
  <c r="G6" i="4"/>
  <c r="H6" i="4"/>
  <c r="I6" i="4"/>
  <c r="J6" i="4"/>
  <c r="K6" i="4"/>
  <c r="C13" i="4"/>
  <c r="C12" i="4"/>
  <c r="C11" i="4"/>
  <c r="C10" i="4"/>
  <c r="C9" i="4"/>
  <c r="C8" i="4"/>
  <c r="C7" i="4"/>
  <c r="L6" i="4"/>
  <c r="F7" i="4"/>
  <c r="G7" i="4"/>
  <c r="H7" i="4"/>
  <c r="I7" i="4"/>
  <c r="J7" i="4"/>
  <c r="K7" i="4"/>
  <c r="L7" i="4"/>
  <c r="F8" i="4"/>
  <c r="G8" i="4"/>
  <c r="H8" i="4"/>
  <c r="I8" i="4"/>
  <c r="J8" i="4"/>
  <c r="K8" i="4"/>
  <c r="L8" i="4"/>
  <c r="F9" i="4"/>
  <c r="G9" i="4"/>
  <c r="H9" i="4"/>
  <c r="I9" i="4"/>
  <c r="J9" i="4"/>
  <c r="K9" i="4"/>
  <c r="L9" i="4"/>
  <c r="F10" i="4"/>
  <c r="G10" i="4"/>
  <c r="H10" i="4"/>
  <c r="I10" i="4"/>
  <c r="J10" i="4"/>
  <c r="K10" i="4"/>
  <c r="L10" i="4"/>
  <c r="F11" i="4"/>
  <c r="G11" i="4"/>
  <c r="H11" i="4"/>
  <c r="I11" i="4"/>
  <c r="J11" i="4"/>
  <c r="K11" i="4"/>
  <c r="L11" i="4"/>
  <c r="F12" i="4"/>
  <c r="G12" i="4"/>
  <c r="H12" i="4"/>
  <c r="I12" i="4"/>
  <c r="J12" i="4"/>
  <c r="K12" i="4"/>
  <c r="L12" i="4"/>
  <c r="F13" i="4"/>
  <c r="G13" i="4"/>
  <c r="H13" i="4"/>
  <c r="I13" i="4"/>
  <c r="J13" i="4"/>
  <c r="K13" i="4"/>
  <c r="L13" i="4"/>
  <c r="E7" i="4"/>
  <c r="E8" i="4"/>
  <c r="E9" i="4"/>
  <c r="E10" i="4"/>
  <c r="E11" i="4"/>
  <c r="E12" i="4"/>
  <c r="E13" i="4"/>
  <c r="C15" i="11" l="1"/>
  <c r="D16" i="11" s="1"/>
  <c r="F14" i="11"/>
  <c r="F15" i="11" l="1"/>
  <c r="C16" i="11"/>
  <c r="D17" i="11" s="1"/>
  <c r="F16" i="11" l="1"/>
  <c r="C17" i="11"/>
  <c r="D18" i="11" s="1"/>
  <c r="C18" i="11" l="1"/>
  <c r="D19" i="11" s="1"/>
  <c r="F17" i="11"/>
  <c r="C19" i="11" l="1"/>
  <c r="D20" i="11" s="1"/>
  <c r="F18" i="11"/>
  <c r="F19" i="11" l="1"/>
  <c r="C20" i="11"/>
  <c r="D21" i="11" s="1"/>
  <c r="C21" i="11" l="1"/>
  <c r="D22" i="11" s="1"/>
  <c r="F20" i="11"/>
  <c r="C22" i="11" l="1"/>
  <c r="D23" i="11" s="1"/>
  <c r="F21" i="11"/>
  <c r="C23" i="11" l="1"/>
  <c r="D24" i="11" s="1"/>
  <c r="F22" i="11"/>
  <c r="F23" i="11" l="1"/>
  <c r="C24" i="11"/>
  <c r="D25" i="11" s="1"/>
  <c r="C25" i="11" l="1"/>
  <c r="D26" i="11" s="1"/>
  <c r="F24" i="11"/>
  <c r="C26" i="11" l="1"/>
  <c r="D27" i="11" s="1"/>
  <c r="F25" i="11"/>
  <c r="C27" i="11" l="1"/>
  <c r="D28" i="11" s="1"/>
  <c r="F26" i="11"/>
  <c r="F27" i="11" l="1"/>
  <c r="C28" i="11"/>
  <c r="D29" i="11" s="1"/>
  <c r="C29" i="11" l="1"/>
  <c r="D30" i="11" s="1"/>
  <c r="F28" i="11"/>
  <c r="C30" i="11" l="1"/>
  <c r="D31" i="11" s="1"/>
  <c r="F29" i="11"/>
  <c r="C31" i="11" l="1"/>
  <c r="D32" i="11" s="1"/>
  <c r="F30" i="11"/>
  <c r="F31" i="11" l="1"/>
  <c r="C32" i="11"/>
  <c r="D33" i="11" s="1"/>
  <c r="F32" i="11" l="1"/>
  <c r="C33" i="11"/>
  <c r="D34" i="11" s="1"/>
  <c r="C34" i="11" l="1"/>
  <c r="D35" i="11" s="1"/>
  <c r="F33" i="11"/>
  <c r="C35" i="11" l="1"/>
  <c r="D36" i="11" s="1"/>
  <c r="F34" i="11"/>
  <c r="F35" i="11" l="1"/>
  <c r="C36" i="11"/>
  <c r="D37" i="11" s="1"/>
  <c r="C37" i="11" l="1"/>
  <c r="D38" i="11" s="1"/>
  <c r="F36" i="11"/>
  <c r="C38" i="11" l="1"/>
  <c r="D39" i="11" s="1"/>
  <c r="F37" i="11"/>
  <c r="C39" i="11" l="1"/>
  <c r="D40" i="11" s="1"/>
  <c r="F38" i="11"/>
  <c r="F39" i="11" l="1"/>
  <c r="C40" i="11"/>
  <c r="D41" i="11" s="1"/>
  <c r="C41" i="11" l="1"/>
  <c r="D42" i="11" s="1"/>
  <c r="F40" i="11"/>
  <c r="C42" i="11" l="1"/>
  <c r="D43" i="11" s="1"/>
  <c r="F41" i="11"/>
  <c r="C43" i="11" l="1"/>
  <c r="D44" i="11" s="1"/>
  <c r="F42" i="11"/>
  <c r="F43" i="11" l="1"/>
  <c r="C44" i="11"/>
  <c r="D45" i="11" s="1"/>
  <c r="C45" i="11" l="1"/>
  <c r="D46" i="11" s="1"/>
  <c r="F44" i="11"/>
  <c r="C46" i="11" l="1"/>
  <c r="D47" i="11" s="1"/>
  <c r="F45" i="11"/>
  <c r="C47" i="11" l="1"/>
  <c r="D48" i="11" s="1"/>
  <c r="F46" i="11"/>
  <c r="F47" i="11" l="1"/>
  <c r="C48" i="11"/>
  <c r="D49" i="11" s="1"/>
  <c r="C49" i="11" l="1"/>
  <c r="D50" i="11" s="1"/>
  <c r="F48" i="11"/>
  <c r="C50" i="11" l="1"/>
  <c r="D51" i="11" s="1"/>
  <c r="F49" i="11"/>
  <c r="C51" i="11" l="1"/>
  <c r="D52" i="11" s="1"/>
  <c r="F50" i="11"/>
  <c r="C52" i="11" l="1"/>
  <c r="D53" i="11" s="1"/>
  <c r="F51" i="11"/>
  <c r="C53" i="11" l="1"/>
  <c r="D54" i="11" s="1"/>
  <c r="F52" i="11"/>
  <c r="C54" i="11" l="1"/>
  <c r="D55" i="11" s="1"/>
  <c r="F53" i="11"/>
  <c r="C55" i="11" l="1"/>
  <c r="F54" i="11"/>
  <c r="F55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Jerena, Fabio</author>
  </authors>
  <commentList>
    <comment ref="D21" authorId="0" shapeId="0" xr:uid="{3AA7028F-1D18-42B2-AAF9-8DE2D3349028}">
      <text>
        <r>
          <rPr>
            <b/>
            <sz val="9"/>
            <color indexed="81"/>
            <rFont val="Tahoma"/>
            <family val="2"/>
          </rPr>
          <t>Jerena, Fabio:</t>
        </r>
        <r>
          <rPr>
            <sz val="9"/>
            <color indexed="81"/>
            <rFont val="Tahoma"/>
            <family val="2"/>
          </rPr>
          <t xml:space="preserve">
KPa = atm*101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Jerena, Fabio</author>
  </authors>
  <commentList>
    <comment ref="A38" authorId="0" shapeId="0" xr:uid="{57DFA9C4-1685-4A99-8732-26F4670435E8}">
      <text>
        <r>
          <rPr>
            <b/>
            <sz val="9"/>
            <color indexed="81"/>
            <rFont val="Tahoma"/>
            <charset val="1"/>
          </rPr>
          <t>Jerena, Fabio:</t>
        </r>
        <r>
          <rPr>
            <sz val="9"/>
            <color indexed="81"/>
            <rFont val="Tahoma"/>
            <charset val="1"/>
          </rPr>
          <t xml:space="preserve">
Need work with values equal or shorter then 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Jerena, Fabio</author>
  </authors>
  <commentList>
    <comment ref="A48" authorId="0" shapeId="0" xr:uid="{52321F34-5A03-4C98-BA24-31916649B772}">
      <text>
        <r>
          <rPr>
            <b/>
            <sz val="9"/>
            <color indexed="81"/>
            <rFont val="Tahoma"/>
            <charset val="1"/>
          </rPr>
          <t>Jerena, Fabio:</t>
        </r>
        <r>
          <rPr>
            <sz val="9"/>
            <color indexed="81"/>
            <rFont val="Tahoma"/>
            <charset val="1"/>
          </rPr>
          <t xml:space="preserve">
Need work with values equal or shorter then 1</t>
        </r>
      </text>
    </comment>
  </commentList>
</comments>
</file>

<file path=xl/sharedStrings.xml><?xml version="1.0" encoding="utf-8"?>
<sst xmlns="http://schemas.openxmlformats.org/spreadsheetml/2006/main" count="419" uniqueCount="300">
  <si>
    <t>Task</t>
  </si>
  <si>
    <t>Reporter</t>
  </si>
  <si>
    <t>Date</t>
  </si>
  <si>
    <t>Priority</t>
  </si>
  <si>
    <t>Fabio</t>
  </si>
  <si>
    <t>HIGH</t>
  </si>
  <si>
    <t>Number</t>
  </si>
  <si>
    <t>PIN</t>
  </si>
  <si>
    <t>FUNC</t>
  </si>
  <si>
    <t xml:space="preserve">Define which microcontroller to use in this project  </t>
  </si>
  <si>
    <t>Hardware project (how many input and outputs the system will have, describe basic blocks as: Power Supply, Power Drivers, Filters, Communication and others)</t>
  </si>
  <si>
    <t>Reponsible</t>
  </si>
  <si>
    <t>Status</t>
  </si>
  <si>
    <t>ONGOING</t>
  </si>
  <si>
    <t>EASY</t>
  </si>
  <si>
    <t>MEDIUM</t>
  </si>
  <si>
    <t>LOW</t>
  </si>
  <si>
    <t>Effort</t>
  </si>
  <si>
    <t>DONE</t>
  </si>
  <si>
    <t>BLOCKED</t>
  </si>
  <si>
    <t>TPS (%)</t>
  </si>
  <si>
    <t>SPEED (rpm)</t>
  </si>
  <si>
    <t>VE TABLE/AIR (%)</t>
  </si>
  <si>
    <t>VE TABLE (%)</t>
  </si>
  <si>
    <t>MAP (KPa)</t>
  </si>
  <si>
    <r>
      <rPr>
        <b/>
        <sz val="11"/>
        <color theme="1"/>
        <rFont val="Calibri"/>
        <family val="2"/>
        <scheme val="minor"/>
      </rPr>
      <t>INJECTION_PULSE = FUEL_MASS*QFUEL</t>
    </r>
  </si>
  <si>
    <t>rpm cutoff</t>
  </si>
  <si>
    <t>lambda crank cold</t>
  </si>
  <si>
    <t>lambda crank hot</t>
  </si>
  <si>
    <t>lambda Idle cold</t>
  </si>
  <si>
    <t>lambda Idle hot</t>
  </si>
  <si>
    <t>cutoff strategy</t>
  </si>
  <si>
    <t>lambda WOT enrichment</t>
  </si>
  <si>
    <t>Pedal derivation</t>
  </si>
  <si>
    <t>FUEL_MASS =AIR_MASS*VE(TPS,SPEED)*AFR(BENZINE)*TEMP_COMP(AIR_TEMP)*LAMBDA_TARGET*PEDAL_COMP(DERIVATIVE(TPS))</t>
  </si>
  <si>
    <t>How EFI controllers work</t>
  </si>
  <si>
    <t>Subject</t>
  </si>
  <si>
    <t>Link</t>
  </si>
  <si>
    <t>http://www.megamanual.com/v22manual/mfuel.htm#reqfuel</t>
  </si>
  <si>
    <t>https://www.st.com/content/st_com/en/products/development-tools/hardware-development-tools/development-tool-hardware-from-partners/spc5-l9177a-k02-reference-design.html</t>
  </si>
  <si>
    <t>https://www.st.com/content/st_com/en/products/evaluation-tools/product-evaluation-tools/mcu-mpu-eval-tools/spc5-automotive-mcu-eval-tools/spc5-l9177a-k02.html</t>
  </si>
  <si>
    <t>ECU STM Demo 1</t>
  </si>
  <si>
    <t>ECU STM Demo 2</t>
  </si>
  <si>
    <t xml:space="preserve">Signal </t>
  </si>
  <si>
    <t>Output</t>
  </si>
  <si>
    <t>k</t>
  </si>
  <si>
    <t>n</t>
  </si>
  <si>
    <t>Derivative Raw</t>
  </si>
  <si>
    <t>Derivative Filtered</t>
  </si>
  <si>
    <t>Threshould Accel</t>
  </si>
  <si>
    <t>Threshould Decel</t>
  </si>
  <si>
    <t>M(g/mol)</t>
  </si>
  <si>
    <t>R((L*atm)/(mol*K))</t>
  </si>
  <si>
    <t>MAP(KPa)</t>
  </si>
  <si>
    <t>AIRDEN(MAP,TEMP) (Kg/m3)</t>
  </si>
  <si>
    <t>AIR TEMP (rpm)</t>
  </si>
  <si>
    <t>ENG TEMP (rpm)</t>
  </si>
  <si>
    <t>WARMUP_COMP</t>
  </si>
  <si>
    <t>AIRTEMP_COMP</t>
  </si>
  <si>
    <t>TARGET LAMBDA (%)</t>
  </si>
  <si>
    <t>Injection TOn (ms)</t>
  </si>
  <si>
    <t>Injection TOff (ms)</t>
  </si>
  <si>
    <t>https://megasquirtracing.com.br/author/admin/</t>
  </si>
  <si>
    <t>Tunning VE Table</t>
  </si>
  <si>
    <t>https://www.embarcados.com.br/sonda-lambda-de-banda-estreita/</t>
  </si>
  <si>
    <t>Lambda Control</t>
  </si>
  <si>
    <t>PRIMER INJECTION</t>
  </si>
  <si>
    <t>RPM MIN</t>
  </si>
  <si>
    <t>RPM MAX</t>
  </si>
  <si>
    <t>CRANK ENRICHMENT</t>
  </si>
  <si>
    <t>f(Hz)</t>
  </si>
  <si>
    <t>T(s)</t>
  </si>
  <si>
    <t>d(g/L)</t>
  </si>
  <si>
    <t>Eng Speed(rpm)</t>
  </si>
  <si>
    <t>Engine Speed(rpm)</t>
  </si>
  <si>
    <t>Engine Speed Frequency(Hz)</t>
  </si>
  <si>
    <t>Engine Speed Period(s)</t>
  </si>
  <si>
    <t>https://www.slideserve.com/afia/megameet-2009-atlanta-powerpoint-ppt-presentation</t>
  </si>
  <si>
    <t>X-Tau</t>
  </si>
  <si>
    <t>Lambda</t>
  </si>
  <si>
    <t>VE(%)</t>
  </si>
  <si>
    <t>MAP(atm)</t>
  </si>
  <si>
    <t>Tair(Celcius)</t>
  </si>
  <si>
    <t>Engine Displacement(L)</t>
  </si>
  <si>
    <t>Injector flow(g/min)</t>
  </si>
  <si>
    <t>AFR(Benzine Brazil)</t>
  </si>
  <si>
    <t>Injector ton(s)</t>
  </si>
  <si>
    <t>Injector toff(s)</t>
  </si>
  <si>
    <t>Tair(K)</t>
  </si>
  <si>
    <t>Engine Displacement(cm3)</t>
  </si>
  <si>
    <t>Injector flow(g/us)</t>
  </si>
  <si>
    <t>Megasquirt</t>
  </si>
  <si>
    <t>Adaptronic</t>
  </si>
  <si>
    <t>Air mass(g)</t>
  </si>
  <si>
    <t>Fuel mass(g)</t>
  </si>
  <si>
    <t>PW(us)</t>
  </si>
  <si>
    <t>R( J/mol K)</t>
  </si>
  <si>
    <t>Wair(Kg/mol)</t>
  </si>
  <si>
    <t>R/Wair(JK/Kg)</t>
  </si>
  <si>
    <t>R/Wair(JK/g)</t>
  </si>
  <si>
    <t>Mfuel=(P*Voleff*Displ)/((R/Wair)*Tair*Lambda*AFRstoich)</t>
  </si>
  <si>
    <t>Air mass flow(g/s)</t>
  </si>
  <si>
    <t>Fuel mass flow(g/s)</t>
  </si>
  <si>
    <t>Fuel mass flow(g/min)</t>
  </si>
  <si>
    <t>PW(%)</t>
  </si>
  <si>
    <t>d=(P*M)/(R*Tair)</t>
  </si>
  <si>
    <t>P*V=(m/M)*R*Tair</t>
  </si>
  <si>
    <t>m/V=(P*M)/(R*Tair)</t>
  </si>
  <si>
    <r>
      <t>AIRDEN(MAP, temp) = 1.2929 * </t>
    </r>
    <r>
      <rPr>
        <b/>
        <u/>
        <vertAlign val="superscript"/>
        <sz val="7"/>
        <color rgb="FF000000"/>
        <rFont val="Verdana"/>
        <family val="2"/>
      </rPr>
      <t>273.13</t>
    </r>
    <r>
      <rPr>
        <b/>
        <sz val="7"/>
        <color rgb="FF000000"/>
        <rFont val="Verdana"/>
        <family val="2"/>
      </rPr>
      <t>/</t>
    </r>
    <r>
      <rPr>
        <b/>
        <vertAlign val="subscript"/>
        <sz val="7"/>
        <color rgb="FF000000"/>
        <rFont val="Verdana"/>
        <family val="2"/>
      </rPr>
      <t>(Tair+273.13)</t>
    </r>
    <r>
      <rPr>
        <b/>
        <sz val="7"/>
        <color rgb="FF000000"/>
        <rFont val="Verdana"/>
        <family val="2"/>
      </rPr>
      <t> * </t>
    </r>
    <r>
      <rPr>
        <b/>
        <u/>
        <vertAlign val="superscript"/>
        <sz val="7"/>
        <color rgb="FF000000"/>
        <rFont val="Verdana"/>
        <family val="2"/>
      </rPr>
      <t>MAP</t>
    </r>
    <r>
      <rPr>
        <b/>
        <sz val="7"/>
        <color rgb="FF000000"/>
        <rFont val="Verdana"/>
        <family val="2"/>
      </rPr>
      <t>/</t>
    </r>
    <r>
      <rPr>
        <b/>
        <vertAlign val="subscript"/>
        <sz val="7"/>
        <color rgb="FF000000"/>
        <rFont val="Verdana"/>
        <family val="2"/>
      </rPr>
      <t>101.325</t>
    </r>
  </si>
  <si>
    <t>John Patterson</t>
  </si>
  <si>
    <t>Max Inj valve Duty Cycle(85%)</t>
  </si>
  <si>
    <t>rpm</t>
  </si>
  <si>
    <t>Tair(C)</t>
  </si>
  <si>
    <t>T</t>
  </si>
  <si>
    <t>mfuel=(P*VE*Displ)/((R/Mair)*Tair*Lambda*AFRstoich)</t>
  </si>
  <si>
    <t>R/Mair</t>
  </si>
  <si>
    <t>mfuel(g)</t>
  </si>
  <si>
    <t>Displ(L)</t>
  </si>
  <si>
    <t>AFRstoich()</t>
  </si>
  <si>
    <t>P(KPa)</t>
  </si>
  <si>
    <t>mair(g)</t>
  </si>
  <si>
    <t>Total compensation(%)</t>
  </si>
  <si>
    <t>Result</t>
  </si>
  <si>
    <t>mfuel(g/s)</t>
  </si>
  <si>
    <t xml:space="preserve">mfuel(g/min) </t>
  </si>
  <si>
    <t>Sensors</t>
  </si>
  <si>
    <t>Tables</t>
  </si>
  <si>
    <t>TPS</t>
  </si>
  <si>
    <t>Transient</t>
  </si>
  <si>
    <t>VE(rpm,MAP)(%)</t>
  </si>
  <si>
    <t>Lambda(rpm,MAP)</t>
  </si>
  <si>
    <t>Warm-up(eng_temp,cycles)(%)</t>
  </si>
  <si>
    <t>Accel(dTPS/dt)(%)</t>
  </si>
  <si>
    <t>Deadtime</t>
  </si>
  <si>
    <t>Comp(VBAT)</t>
  </si>
  <si>
    <t>y=ax+b</t>
  </si>
  <si>
    <t>a-&gt;multiplicador</t>
  </si>
  <si>
    <t>b-&gt;deadtime</t>
  </si>
  <si>
    <t>BICO CBX250</t>
  </si>
  <si>
    <t>2Kg 150ml min</t>
  </si>
  <si>
    <t>3Kg 200ml min</t>
  </si>
  <si>
    <t>BICO TITÃ</t>
  </si>
  <si>
    <t>2Kg 130ml min</t>
  </si>
  <si>
    <t>3Kg 150ml min</t>
  </si>
  <si>
    <t>BICO XRE 190</t>
  </si>
  <si>
    <t>2Kg 170 ml min</t>
  </si>
  <si>
    <t>3Kg 210ml min</t>
  </si>
  <si>
    <t>Bensine(g/ml)</t>
  </si>
  <si>
    <t>mfuel(ml/min)</t>
  </si>
  <si>
    <t>deadtime(%)</t>
  </si>
  <si>
    <t>deadtime(s)</t>
  </si>
  <si>
    <t>duty(s)</t>
  </si>
  <si>
    <t>PWM_Freq(Hz)</t>
  </si>
  <si>
    <t>PWM_Res</t>
  </si>
  <si>
    <t>deatime(PWM)</t>
  </si>
  <si>
    <t>Injector Active Time(%)</t>
  </si>
  <si>
    <t>Effective time(%)</t>
  </si>
  <si>
    <t>Ideal Injector volume flow required(ml/min)</t>
  </si>
  <si>
    <t>Injector volume flow(ml/min)</t>
  </si>
  <si>
    <t>PW(unid)</t>
  </si>
  <si>
    <t>Ideal Injector volume flow required(g/min)</t>
  </si>
  <si>
    <t>AFRstoich</t>
  </si>
  <si>
    <t>Voleff</t>
  </si>
  <si>
    <t>Engine_Speed</t>
  </si>
  <si>
    <t>LambdaRequested</t>
  </si>
  <si>
    <t>cuttOffTerm</t>
  </si>
  <si>
    <t>fastEnrichmentTerm</t>
  </si>
  <si>
    <t>warmUpTerm</t>
  </si>
  <si>
    <t>overspeedTerm</t>
  </si>
  <si>
    <t>lambdaCorrectTerm</t>
  </si>
  <si>
    <t>TotalTerm</t>
  </si>
  <si>
    <t>PMap</t>
  </si>
  <si>
    <t>Displacement</t>
  </si>
  <si>
    <t>R_div_Mair</t>
  </si>
  <si>
    <t>Tair</t>
  </si>
  <si>
    <t>Air Calculation</t>
  </si>
  <si>
    <t>Fuel Calculation</t>
  </si>
  <si>
    <t>Airmass num</t>
  </si>
  <si>
    <t>Airmass den</t>
  </si>
  <si>
    <t xml:space="preserve">Airmass </t>
  </si>
  <si>
    <t>Compensation</t>
  </si>
  <si>
    <t>Fuel Compensated</t>
  </si>
  <si>
    <t>Airmass_g/20ms</t>
  </si>
  <si>
    <t>Fuelmass_g/20ms</t>
  </si>
  <si>
    <t>Squirts</t>
  </si>
  <si>
    <t>Injector volume flow(ml/s)</t>
  </si>
  <si>
    <t>Idle/Cruise</t>
  </si>
  <si>
    <t>Injector volume flow(g/s)</t>
  </si>
  <si>
    <t>Injector volume flow(g/20ms)</t>
  </si>
  <si>
    <t>Crank</t>
  </si>
  <si>
    <t>VoleffCrank</t>
  </si>
  <si>
    <t>funccrankTerm</t>
  </si>
  <si>
    <t>LambdaRequestedCrank</t>
  </si>
  <si>
    <t>Battery</t>
  </si>
  <si>
    <t>PWR</t>
  </si>
  <si>
    <t>R1</t>
  </si>
  <si>
    <t>R2</t>
  </si>
  <si>
    <t>Conclusion: Diode start to conduct before 3,3V</t>
  </si>
  <si>
    <t>Real</t>
  </si>
  <si>
    <t>Voltage Ref Real</t>
  </si>
  <si>
    <t>Voltage Ref Calc</t>
  </si>
  <si>
    <t>with diode</t>
  </si>
  <si>
    <t>without diode</t>
  </si>
  <si>
    <t>Voltage on R2</t>
  </si>
  <si>
    <t>Voltage D3</t>
  </si>
  <si>
    <t>AD Converted</t>
  </si>
  <si>
    <t>Theoric Voltage R2</t>
  </si>
  <si>
    <t>Const to use</t>
  </si>
  <si>
    <t>Calculation</t>
  </si>
  <si>
    <t>Delta theoric real</t>
  </si>
  <si>
    <t>Sites a explorar</t>
  </si>
  <si>
    <t>https://www.facebook.com/groups/1491292651089871/</t>
  </si>
  <si>
    <t>https://rd135.forumeiros.com/</t>
  </si>
  <si>
    <t>LED_GREEN</t>
  </si>
  <si>
    <t>BLUEPILL</t>
  </si>
  <si>
    <t>PB12</t>
  </si>
  <si>
    <t>LED_RED</t>
  </si>
  <si>
    <t>CDI_BOARD</t>
  </si>
  <si>
    <t>PB13</t>
  </si>
  <si>
    <t>PB14</t>
  </si>
  <si>
    <t>LED_YELLOW/PUMP</t>
  </si>
  <si>
    <t>LED_BLUE/INJECTOR</t>
  </si>
  <si>
    <t>PB6</t>
  </si>
  <si>
    <t>TIM4_CH1</t>
  </si>
  <si>
    <t>Injector_CMD()</t>
  </si>
  <si>
    <t>PB7</t>
  </si>
  <si>
    <t>TIM4_CH2</t>
  </si>
  <si>
    <t>PC13-TAMPER-RTC</t>
  </si>
  <si>
    <t>PC14-OSC32_OUT</t>
  </si>
  <si>
    <t>PC15-OSC32_IN</t>
  </si>
  <si>
    <t>PD0-OSC_IN</t>
  </si>
  <si>
    <t>RCC_OSC_IN</t>
  </si>
  <si>
    <t>RCC_OSC_OUT</t>
  </si>
  <si>
    <t>PD1-OSC_OUT</t>
  </si>
  <si>
    <t>NRST</t>
  </si>
  <si>
    <t>VSSA</t>
  </si>
  <si>
    <t>VDDA</t>
  </si>
  <si>
    <t>VBAT</t>
  </si>
  <si>
    <t>ADC1_IN0</t>
  </si>
  <si>
    <t>ADC1_IN1</t>
  </si>
  <si>
    <t>ADC1_IN2</t>
  </si>
  <si>
    <t>ADC1_IN3</t>
  </si>
  <si>
    <t>ADC1_IN4</t>
  </si>
  <si>
    <t>ADC1_IN5</t>
  </si>
  <si>
    <t>PA0-WKUP</t>
  </si>
  <si>
    <t>PA1</t>
  </si>
  <si>
    <t>PA2</t>
  </si>
  <si>
    <t>PA3</t>
  </si>
  <si>
    <t>PA4</t>
  </si>
  <si>
    <t>PA5</t>
  </si>
  <si>
    <t>PA6</t>
  </si>
  <si>
    <t>PA7</t>
  </si>
  <si>
    <t>PB0</t>
  </si>
  <si>
    <t>PB1</t>
  </si>
  <si>
    <t>PB2</t>
  </si>
  <si>
    <t>PB10</t>
  </si>
  <si>
    <t>USART3_TX</t>
  </si>
  <si>
    <t>PB11</t>
  </si>
  <si>
    <t>USART3_RX</t>
  </si>
  <si>
    <t>VSS</t>
  </si>
  <si>
    <t>VDD</t>
  </si>
  <si>
    <t>PB15</t>
  </si>
  <si>
    <t>PA8</t>
  </si>
  <si>
    <t>TIM1_CH1</t>
  </si>
  <si>
    <t>PA9</t>
  </si>
  <si>
    <t>USART1_TX</t>
  </si>
  <si>
    <t>USART1_RX</t>
  </si>
  <si>
    <t>PA10</t>
  </si>
  <si>
    <t>PA11</t>
  </si>
  <si>
    <t>PA12</t>
  </si>
  <si>
    <t>CAN_RX</t>
  </si>
  <si>
    <t>CAN_TX</t>
  </si>
  <si>
    <t>PA13</t>
  </si>
  <si>
    <t>SYS_JTMS-SWDIO</t>
  </si>
  <si>
    <t>PA14</t>
  </si>
  <si>
    <t>SYS_JTCK-SWCLK</t>
  </si>
  <si>
    <t>PA15</t>
  </si>
  <si>
    <t>TIM2_CH1</t>
  </si>
  <si>
    <t>PB3</t>
  </si>
  <si>
    <t>PB4</t>
  </si>
  <si>
    <t>PB5</t>
  </si>
  <si>
    <t>BOOT0</t>
  </si>
  <si>
    <t>PB8</t>
  </si>
  <si>
    <t>PB9</t>
  </si>
  <si>
    <t>GPIO_EXTI9</t>
  </si>
  <si>
    <t>GPIO_Output</t>
  </si>
  <si>
    <t>GPIO_Input</t>
  </si>
  <si>
    <t>BOARD</t>
  </si>
  <si>
    <t>DESC</t>
  </si>
  <si>
    <t>TAIR</t>
  </si>
  <si>
    <t>PMAP</t>
  </si>
  <si>
    <t>ENGINETEMP</t>
  </si>
  <si>
    <t>VLAMBDA</t>
  </si>
  <si>
    <t>Amarelo</t>
  </si>
  <si>
    <t>1 nó</t>
  </si>
  <si>
    <t>Verde</t>
  </si>
  <si>
    <t>2 nó</t>
  </si>
  <si>
    <t>Branco</t>
  </si>
  <si>
    <t>3 nó</t>
  </si>
  <si>
    <t>VRS1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</si>
</sst>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000000000"/>
    <numFmt numFmtId="166" formatCode="0.000"/>
    <numFmt numFmtId="167" formatCode="0.00000000000"/>
    <numFmt numFmtId="168" formatCode="0.000000000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7"/>
      <color rgb="FF000000"/>
      <name val="Verdana"/>
      <family val="2"/>
    </font>
    <font>
      <b/>
      <u/>
      <vertAlign val="superscript"/>
      <sz val="7"/>
      <color rgb="FF000000"/>
      <name val="Verdana"/>
      <family val="2"/>
    </font>
    <font>
      <b/>
      <vertAlign val="subscript"/>
      <sz val="7"/>
      <color rgb="FF000000"/>
      <name val="Verdana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0" xfId="0" quotePrefix="1" applyFont="1"/>
    <xf numFmtId="0" fontId="0" fillId="0" borderId="0" xfId="0" quotePrefix="1"/>
    <xf numFmtId="0" fontId="0" fillId="6" borderId="1" xfId="0" applyFill="1" applyBorder="1" applyAlignment="1">
      <alignment horizontal="center"/>
    </xf>
    <xf numFmtId="0" fontId="4" fillId="0" borderId="1" xfId="1" applyBorder="1"/>
    <xf numFmtId="0" fontId="0" fillId="0" borderId="1" xfId="0" applyFill="1" applyBorder="1" applyAlignment="1">
      <alignment horizontal="center"/>
    </xf>
    <xf numFmtId="0" fontId="0" fillId="6" borderId="1" xfId="0" applyFill="1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7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4" fillId="0" borderId="1" xfId="1" applyBorder="1" applyAlignment="1">
      <alignment horizontal="left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12" borderId="1" xfId="0" applyFill="1" applyBorder="1"/>
    <xf numFmtId="0" fontId="0" fillId="12" borderId="1" xfId="0" applyFill="1" applyBorder="1" applyAlignment="1">
      <alignment horizontal="center"/>
    </xf>
    <xf numFmtId="165" fontId="0" fillId="12" borderId="1" xfId="0" applyNumberForma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0" borderId="0" xfId="0" applyFill="1" applyBorder="1"/>
    <xf numFmtId="2" fontId="0" fillId="0" borderId="0" xfId="0" applyNumberFormat="1" applyBorder="1" applyAlignment="1">
      <alignment horizontal="center"/>
    </xf>
    <xf numFmtId="0" fontId="7" fillId="0" borderId="0" xfId="0" applyFont="1"/>
    <xf numFmtId="0" fontId="0" fillId="0" borderId="0" xfId="0" applyBorder="1"/>
    <xf numFmtId="0" fontId="1" fillId="0" borderId="0" xfId="0" applyFont="1"/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6" fontId="0" fillId="0" borderId="0" xfId="0" applyNumberFormat="1"/>
    <xf numFmtId="166" fontId="0" fillId="0" borderId="1" xfId="0" applyNumberFormat="1" applyBorder="1"/>
    <xf numFmtId="166" fontId="0" fillId="6" borderId="1" xfId="0" applyNumberFormat="1" applyFill="1" applyBorder="1"/>
    <xf numFmtId="0" fontId="0" fillId="13" borderId="1" xfId="0" applyFill="1" applyBorder="1"/>
    <xf numFmtId="0" fontId="0" fillId="11" borderId="1" xfId="0" applyFill="1" applyBorder="1"/>
    <xf numFmtId="2" fontId="0" fillId="11" borderId="1" xfId="0" applyNumberFormat="1" applyFill="1" applyBorder="1"/>
    <xf numFmtId="164" fontId="0" fillId="0" borderId="1" xfId="0" applyNumberFormat="1" applyBorder="1"/>
    <xf numFmtId="168" fontId="0" fillId="0" borderId="0" xfId="0" applyNumberFormat="1"/>
    <xf numFmtId="1" fontId="0" fillId="12" borderId="1" xfId="0" applyNumberFormat="1" applyFill="1" applyBorder="1"/>
    <xf numFmtId="166" fontId="0" fillId="12" borderId="1" xfId="0" applyNumberFormat="1" applyFill="1" applyBorder="1"/>
    <xf numFmtId="164" fontId="0" fillId="12" borderId="1" xfId="0" applyNumberFormat="1" applyFill="1" applyBorder="1"/>
    <xf numFmtId="1" fontId="0" fillId="0" borderId="1" xfId="0" applyNumberFormat="1" applyBorder="1"/>
    <xf numFmtId="0" fontId="10" fillId="0" borderId="0" xfId="0" applyFont="1"/>
    <xf numFmtId="0" fontId="11" fillId="0" borderId="1" xfId="0" applyFont="1" applyBorder="1"/>
    <xf numFmtId="2" fontId="0" fillId="0" borderId="1" xfId="0" applyNumberFormat="1" applyBorder="1"/>
    <xf numFmtId="0" fontId="4" fillId="0" borderId="0" xfId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VE TABLE (%)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Calibration!$C$13</c:f>
              <c:strCache>
                <c:ptCount val="1"/>
                <c:pt idx="0">
                  <c:v>10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Calibration!$E$14:$L$14</c:f>
              <c:numCache>
                <c:formatCode>General</c:formatCode>
                <c:ptCount val="8"/>
                <c:pt idx="0">
                  <c:v>1000</c:v>
                </c:pt>
                <c:pt idx="1">
                  <c:v>2500</c:v>
                </c:pt>
                <c:pt idx="2">
                  <c:v>3500</c:v>
                </c:pt>
                <c:pt idx="3">
                  <c:v>4500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</c:numCache>
            </c:numRef>
          </c:cat>
          <c:val>
            <c:numRef>
              <c:f>Calibration!$E$13:$L$13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28</c:v>
                </c:pt>
                <c:pt idx="4">
                  <c:v>30</c:v>
                </c:pt>
                <c:pt idx="5">
                  <c:v>32</c:v>
                </c:pt>
                <c:pt idx="6">
                  <c:v>30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1-4200-A077-A0761B7E7E1D}"/>
            </c:ext>
          </c:extLst>
        </c:ser>
        <c:ser>
          <c:idx val="1"/>
          <c:order val="1"/>
          <c:tx>
            <c:strRef>
              <c:f>Calibration!$C$12</c:f>
              <c:strCache>
                <c:ptCount val="1"/>
                <c:pt idx="0">
                  <c:v>20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Calibration!$E$14:$L$14</c:f>
              <c:numCache>
                <c:formatCode>General</c:formatCode>
                <c:ptCount val="8"/>
                <c:pt idx="0">
                  <c:v>1000</c:v>
                </c:pt>
                <c:pt idx="1">
                  <c:v>2500</c:v>
                </c:pt>
                <c:pt idx="2">
                  <c:v>3500</c:v>
                </c:pt>
                <c:pt idx="3">
                  <c:v>4500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</c:numCache>
            </c:numRef>
          </c:cat>
          <c:val>
            <c:numRef>
              <c:f>Calibration!$E$12:$L$12</c:f>
              <c:numCache>
                <c:formatCode>General</c:formatCode>
                <c:ptCount val="8"/>
                <c:pt idx="0">
                  <c:v>12</c:v>
                </c:pt>
                <c:pt idx="1">
                  <c:v>23</c:v>
                </c:pt>
                <c:pt idx="2">
                  <c:v>30</c:v>
                </c:pt>
                <c:pt idx="3">
                  <c:v>33</c:v>
                </c:pt>
                <c:pt idx="4">
                  <c:v>35</c:v>
                </c:pt>
                <c:pt idx="5">
                  <c:v>40</c:v>
                </c:pt>
                <c:pt idx="6">
                  <c:v>43</c:v>
                </c:pt>
                <c:pt idx="7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81-4200-A077-A0761B7E7E1D}"/>
            </c:ext>
          </c:extLst>
        </c:ser>
        <c:ser>
          <c:idx val="2"/>
          <c:order val="2"/>
          <c:tx>
            <c:strRef>
              <c:f>Calibration!$C$11</c:f>
              <c:strCache>
                <c:ptCount val="1"/>
                <c:pt idx="0">
                  <c:v>35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Calibration!$E$14:$L$14</c:f>
              <c:numCache>
                <c:formatCode>General</c:formatCode>
                <c:ptCount val="8"/>
                <c:pt idx="0">
                  <c:v>1000</c:v>
                </c:pt>
                <c:pt idx="1">
                  <c:v>2500</c:v>
                </c:pt>
                <c:pt idx="2">
                  <c:v>3500</c:v>
                </c:pt>
                <c:pt idx="3">
                  <c:v>4500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</c:numCache>
            </c:numRef>
          </c:cat>
          <c:val>
            <c:numRef>
              <c:f>Calibration!$E$11:$L$11</c:f>
              <c:numCache>
                <c:formatCode>General</c:formatCode>
                <c:ptCount val="8"/>
                <c:pt idx="0">
                  <c:v>17</c:v>
                </c:pt>
                <c:pt idx="1">
                  <c:v>25</c:v>
                </c:pt>
                <c:pt idx="2">
                  <c:v>26</c:v>
                </c:pt>
                <c:pt idx="3">
                  <c:v>34</c:v>
                </c:pt>
                <c:pt idx="4">
                  <c:v>40</c:v>
                </c:pt>
                <c:pt idx="5">
                  <c:v>45</c:v>
                </c:pt>
                <c:pt idx="6">
                  <c:v>40</c:v>
                </c:pt>
                <c:pt idx="7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81-4200-A077-A0761B7E7E1D}"/>
            </c:ext>
          </c:extLst>
        </c:ser>
        <c:ser>
          <c:idx val="3"/>
          <c:order val="3"/>
          <c:tx>
            <c:strRef>
              <c:f>Calibration!$C$10</c:f>
              <c:strCache>
                <c:ptCount val="1"/>
                <c:pt idx="0">
                  <c:v>40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Calibration!$E$14:$L$14</c:f>
              <c:numCache>
                <c:formatCode>General</c:formatCode>
                <c:ptCount val="8"/>
                <c:pt idx="0">
                  <c:v>1000</c:v>
                </c:pt>
                <c:pt idx="1">
                  <c:v>2500</c:v>
                </c:pt>
                <c:pt idx="2">
                  <c:v>3500</c:v>
                </c:pt>
                <c:pt idx="3">
                  <c:v>4500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</c:numCache>
            </c:numRef>
          </c:cat>
          <c:val>
            <c:numRef>
              <c:f>Calibration!$E$10:$L$10</c:f>
              <c:numCache>
                <c:formatCode>General</c:formatCode>
                <c:ptCount val="8"/>
                <c:pt idx="0">
                  <c:v>23</c:v>
                </c:pt>
                <c:pt idx="1">
                  <c:v>35</c:v>
                </c:pt>
                <c:pt idx="2">
                  <c:v>36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48</c:v>
                </c:pt>
                <c:pt idx="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81-4200-A077-A0761B7E7E1D}"/>
            </c:ext>
          </c:extLst>
        </c:ser>
        <c:ser>
          <c:idx val="4"/>
          <c:order val="4"/>
          <c:tx>
            <c:strRef>
              <c:f>Calibration!$C$9</c:f>
              <c:strCache>
                <c:ptCount val="1"/>
                <c:pt idx="0">
                  <c:v>50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Calibration!$E$14:$L$14</c:f>
              <c:numCache>
                <c:formatCode>General</c:formatCode>
                <c:ptCount val="8"/>
                <c:pt idx="0">
                  <c:v>1000</c:v>
                </c:pt>
                <c:pt idx="1">
                  <c:v>2500</c:v>
                </c:pt>
                <c:pt idx="2">
                  <c:v>3500</c:v>
                </c:pt>
                <c:pt idx="3">
                  <c:v>4500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</c:numCache>
            </c:numRef>
          </c:cat>
          <c:val>
            <c:numRef>
              <c:f>Calibration!$E$9:$L$9</c:f>
              <c:numCache>
                <c:formatCode>General</c:formatCode>
                <c:ptCount val="8"/>
                <c:pt idx="0">
                  <c:v>30</c:v>
                </c:pt>
                <c:pt idx="1">
                  <c:v>40</c:v>
                </c:pt>
                <c:pt idx="2">
                  <c:v>42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55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81-4200-A077-A0761B7E7E1D}"/>
            </c:ext>
          </c:extLst>
        </c:ser>
        <c:ser>
          <c:idx val="5"/>
          <c:order val="5"/>
          <c:tx>
            <c:strRef>
              <c:f>Calibration!$C$8</c:f>
              <c:strCache>
                <c:ptCount val="1"/>
                <c:pt idx="0">
                  <c:v>70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Calibration!$E$14:$L$14</c:f>
              <c:numCache>
                <c:formatCode>General</c:formatCode>
                <c:ptCount val="8"/>
                <c:pt idx="0">
                  <c:v>1000</c:v>
                </c:pt>
                <c:pt idx="1">
                  <c:v>2500</c:v>
                </c:pt>
                <c:pt idx="2">
                  <c:v>3500</c:v>
                </c:pt>
                <c:pt idx="3">
                  <c:v>4500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</c:numCache>
            </c:numRef>
          </c:cat>
          <c:val>
            <c:numRef>
              <c:f>Calibration!$E$8:$L$8</c:f>
              <c:numCache>
                <c:formatCode>General</c:formatCode>
                <c:ptCount val="8"/>
                <c:pt idx="0">
                  <c:v>35</c:v>
                </c:pt>
                <c:pt idx="1">
                  <c:v>42</c:v>
                </c:pt>
                <c:pt idx="2">
                  <c:v>42</c:v>
                </c:pt>
                <c:pt idx="3">
                  <c:v>55</c:v>
                </c:pt>
                <c:pt idx="4">
                  <c:v>60</c:v>
                </c:pt>
                <c:pt idx="5">
                  <c:v>65</c:v>
                </c:pt>
                <c:pt idx="6">
                  <c:v>60</c:v>
                </c:pt>
                <c:pt idx="7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81-4200-A077-A0761B7E7E1D}"/>
            </c:ext>
          </c:extLst>
        </c:ser>
        <c:ser>
          <c:idx val="6"/>
          <c:order val="6"/>
          <c:tx>
            <c:strRef>
              <c:f>Calibration!$C$7</c:f>
              <c:strCache>
                <c:ptCount val="1"/>
                <c:pt idx="0">
                  <c:v>85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Calibration!$E$14:$L$14</c:f>
              <c:numCache>
                <c:formatCode>General</c:formatCode>
                <c:ptCount val="8"/>
                <c:pt idx="0">
                  <c:v>1000</c:v>
                </c:pt>
                <c:pt idx="1">
                  <c:v>2500</c:v>
                </c:pt>
                <c:pt idx="2">
                  <c:v>3500</c:v>
                </c:pt>
                <c:pt idx="3">
                  <c:v>4500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</c:numCache>
            </c:numRef>
          </c:cat>
          <c:val>
            <c:numRef>
              <c:f>Calibration!$E$7:$L$7</c:f>
              <c:numCache>
                <c:formatCode>General</c:formatCode>
                <c:ptCount val="8"/>
                <c:pt idx="0">
                  <c:v>37</c:v>
                </c:pt>
                <c:pt idx="1">
                  <c:v>42</c:v>
                </c:pt>
                <c:pt idx="2">
                  <c:v>42</c:v>
                </c:pt>
                <c:pt idx="3">
                  <c:v>60</c:v>
                </c:pt>
                <c:pt idx="4">
                  <c:v>65</c:v>
                </c:pt>
                <c:pt idx="5">
                  <c:v>65</c:v>
                </c:pt>
                <c:pt idx="6">
                  <c:v>60</c:v>
                </c:pt>
                <c:pt idx="7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81-4200-A077-A0761B7E7E1D}"/>
            </c:ext>
          </c:extLst>
        </c:ser>
        <c:ser>
          <c:idx val="7"/>
          <c:order val="7"/>
          <c:tx>
            <c:strRef>
              <c:f>Calibration!$C$6</c:f>
              <c:strCache>
                <c:ptCount val="1"/>
                <c:pt idx="0">
                  <c:v>100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Calibration!$E$14:$L$14</c:f>
              <c:numCache>
                <c:formatCode>General</c:formatCode>
                <c:ptCount val="8"/>
                <c:pt idx="0">
                  <c:v>1000</c:v>
                </c:pt>
                <c:pt idx="1">
                  <c:v>2500</c:v>
                </c:pt>
                <c:pt idx="2">
                  <c:v>3500</c:v>
                </c:pt>
                <c:pt idx="3">
                  <c:v>4500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</c:numCache>
            </c:numRef>
          </c:cat>
          <c:val>
            <c:numRef>
              <c:f>Calibration!$E$6:$L$6</c:f>
              <c:numCache>
                <c:formatCode>General</c:formatCode>
                <c:ptCount val="8"/>
                <c:pt idx="0">
                  <c:v>40</c:v>
                </c:pt>
                <c:pt idx="1">
                  <c:v>42</c:v>
                </c:pt>
                <c:pt idx="2">
                  <c:v>42</c:v>
                </c:pt>
                <c:pt idx="3">
                  <c:v>60</c:v>
                </c:pt>
                <c:pt idx="4">
                  <c:v>68</c:v>
                </c:pt>
                <c:pt idx="5">
                  <c:v>67</c:v>
                </c:pt>
                <c:pt idx="6">
                  <c:v>61</c:v>
                </c:pt>
                <c:pt idx="7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81-4200-A077-A0761B7E7E1D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347263071"/>
        <c:axId val="1350353871"/>
        <c:axId val="652886159"/>
      </c:surface3DChart>
      <c:catAx>
        <c:axId val="13472630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50353871"/>
        <c:crosses val="autoZero"/>
        <c:auto val="1"/>
        <c:lblAlgn val="ctr"/>
        <c:lblOffset val="100"/>
        <c:noMultiLvlLbl val="0"/>
      </c:catAx>
      <c:valAx>
        <c:axId val="135035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47263071"/>
        <c:crosses val="autoZero"/>
        <c:crossBetween val="midCat"/>
      </c:valAx>
      <c:serAx>
        <c:axId val="6528861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5035387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Filter 1st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FilterSignal!$A$5:$A$55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FilterSignal!$B$5:$B$55</c:f>
              <c:numCache>
                <c:formatCode>General</c:formatCode>
                <c:ptCount val="5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60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DC-4469-8427-0FBF3091D11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FilterSignal!$A$5:$A$55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FilterSignal!$C$5:$C$55</c:f>
              <c:numCache>
                <c:formatCode>General</c:formatCode>
                <c:ptCount val="51"/>
                <c:pt idx="0">
                  <c:v>0</c:v>
                </c:pt>
                <c:pt idx="1">
                  <c:v>50</c:v>
                </c:pt>
                <c:pt idx="2">
                  <c:v>75</c:v>
                </c:pt>
                <c:pt idx="3">
                  <c:v>87.5</c:v>
                </c:pt>
                <c:pt idx="4">
                  <c:v>93.75</c:v>
                </c:pt>
                <c:pt idx="5">
                  <c:v>96.875</c:v>
                </c:pt>
                <c:pt idx="6">
                  <c:v>98.4375</c:v>
                </c:pt>
                <c:pt idx="7">
                  <c:v>99.21875</c:v>
                </c:pt>
                <c:pt idx="8">
                  <c:v>49.609375</c:v>
                </c:pt>
                <c:pt idx="9">
                  <c:v>24.8046875</c:v>
                </c:pt>
                <c:pt idx="10">
                  <c:v>12.40234375</c:v>
                </c:pt>
                <c:pt idx="11">
                  <c:v>6.201171875</c:v>
                </c:pt>
                <c:pt idx="12">
                  <c:v>3.1005859375</c:v>
                </c:pt>
                <c:pt idx="13">
                  <c:v>1.55029296875</c:v>
                </c:pt>
                <c:pt idx="14">
                  <c:v>0.775146484375</c:v>
                </c:pt>
                <c:pt idx="15">
                  <c:v>0.3875732421875</c:v>
                </c:pt>
                <c:pt idx="16">
                  <c:v>0.19378662109375</c:v>
                </c:pt>
                <c:pt idx="17">
                  <c:v>50.096893310546875</c:v>
                </c:pt>
                <c:pt idx="18">
                  <c:v>75.048446655273438</c:v>
                </c:pt>
                <c:pt idx="19">
                  <c:v>87.524223327636719</c:v>
                </c:pt>
                <c:pt idx="20">
                  <c:v>93.762111663818359</c:v>
                </c:pt>
                <c:pt idx="21">
                  <c:v>76.88105583190918</c:v>
                </c:pt>
                <c:pt idx="22">
                  <c:v>88.44052791595459</c:v>
                </c:pt>
                <c:pt idx="23">
                  <c:v>94.220263957977295</c:v>
                </c:pt>
                <c:pt idx="24">
                  <c:v>97.110131978988647</c:v>
                </c:pt>
                <c:pt idx="25">
                  <c:v>98.555065989494324</c:v>
                </c:pt>
                <c:pt idx="26">
                  <c:v>99.277532994747162</c:v>
                </c:pt>
                <c:pt idx="27">
                  <c:v>99.638766497373581</c:v>
                </c:pt>
                <c:pt idx="28">
                  <c:v>99.81938324868679</c:v>
                </c:pt>
                <c:pt idx="29">
                  <c:v>49.909691624343395</c:v>
                </c:pt>
                <c:pt idx="30">
                  <c:v>24.954845812171698</c:v>
                </c:pt>
                <c:pt idx="31">
                  <c:v>12.477422906085849</c:v>
                </c:pt>
                <c:pt idx="32">
                  <c:v>6.2387114530429244</c:v>
                </c:pt>
                <c:pt idx="33">
                  <c:v>3.1193557265214622</c:v>
                </c:pt>
                <c:pt idx="34">
                  <c:v>1.5596778632607311</c:v>
                </c:pt>
                <c:pt idx="35">
                  <c:v>0.77983893163036555</c:v>
                </c:pt>
                <c:pt idx="36">
                  <c:v>0.38991946581518278</c:v>
                </c:pt>
                <c:pt idx="37">
                  <c:v>0.19495973290759139</c:v>
                </c:pt>
                <c:pt idx="38">
                  <c:v>9.7479866453795694E-2</c:v>
                </c:pt>
                <c:pt idx="39">
                  <c:v>4.8739933226897847E-2</c:v>
                </c:pt>
                <c:pt idx="40">
                  <c:v>2.4369966613448923E-2</c:v>
                </c:pt>
                <c:pt idx="41">
                  <c:v>1.2184983306724462E-2</c:v>
                </c:pt>
                <c:pt idx="42">
                  <c:v>6.0924916533622309E-3</c:v>
                </c:pt>
                <c:pt idx="43">
                  <c:v>3.0462458266811154E-3</c:v>
                </c:pt>
                <c:pt idx="44">
                  <c:v>50.001523122913341</c:v>
                </c:pt>
                <c:pt idx="45">
                  <c:v>75.00076156145667</c:v>
                </c:pt>
                <c:pt idx="46">
                  <c:v>87.500380780728335</c:v>
                </c:pt>
                <c:pt idx="47">
                  <c:v>93.750190390364168</c:v>
                </c:pt>
                <c:pt idx="48">
                  <c:v>96.875095195182084</c:v>
                </c:pt>
                <c:pt idx="49">
                  <c:v>98.437547597591049</c:v>
                </c:pt>
                <c:pt idx="50">
                  <c:v>99.218773798795524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DC-4469-8427-0FBF3091D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414335"/>
        <c:axId val="2087141279"/>
      </c:lineChart>
      <c:catAx>
        <c:axId val="96941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87141279"/>
        <c:crosses val="autoZero"/>
        <c:auto val="1"/>
        <c:lblAlgn val="ctr"/>
        <c:lblOffset val="100"/>
        <c:noMultiLvlLbl val="0"/>
      </c:catAx>
      <c:valAx>
        <c:axId val="20871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6941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Derivative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FilterSignal!$D$4</c:f>
              <c:strCache>
                <c:ptCount val="1"/>
                <c:pt idx="0">
                  <c:v>Derivative 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FilterSignal!$A$5:$A$55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FilterSignal!$D$5:$D$55</c:f>
              <c:numCache>
                <c:formatCode>General</c:formatCode>
                <c:ptCount val="5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-40</c:v>
                </c:pt>
                <c:pt idx="22">
                  <c:v>40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-100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E-4633-8900-CEE6D6CB78DA}"/>
            </c:ext>
          </c:extLst>
        </c:ser>
        <c:ser>
          <c:idx val="1"/>
          <c:order val="1"/>
          <c:tx>
            <c:strRef>
              <c:f>FilterSignal!$E$4</c:f>
              <c:strCache>
                <c:ptCount val="1"/>
                <c:pt idx="0">
                  <c:v>Derivative Filtered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FilterSignal!$A$5:$A$55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FilterSignal!$E$5:$E$55</c:f>
              <c:numCache>
                <c:formatCode>General</c:formatCode>
                <c:ptCount val="51"/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1.5625</c:v>
                </c:pt>
                <c:pt idx="7">
                  <c:v>0.78125</c:v>
                </c:pt>
                <c:pt idx="8">
                  <c:v>-49.609375</c:v>
                </c:pt>
                <c:pt idx="9">
                  <c:v>-24.8046875</c:v>
                </c:pt>
                <c:pt idx="10">
                  <c:v>-12.40234375</c:v>
                </c:pt>
                <c:pt idx="11">
                  <c:v>-6.201171875</c:v>
                </c:pt>
                <c:pt idx="12">
                  <c:v>-3.1005859375</c:v>
                </c:pt>
                <c:pt idx="13">
                  <c:v>-1.55029296875</c:v>
                </c:pt>
                <c:pt idx="14">
                  <c:v>-0.775146484375</c:v>
                </c:pt>
                <c:pt idx="15">
                  <c:v>-0.3875732421875</c:v>
                </c:pt>
                <c:pt idx="16">
                  <c:v>-0.19378662109375</c:v>
                </c:pt>
                <c:pt idx="17">
                  <c:v>49.903106689453125</c:v>
                </c:pt>
                <c:pt idx="18">
                  <c:v>24.951553344726563</c:v>
                </c:pt>
                <c:pt idx="19">
                  <c:v>12.475776672363281</c:v>
                </c:pt>
                <c:pt idx="20">
                  <c:v>6.2378883361816406</c:v>
                </c:pt>
                <c:pt idx="21">
                  <c:v>-16.88105583190918</c:v>
                </c:pt>
                <c:pt idx="22">
                  <c:v>11.55947208404541</c:v>
                </c:pt>
                <c:pt idx="23">
                  <c:v>5.7797360420227051</c:v>
                </c:pt>
                <c:pt idx="24">
                  <c:v>2.8898680210113525</c:v>
                </c:pt>
                <c:pt idx="25">
                  <c:v>1.4449340105056763</c:v>
                </c:pt>
                <c:pt idx="26">
                  <c:v>0.72246700525283813</c:v>
                </c:pt>
                <c:pt idx="27">
                  <c:v>0.36123350262641907</c:v>
                </c:pt>
                <c:pt idx="28">
                  <c:v>0.18061675131320953</c:v>
                </c:pt>
                <c:pt idx="29">
                  <c:v>-49.909691624343395</c:v>
                </c:pt>
                <c:pt idx="30">
                  <c:v>-24.954845812171698</c:v>
                </c:pt>
                <c:pt idx="31">
                  <c:v>-12.477422906085849</c:v>
                </c:pt>
                <c:pt idx="32">
                  <c:v>-6.2387114530429244</c:v>
                </c:pt>
                <c:pt idx="33">
                  <c:v>-3.1193557265214622</c:v>
                </c:pt>
                <c:pt idx="34">
                  <c:v>-1.5596778632607311</c:v>
                </c:pt>
                <c:pt idx="35">
                  <c:v>-0.77983893163036555</c:v>
                </c:pt>
                <c:pt idx="36">
                  <c:v>-0.38991946581518278</c:v>
                </c:pt>
                <c:pt idx="37">
                  <c:v>-0.19495973290759139</c:v>
                </c:pt>
                <c:pt idx="38">
                  <c:v>-9.7479866453795694E-2</c:v>
                </c:pt>
                <c:pt idx="39">
                  <c:v>-4.8739933226897847E-2</c:v>
                </c:pt>
                <c:pt idx="40">
                  <c:v>-2.4369966613448923E-2</c:v>
                </c:pt>
                <c:pt idx="41">
                  <c:v>-1.2184983306724462E-2</c:v>
                </c:pt>
                <c:pt idx="42">
                  <c:v>-6.0924916533622309E-3</c:v>
                </c:pt>
                <c:pt idx="43">
                  <c:v>-3.0462458266811154E-3</c:v>
                </c:pt>
                <c:pt idx="44">
                  <c:v>49.998476877086659</c:v>
                </c:pt>
                <c:pt idx="45">
                  <c:v>24.99923843854333</c:v>
                </c:pt>
                <c:pt idx="46">
                  <c:v>12.499619219271665</c:v>
                </c:pt>
                <c:pt idx="47">
                  <c:v>6.2498096096358324</c:v>
                </c:pt>
                <c:pt idx="48">
                  <c:v>3.1249048048179162</c:v>
                </c:pt>
                <c:pt idx="49">
                  <c:v>1.5624524024089652</c:v>
                </c:pt>
                <c:pt idx="50">
                  <c:v>0.7812262012044755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7E-4633-8900-CEE6D6CB78DA}"/>
            </c:ext>
          </c:extLst>
        </c:ser>
        <c:ser>
          <c:idx val="2"/>
          <c:order val="2"/>
          <c:tx>
            <c:strRef>
              <c:f>FilterSignal!$F$4</c:f>
              <c:strCache>
                <c:ptCount val="1"/>
                <c:pt idx="0">
                  <c:v>Threshould Accel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FilterSignal!$A$5:$A$55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FilterSignal!$F$5:$F$55</c:f>
              <c:numCache>
                <c:formatCode>General</c:formatCode>
                <c:ptCount val="51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7E-4633-8900-CEE6D6CB78DA}"/>
            </c:ext>
          </c:extLst>
        </c:ser>
        <c:ser>
          <c:idx val="3"/>
          <c:order val="3"/>
          <c:tx>
            <c:strRef>
              <c:f>FilterSignal!$G$4</c:f>
              <c:strCache>
                <c:ptCount val="1"/>
                <c:pt idx="0">
                  <c:v>Threshould Decel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FilterSignal!$A$5:$A$55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FilterSignal!$G$5:$G$55</c:f>
              <c:numCache>
                <c:formatCode>General</c:formatCode>
                <c:ptCount val="51"/>
                <c:pt idx="0">
                  <c:v>-70</c:v>
                </c:pt>
                <c:pt idx="1">
                  <c:v>-70</c:v>
                </c:pt>
                <c:pt idx="2">
                  <c:v>-70</c:v>
                </c:pt>
                <c:pt idx="3">
                  <c:v>-70</c:v>
                </c:pt>
                <c:pt idx="4">
                  <c:v>-70</c:v>
                </c:pt>
                <c:pt idx="5">
                  <c:v>-70</c:v>
                </c:pt>
                <c:pt idx="6">
                  <c:v>-70</c:v>
                </c:pt>
                <c:pt idx="7">
                  <c:v>-70</c:v>
                </c:pt>
                <c:pt idx="8">
                  <c:v>-70</c:v>
                </c:pt>
                <c:pt idx="9">
                  <c:v>-70</c:v>
                </c:pt>
                <c:pt idx="10">
                  <c:v>-70</c:v>
                </c:pt>
                <c:pt idx="11">
                  <c:v>-70</c:v>
                </c:pt>
                <c:pt idx="12">
                  <c:v>-70</c:v>
                </c:pt>
                <c:pt idx="13">
                  <c:v>-70</c:v>
                </c:pt>
                <c:pt idx="14">
                  <c:v>-70</c:v>
                </c:pt>
                <c:pt idx="15">
                  <c:v>-70</c:v>
                </c:pt>
                <c:pt idx="16">
                  <c:v>-70</c:v>
                </c:pt>
                <c:pt idx="17">
                  <c:v>-70</c:v>
                </c:pt>
                <c:pt idx="18">
                  <c:v>-70</c:v>
                </c:pt>
                <c:pt idx="19">
                  <c:v>-70</c:v>
                </c:pt>
                <c:pt idx="20">
                  <c:v>-70</c:v>
                </c:pt>
                <c:pt idx="21">
                  <c:v>-70</c:v>
                </c:pt>
                <c:pt idx="22">
                  <c:v>-70</c:v>
                </c:pt>
                <c:pt idx="23">
                  <c:v>-70</c:v>
                </c:pt>
                <c:pt idx="24">
                  <c:v>-70</c:v>
                </c:pt>
                <c:pt idx="25">
                  <c:v>-70</c:v>
                </c:pt>
                <c:pt idx="26">
                  <c:v>-70</c:v>
                </c:pt>
                <c:pt idx="27">
                  <c:v>-70</c:v>
                </c:pt>
                <c:pt idx="28">
                  <c:v>-70</c:v>
                </c:pt>
                <c:pt idx="29">
                  <c:v>-70</c:v>
                </c:pt>
                <c:pt idx="30">
                  <c:v>-70</c:v>
                </c:pt>
                <c:pt idx="31">
                  <c:v>-70</c:v>
                </c:pt>
                <c:pt idx="32">
                  <c:v>-70</c:v>
                </c:pt>
                <c:pt idx="33">
                  <c:v>-70</c:v>
                </c:pt>
                <c:pt idx="34">
                  <c:v>-70</c:v>
                </c:pt>
                <c:pt idx="35">
                  <c:v>-70</c:v>
                </c:pt>
                <c:pt idx="36">
                  <c:v>-70</c:v>
                </c:pt>
                <c:pt idx="37">
                  <c:v>-70</c:v>
                </c:pt>
                <c:pt idx="38">
                  <c:v>-70</c:v>
                </c:pt>
                <c:pt idx="39">
                  <c:v>-70</c:v>
                </c:pt>
                <c:pt idx="40">
                  <c:v>-70</c:v>
                </c:pt>
                <c:pt idx="41">
                  <c:v>-70</c:v>
                </c:pt>
                <c:pt idx="42">
                  <c:v>-70</c:v>
                </c:pt>
                <c:pt idx="43">
                  <c:v>-70</c:v>
                </c:pt>
                <c:pt idx="44">
                  <c:v>-70</c:v>
                </c:pt>
                <c:pt idx="45">
                  <c:v>-70</c:v>
                </c:pt>
                <c:pt idx="46">
                  <c:v>-70</c:v>
                </c:pt>
                <c:pt idx="47">
                  <c:v>-70</c:v>
                </c:pt>
                <c:pt idx="48">
                  <c:v>-70</c:v>
                </c:pt>
                <c:pt idx="49">
                  <c:v>-70</c:v>
                </c:pt>
                <c:pt idx="50">
                  <c:v>-70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7E-4633-8900-CEE6D6CB7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107152"/>
        <c:axId val="1939034032"/>
      </c:lineChart>
      <c:catAx>
        <c:axId val="210510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39034032"/>
        <c:crosses val="autoZero"/>
        <c:auto val="1"/>
        <c:lblAlgn val="ctr"/>
        <c:lblOffset val="100"/>
        <c:noMultiLvlLbl val="0"/>
      </c:catAx>
      <c:valAx>
        <c:axId val="19390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0510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XTau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Xtau!$B$4</c:f>
              <c:strCache>
                <c:ptCount val="1"/>
                <c:pt idx="0">
                  <c:v>TPS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FilterSignal!$A$5:$A$55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Xtau!$B$5:$B$55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2E-4F5C-BF50-5EBCFE53769D}"/>
            </c:ext>
          </c:extLst>
        </c:ser>
        <c:ser>
          <c:idx val="1"/>
          <c:order val="1"/>
          <c:tx>
            <c:strRef>
              <c:f>Xtau!$C$4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FilterSignal!$A$5:$A$55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Xtau!$C$5:$C$55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32.5</c:v>
                </c:pt>
                <c:pt idx="6">
                  <c:v>56.875</c:v>
                </c:pt>
                <c:pt idx="7">
                  <c:v>75.15625</c:v>
                </c:pt>
                <c:pt idx="8">
                  <c:v>88.8671875</c:v>
                </c:pt>
                <c:pt idx="9">
                  <c:v>99.150390625</c:v>
                </c:pt>
                <c:pt idx="10">
                  <c:v>106.86279296875</c:v>
                </c:pt>
                <c:pt idx="11">
                  <c:v>80.1470947265625</c:v>
                </c:pt>
                <c:pt idx="12">
                  <c:v>92.610321044921875</c:v>
                </c:pt>
                <c:pt idx="13">
                  <c:v>101.95774078369141</c:v>
                </c:pt>
                <c:pt idx="14">
                  <c:v>108.96830558776855</c:v>
                </c:pt>
                <c:pt idx="15">
                  <c:v>114.22622919082642</c:v>
                </c:pt>
                <c:pt idx="16">
                  <c:v>118.16967189311981</c:v>
                </c:pt>
                <c:pt idx="17">
                  <c:v>121.12725391983986</c:v>
                </c:pt>
                <c:pt idx="18">
                  <c:v>123.34544043987989</c:v>
                </c:pt>
                <c:pt idx="19">
                  <c:v>125.00908032990992</c:v>
                </c:pt>
                <c:pt idx="20">
                  <c:v>126.25681024743244</c:v>
                </c:pt>
                <c:pt idx="21">
                  <c:v>127.19260768557433</c:v>
                </c:pt>
                <c:pt idx="22">
                  <c:v>127.89445576418075</c:v>
                </c:pt>
                <c:pt idx="23">
                  <c:v>128.42084182313556</c:v>
                </c:pt>
                <c:pt idx="24">
                  <c:v>128.81563136735167</c:v>
                </c:pt>
                <c:pt idx="25">
                  <c:v>129.11172352551375</c:v>
                </c:pt>
                <c:pt idx="26">
                  <c:v>129.33379264413531</c:v>
                </c:pt>
                <c:pt idx="27">
                  <c:v>129.50034448310149</c:v>
                </c:pt>
                <c:pt idx="28">
                  <c:v>129.62525836232612</c:v>
                </c:pt>
                <c:pt idx="29">
                  <c:v>129.71894377174459</c:v>
                </c:pt>
                <c:pt idx="30">
                  <c:v>129.78920782880846</c:v>
                </c:pt>
                <c:pt idx="31">
                  <c:v>129.84190587160634</c:v>
                </c:pt>
                <c:pt idx="32">
                  <c:v>129.88142940370477</c:v>
                </c:pt>
                <c:pt idx="33">
                  <c:v>129.91107205277859</c:v>
                </c:pt>
                <c:pt idx="34">
                  <c:v>129.93330403958396</c:v>
                </c:pt>
                <c:pt idx="35">
                  <c:v>129.94997802968797</c:v>
                </c:pt>
                <c:pt idx="36">
                  <c:v>129.96248352226598</c:v>
                </c:pt>
                <c:pt idx="37">
                  <c:v>129.97186264169949</c:v>
                </c:pt>
                <c:pt idx="38">
                  <c:v>129.9788969812746</c:v>
                </c:pt>
                <c:pt idx="39">
                  <c:v>129.98417273595595</c:v>
                </c:pt>
                <c:pt idx="40">
                  <c:v>97.488129551966964</c:v>
                </c:pt>
                <c:pt idx="41">
                  <c:v>73.116097163975226</c:v>
                </c:pt>
                <c:pt idx="42">
                  <c:v>54.837072872981423</c:v>
                </c:pt>
                <c:pt idx="43">
                  <c:v>41.127804654736067</c:v>
                </c:pt>
                <c:pt idx="44">
                  <c:v>30.845853491052051</c:v>
                </c:pt>
                <c:pt idx="45">
                  <c:v>23.134390118289037</c:v>
                </c:pt>
                <c:pt idx="46">
                  <c:v>17.350792588716779</c:v>
                </c:pt>
                <c:pt idx="47">
                  <c:v>13.013094441537584</c:v>
                </c:pt>
                <c:pt idx="48">
                  <c:v>9.7598208311531884</c:v>
                </c:pt>
                <c:pt idx="49">
                  <c:v>7.3198656233648913</c:v>
                </c:pt>
                <c:pt idx="50">
                  <c:v>5.4898992175236687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2E-4F5C-BF50-5EBCFE53769D}"/>
            </c:ext>
          </c:extLst>
        </c:ser>
        <c:ser>
          <c:idx val="2"/>
          <c:order val="2"/>
          <c:tx>
            <c:strRef>
              <c:f>Xtau!$D$4</c:f>
              <c:strCache>
                <c:ptCount val="1"/>
                <c:pt idx="0">
                  <c:v>Transient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Xtau!$D$5:$D$55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130</c:v>
                </c:pt>
                <c:pt idx="6">
                  <c:v>97.5</c:v>
                </c:pt>
                <c:pt idx="7">
                  <c:v>73.125</c:v>
                </c:pt>
                <c:pt idx="8">
                  <c:v>54.84375</c:v>
                </c:pt>
                <c:pt idx="9">
                  <c:v>41.1328125</c:v>
                </c:pt>
                <c:pt idx="10">
                  <c:v>30.849609375</c:v>
                </c:pt>
                <c:pt idx="11">
                  <c:v>-106.86279296875</c:v>
                </c:pt>
                <c:pt idx="12">
                  <c:v>49.8529052734375</c:v>
                </c:pt>
                <c:pt idx="13">
                  <c:v>37.389678955078125</c:v>
                </c:pt>
                <c:pt idx="14">
                  <c:v>28.042259216308594</c:v>
                </c:pt>
                <c:pt idx="15">
                  <c:v>21.031694412231445</c:v>
                </c:pt>
                <c:pt idx="16">
                  <c:v>15.773770809173584</c:v>
                </c:pt>
                <c:pt idx="17">
                  <c:v>11.830328106880188</c:v>
                </c:pt>
                <c:pt idx="18">
                  <c:v>8.872746080160141</c:v>
                </c:pt>
                <c:pt idx="19">
                  <c:v>6.6545595601201057</c:v>
                </c:pt>
                <c:pt idx="20">
                  <c:v>4.9909196700900793</c:v>
                </c:pt>
                <c:pt idx="21">
                  <c:v>3.7431897525675595</c:v>
                </c:pt>
                <c:pt idx="22">
                  <c:v>2.8073923144256696</c:v>
                </c:pt>
                <c:pt idx="23">
                  <c:v>2.1055442358192522</c:v>
                </c:pt>
                <c:pt idx="24">
                  <c:v>1.5791581768644392</c:v>
                </c:pt>
                <c:pt idx="25">
                  <c:v>1.1843686326483294</c:v>
                </c:pt>
                <c:pt idx="26">
                  <c:v>0.88827647448624703</c:v>
                </c:pt>
                <c:pt idx="27">
                  <c:v>0.66620735586468527</c:v>
                </c:pt>
                <c:pt idx="28">
                  <c:v>0.49965551689851395</c:v>
                </c:pt>
                <c:pt idx="29">
                  <c:v>0.37474163767387836</c:v>
                </c:pt>
                <c:pt idx="30">
                  <c:v>0.28105622825540877</c:v>
                </c:pt>
                <c:pt idx="31">
                  <c:v>0.21079217119154237</c:v>
                </c:pt>
                <c:pt idx="32">
                  <c:v>0.15809412839365677</c:v>
                </c:pt>
                <c:pt idx="33">
                  <c:v>0.11857059629522837</c:v>
                </c:pt>
                <c:pt idx="34">
                  <c:v>8.8927947221407067E-2</c:v>
                </c:pt>
                <c:pt idx="35">
                  <c:v>6.6695960416041089E-2</c:v>
                </c:pt>
                <c:pt idx="36">
                  <c:v>5.0021970312030817E-2</c:v>
                </c:pt>
                <c:pt idx="37">
                  <c:v>3.7516477734016007E-2</c:v>
                </c:pt>
                <c:pt idx="38">
                  <c:v>2.8137358300512005E-2</c:v>
                </c:pt>
                <c:pt idx="39">
                  <c:v>2.1103018725398215E-2</c:v>
                </c:pt>
                <c:pt idx="40">
                  <c:v>-129.98417273595595</c:v>
                </c:pt>
                <c:pt idx="41">
                  <c:v>-97.488129551966964</c:v>
                </c:pt>
                <c:pt idx="42">
                  <c:v>-73.116097163975226</c:v>
                </c:pt>
                <c:pt idx="43">
                  <c:v>-54.837072872981423</c:v>
                </c:pt>
                <c:pt idx="44">
                  <c:v>-41.127804654736067</c:v>
                </c:pt>
                <c:pt idx="45">
                  <c:v>-30.845853491052051</c:v>
                </c:pt>
                <c:pt idx="46">
                  <c:v>-23.134390118289037</c:v>
                </c:pt>
                <c:pt idx="47">
                  <c:v>-17.350792588716779</c:v>
                </c:pt>
                <c:pt idx="48">
                  <c:v>-13.013094441537584</c:v>
                </c:pt>
                <c:pt idx="49">
                  <c:v>-9.7598208311531884</c:v>
                </c:pt>
                <c:pt idx="50">
                  <c:v>-7.3198656233648913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2E-4F5C-BF50-5EBCFE537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414335"/>
        <c:axId val="2087141279"/>
      </c:lineChart>
      <c:catAx>
        <c:axId val="96941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87141279"/>
        <c:crosses val="autoZero"/>
        <c:auto val="1"/>
        <c:lblAlgn val="ctr"/>
        <c:lblOffset val="100"/>
        <c:noMultiLvlLbl val="0"/>
      </c:catAx>
      <c:valAx>
        <c:axId val="20871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6941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Derivative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FilterSignal!$D$4</c:f>
              <c:strCache>
                <c:ptCount val="1"/>
                <c:pt idx="0">
                  <c:v>Derivative 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FilterSignal!$A$5:$A$55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FilterSignal!$D$5:$D$55</c:f>
              <c:numCache>
                <c:formatCode>General</c:formatCode>
                <c:ptCount val="5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-40</c:v>
                </c:pt>
                <c:pt idx="22">
                  <c:v>40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-100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A-4107-B059-EB1AFD46D4DF}"/>
            </c:ext>
          </c:extLst>
        </c:ser>
        <c:ser>
          <c:idx val="1"/>
          <c:order val="1"/>
          <c:tx>
            <c:strRef>
              <c:f>FilterSignal!$E$4</c:f>
              <c:strCache>
                <c:ptCount val="1"/>
                <c:pt idx="0">
                  <c:v>Derivative Filtered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FilterSignal!$A$5:$A$55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FilterSignal!$E$5:$E$55</c:f>
              <c:numCache>
                <c:formatCode>General</c:formatCode>
                <c:ptCount val="51"/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1.5625</c:v>
                </c:pt>
                <c:pt idx="7">
                  <c:v>0.78125</c:v>
                </c:pt>
                <c:pt idx="8">
                  <c:v>-49.609375</c:v>
                </c:pt>
                <c:pt idx="9">
                  <c:v>-24.8046875</c:v>
                </c:pt>
                <c:pt idx="10">
                  <c:v>-12.40234375</c:v>
                </c:pt>
                <c:pt idx="11">
                  <c:v>-6.201171875</c:v>
                </c:pt>
                <c:pt idx="12">
                  <c:v>-3.1005859375</c:v>
                </c:pt>
                <c:pt idx="13">
                  <c:v>-1.55029296875</c:v>
                </c:pt>
                <c:pt idx="14">
                  <c:v>-0.775146484375</c:v>
                </c:pt>
                <c:pt idx="15">
                  <c:v>-0.3875732421875</c:v>
                </c:pt>
                <c:pt idx="16">
                  <c:v>-0.19378662109375</c:v>
                </c:pt>
                <c:pt idx="17">
                  <c:v>49.903106689453125</c:v>
                </c:pt>
                <c:pt idx="18">
                  <c:v>24.951553344726563</c:v>
                </c:pt>
                <c:pt idx="19">
                  <c:v>12.475776672363281</c:v>
                </c:pt>
                <c:pt idx="20">
                  <c:v>6.2378883361816406</c:v>
                </c:pt>
                <c:pt idx="21">
                  <c:v>-16.88105583190918</c:v>
                </c:pt>
                <c:pt idx="22">
                  <c:v>11.55947208404541</c:v>
                </c:pt>
                <c:pt idx="23">
                  <c:v>5.7797360420227051</c:v>
                </c:pt>
                <c:pt idx="24">
                  <c:v>2.8898680210113525</c:v>
                </c:pt>
                <c:pt idx="25">
                  <c:v>1.4449340105056763</c:v>
                </c:pt>
                <c:pt idx="26">
                  <c:v>0.72246700525283813</c:v>
                </c:pt>
                <c:pt idx="27">
                  <c:v>0.36123350262641907</c:v>
                </c:pt>
                <c:pt idx="28">
                  <c:v>0.18061675131320953</c:v>
                </c:pt>
                <c:pt idx="29">
                  <c:v>-49.909691624343395</c:v>
                </c:pt>
                <c:pt idx="30">
                  <c:v>-24.954845812171698</c:v>
                </c:pt>
                <c:pt idx="31">
                  <c:v>-12.477422906085849</c:v>
                </c:pt>
                <c:pt idx="32">
                  <c:v>-6.2387114530429244</c:v>
                </c:pt>
                <c:pt idx="33">
                  <c:v>-3.1193557265214622</c:v>
                </c:pt>
                <c:pt idx="34">
                  <c:v>-1.5596778632607311</c:v>
                </c:pt>
                <c:pt idx="35">
                  <c:v>-0.77983893163036555</c:v>
                </c:pt>
                <c:pt idx="36">
                  <c:v>-0.38991946581518278</c:v>
                </c:pt>
                <c:pt idx="37">
                  <c:v>-0.19495973290759139</c:v>
                </c:pt>
                <c:pt idx="38">
                  <c:v>-9.7479866453795694E-2</c:v>
                </c:pt>
                <c:pt idx="39">
                  <c:v>-4.8739933226897847E-2</c:v>
                </c:pt>
                <c:pt idx="40">
                  <c:v>-2.4369966613448923E-2</c:v>
                </c:pt>
                <c:pt idx="41">
                  <c:v>-1.2184983306724462E-2</c:v>
                </c:pt>
                <c:pt idx="42">
                  <c:v>-6.0924916533622309E-3</c:v>
                </c:pt>
                <c:pt idx="43">
                  <c:v>-3.0462458266811154E-3</c:v>
                </c:pt>
                <c:pt idx="44">
                  <c:v>49.998476877086659</c:v>
                </c:pt>
                <c:pt idx="45">
                  <c:v>24.99923843854333</c:v>
                </c:pt>
                <c:pt idx="46">
                  <c:v>12.499619219271665</c:v>
                </c:pt>
                <c:pt idx="47">
                  <c:v>6.2498096096358324</c:v>
                </c:pt>
                <c:pt idx="48">
                  <c:v>3.1249048048179162</c:v>
                </c:pt>
                <c:pt idx="49">
                  <c:v>1.5624524024089652</c:v>
                </c:pt>
                <c:pt idx="50">
                  <c:v>0.7812262012044755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1A-4107-B059-EB1AFD46D4DF}"/>
            </c:ext>
          </c:extLst>
        </c:ser>
        <c:ser>
          <c:idx val="2"/>
          <c:order val="2"/>
          <c:tx>
            <c:strRef>
              <c:f>FilterSignal!$F$4</c:f>
              <c:strCache>
                <c:ptCount val="1"/>
                <c:pt idx="0">
                  <c:v>Threshould Accel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FilterSignal!$A$5:$A$55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FilterSignal!$F$5:$F$55</c:f>
              <c:numCache>
                <c:formatCode>General</c:formatCode>
                <c:ptCount val="51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1A-4107-B059-EB1AFD46D4DF}"/>
            </c:ext>
          </c:extLst>
        </c:ser>
        <c:ser>
          <c:idx val="3"/>
          <c:order val="3"/>
          <c:tx>
            <c:strRef>
              <c:f>FilterSignal!$G$4</c:f>
              <c:strCache>
                <c:ptCount val="1"/>
                <c:pt idx="0">
                  <c:v>Threshould Decel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FilterSignal!$A$5:$A$55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FilterSignal!$G$5:$G$55</c:f>
              <c:numCache>
                <c:formatCode>General</c:formatCode>
                <c:ptCount val="51"/>
                <c:pt idx="0">
                  <c:v>-70</c:v>
                </c:pt>
                <c:pt idx="1">
                  <c:v>-70</c:v>
                </c:pt>
                <c:pt idx="2">
                  <c:v>-70</c:v>
                </c:pt>
                <c:pt idx="3">
                  <c:v>-70</c:v>
                </c:pt>
                <c:pt idx="4">
                  <c:v>-70</c:v>
                </c:pt>
                <c:pt idx="5">
                  <c:v>-70</c:v>
                </c:pt>
                <c:pt idx="6">
                  <c:v>-70</c:v>
                </c:pt>
                <c:pt idx="7">
                  <c:v>-70</c:v>
                </c:pt>
                <c:pt idx="8">
                  <c:v>-70</c:v>
                </c:pt>
                <c:pt idx="9">
                  <c:v>-70</c:v>
                </c:pt>
                <c:pt idx="10">
                  <c:v>-70</c:v>
                </c:pt>
                <c:pt idx="11">
                  <c:v>-70</c:v>
                </c:pt>
                <c:pt idx="12">
                  <c:v>-70</c:v>
                </c:pt>
                <c:pt idx="13">
                  <c:v>-70</c:v>
                </c:pt>
                <c:pt idx="14">
                  <c:v>-70</c:v>
                </c:pt>
                <c:pt idx="15">
                  <c:v>-70</c:v>
                </c:pt>
                <c:pt idx="16">
                  <c:v>-70</c:v>
                </c:pt>
                <c:pt idx="17">
                  <c:v>-70</c:v>
                </c:pt>
                <c:pt idx="18">
                  <c:v>-70</c:v>
                </c:pt>
                <c:pt idx="19">
                  <c:v>-70</c:v>
                </c:pt>
                <c:pt idx="20">
                  <c:v>-70</c:v>
                </c:pt>
                <c:pt idx="21">
                  <c:v>-70</c:v>
                </c:pt>
                <c:pt idx="22">
                  <c:v>-70</c:v>
                </c:pt>
                <c:pt idx="23">
                  <c:v>-70</c:v>
                </c:pt>
                <c:pt idx="24">
                  <c:v>-70</c:v>
                </c:pt>
                <c:pt idx="25">
                  <c:v>-70</c:v>
                </c:pt>
                <c:pt idx="26">
                  <c:v>-70</c:v>
                </c:pt>
                <c:pt idx="27">
                  <c:v>-70</c:v>
                </c:pt>
                <c:pt idx="28">
                  <c:v>-70</c:v>
                </c:pt>
                <c:pt idx="29">
                  <c:v>-70</c:v>
                </c:pt>
                <c:pt idx="30">
                  <c:v>-70</c:v>
                </c:pt>
                <c:pt idx="31">
                  <c:v>-70</c:v>
                </c:pt>
                <c:pt idx="32">
                  <c:v>-70</c:v>
                </c:pt>
                <c:pt idx="33">
                  <c:v>-70</c:v>
                </c:pt>
                <c:pt idx="34">
                  <c:v>-70</c:v>
                </c:pt>
                <c:pt idx="35">
                  <c:v>-70</c:v>
                </c:pt>
                <c:pt idx="36">
                  <c:v>-70</c:v>
                </c:pt>
                <c:pt idx="37">
                  <c:v>-70</c:v>
                </c:pt>
                <c:pt idx="38">
                  <c:v>-70</c:v>
                </c:pt>
                <c:pt idx="39">
                  <c:v>-70</c:v>
                </c:pt>
                <c:pt idx="40">
                  <c:v>-70</c:v>
                </c:pt>
                <c:pt idx="41">
                  <c:v>-70</c:v>
                </c:pt>
                <c:pt idx="42">
                  <c:v>-70</c:v>
                </c:pt>
                <c:pt idx="43">
                  <c:v>-70</c:v>
                </c:pt>
                <c:pt idx="44">
                  <c:v>-70</c:v>
                </c:pt>
                <c:pt idx="45">
                  <c:v>-70</c:v>
                </c:pt>
                <c:pt idx="46">
                  <c:v>-70</c:v>
                </c:pt>
                <c:pt idx="47">
                  <c:v>-70</c:v>
                </c:pt>
                <c:pt idx="48">
                  <c:v>-70</c:v>
                </c:pt>
                <c:pt idx="49">
                  <c:v>-70</c:v>
                </c:pt>
                <c:pt idx="50">
                  <c:v>-70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1A-4107-B059-EB1AFD46D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107152"/>
        <c:axId val="1939034032"/>
      </c:lineChart>
      <c:catAx>
        <c:axId val="210510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39034032"/>
        <c:crosses val="autoZero"/>
        <c:auto val="1"/>
        <c:lblAlgn val="ctr"/>
        <c:lblOffset val="100"/>
        <c:noMultiLvlLbl val="0"/>
      </c:catAx>
      <c:valAx>
        <c:axId val="19390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0510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259080</xdr:colOff>
      <xdr:row>4</xdr:row>
      <xdr:rowOff>15240</xdr:rowOff>
    </xdr:from>
    <xdr:to>
      <xdr:col>22</xdr:col>
      <xdr:colOff>464820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0AD1E1-F999-43B5-AAD3-77C7924E5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175260</xdr:rowOff>
    </xdr:from>
    <xdr:to>
      <xdr:col>17</xdr:col>
      <xdr:colOff>304800</xdr:colOff>
      <xdr:row>15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3CCCA3-9B15-4AA3-AA58-32C4E2EE6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16</xdr:row>
      <xdr:rowOff>53340</xdr:rowOff>
    </xdr:from>
    <xdr:to>
      <xdr:col>17</xdr:col>
      <xdr:colOff>304800</xdr:colOff>
      <xdr:row>31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318546-6991-4F42-A834-0FAA1B1A3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175260</xdr:rowOff>
    </xdr:from>
    <xdr:to>
      <xdr:col>17</xdr:col>
      <xdr:colOff>304800</xdr:colOff>
      <xdr:row>15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BA654D5-D7E9-4CC4-B35C-21CA6FC92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16</xdr:row>
      <xdr:rowOff>38100</xdr:rowOff>
    </xdr:from>
    <xdr:to>
      <xdr:col>17</xdr:col>
      <xdr:colOff>304800</xdr:colOff>
      <xdr:row>31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4C4CD19-023F-454E-8E09-4BE8B86D6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rd135.forumeiros.com/" TargetMode="External"/><Relationship Id="rId1" Type="http://schemas.openxmlformats.org/officeDocument/2006/relationships/hyperlink" Target="https://www.facebook.com/groups/1491292651089871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.com/content/st_com/en/products/evaluation-tools/product-evaluation-tools/mcu-mpu-eval-tools/spc5-automotive-mcu-eval-tools/spc5-l9177a-k02.html" TargetMode="External"/><Relationship Id="rId7" Type="http://schemas.openxmlformats.org/officeDocument/2006/relationships/printerSettings" Target="../printerSettings/printerSettings12.bin"/><Relationship Id="rId2" Type="http://schemas.openxmlformats.org/officeDocument/2006/relationships/hyperlink" Target="https://www.st.com/content/st_com/en/products/development-tools/hardware-development-tools/development-tool-hardware-from-partners/spc5-l9177a-k02-reference-design.html" TargetMode="External"/><Relationship Id="rId1" Type="http://schemas.openxmlformats.org/officeDocument/2006/relationships/hyperlink" Target="http://www.megamanual.com/v22manual/mfuel.htm" TargetMode="External"/><Relationship Id="rId6" Type="http://schemas.openxmlformats.org/officeDocument/2006/relationships/hyperlink" Target="https://www.slideserve.com/afia/megameet-2009-atlanta-powerpoint-ppt-presentation" TargetMode="External"/><Relationship Id="rId5" Type="http://schemas.openxmlformats.org/officeDocument/2006/relationships/hyperlink" Target="https://www.embarcados.com.br/sonda-lambda-de-banda-estreita/" TargetMode="External"/><Relationship Id="rId4" Type="http://schemas.openxmlformats.org/officeDocument/2006/relationships/hyperlink" Target="https://megasquirtracing.com.br/author/admi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539F0-8F75-4A07-A623-8163E6FA15FA}">
  <dimension ref="A1:E4"/>
  <sheetViews>
    <sheetView workbookViewId="0">
      <selection activeCell="G6" sqref="G6"/>
    </sheetView>
  </sheetViews>
  <sheetFormatPr defaultRowHeight="14.4" x14ac:dyDescent="0.3"/>
  <cols>
    <col min="1" max="1" width="8.44140625" bestFit="1" customWidth="1"/>
    <col min="3" max="3" width="8.44140625" bestFit="1" customWidth="1"/>
    <col min="5" max="5" width="9.33203125" bestFit="1" customWidth="1"/>
  </cols>
  <sheetData>
    <row r="1" spans="1:5" x14ac:dyDescent="0.3">
      <c r="A1" s="6" t="s">
        <v>3</v>
      </c>
      <c r="C1" s="6" t="s">
        <v>17</v>
      </c>
      <c r="E1" s="6" t="s">
        <v>12</v>
      </c>
    </row>
    <row r="2" spans="1:5" x14ac:dyDescent="0.3">
      <c r="A2" s="2" t="s">
        <v>16</v>
      </c>
      <c r="C2" s="2" t="s">
        <v>14</v>
      </c>
      <c r="E2" s="4" t="s">
        <v>13</v>
      </c>
    </row>
    <row r="3" spans="1:5" x14ac:dyDescent="0.3">
      <c r="A3" s="2" t="s">
        <v>15</v>
      </c>
      <c r="C3" s="2" t="s">
        <v>15</v>
      </c>
      <c r="E3" s="2" t="s">
        <v>19</v>
      </c>
    </row>
    <row r="4" spans="1:5" x14ac:dyDescent="0.3">
      <c r="A4" s="4" t="s">
        <v>5</v>
      </c>
      <c r="C4" s="4" t="s">
        <v>5</v>
      </c>
      <c r="E4" s="2" t="s">
        <v>18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9CFB2-9B94-4829-80E2-506C4935B978}">
  <dimension ref="A1:H54"/>
  <sheetViews>
    <sheetView topLeftCell="A13" workbookViewId="0">
      <selection activeCell="H21" sqref="H21"/>
    </sheetView>
  </sheetViews>
  <sheetFormatPr defaultRowHeight="14.4" x14ac:dyDescent="0.3"/>
  <cols>
    <col min="1" max="1" width="26.5546875" bestFit="1" customWidth="1"/>
    <col min="2" max="2" width="12" bestFit="1" customWidth="1"/>
    <col min="3" max="3" width="20.6640625" bestFit="1" customWidth="1"/>
    <col min="5" max="5" width="11" bestFit="1" customWidth="1"/>
    <col min="6" max="6" width="20" bestFit="1" customWidth="1"/>
    <col min="7" max="7" width="20.88671875" bestFit="1" customWidth="1"/>
    <col min="8" max="8" width="12" bestFit="1" customWidth="1"/>
    <col min="10" max="10" width="11" bestFit="1" customWidth="1"/>
    <col min="12" max="12" width="12" bestFit="1" customWidth="1"/>
  </cols>
  <sheetData>
    <row r="1" spans="1:8" ht="18" x14ac:dyDescent="0.35">
      <c r="A1" s="52" t="s">
        <v>186</v>
      </c>
      <c r="G1" s="52" t="s">
        <v>189</v>
      </c>
    </row>
    <row r="3" spans="1:8" x14ac:dyDescent="0.3">
      <c r="A3" s="37" t="s">
        <v>175</v>
      </c>
      <c r="G3" s="37" t="s">
        <v>175</v>
      </c>
    </row>
    <row r="4" spans="1:8" x14ac:dyDescent="0.3">
      <c r="A4" s="28" t="s">
        <v>171</v>
      </c>
      <c r="B4" s="48">
        <v>101</v>
      </c>
      <c r="G4" s="28" t="s">
        <v>171</v>
      </c>
      <c r="H4" s="48">
        <v>101</v>
      </c>
    </row>
    <row r="5" spans="1:8" x14ac:dyDescent="0.3">
      <c r="A5" s="28" t="s">
        <v>172</v>
      </c>
      <c r="B5" s="48">
        <v>135</v>
      </c>
      <c r="G5" s="28" t="s">
        <v>172</v>
      </c>
      <c r="H5" s="48">
        <v>135</v>
      </c>
    </row>
    <row r="6" spans="1:8" x14ac:dyDescent="0.3">
      <c r="A6" s="28" t="s">
        <v>162</v>
      </c>
      <c r="B6" s="48">
        <v>100</v>
      </c>
      <c r="G6" s="28" t="s">
        <v>190</v>
      </c>
      <c r="H6" s="48">
        <v>100</v>
      </c>
    </row>
    <row r="7" spans="1:8" x14ac:dyDescent="0.3">
      <c r="A7" s="28" t="s">
        <v>173</v>
      </c>
      <c r="B7" s="48">
        <v>29</v>
      </c>
      <c r="G7" s="28" t="s">
        <v>191</v>
      </c>
      <c r="H7" s="48">
        <v>100</v>
      </c>
    </row>
    <row r="8" spans="1:8" x14ac:dyDescent="0.3">
      <c r="A8" s="28" t="s">
        <v>174</v>
      </c>
      <c r="B8" s="48">
        <v>45</v>
      </c>
      <c r="G8" s="28" t="s">
        <v>173</v>
      </c>
      <c r="H8" s="48">
        <v>29</v>
      </c>
    </row>
    <row r="9" spans="1:8" x14ac:dyDescent="0.3">
      <c r="A9" s="28" t="s">
        <v>163</v>
      </c>
      <c r="B9" s="48">
        <v>3000</v>
      </c>
      <c r="G9" s="28" t="s">
        <v>174</v>
      </c>
      <c r="H9" s="48">
        <v>45</v>
      </c>
    </row>
    <row r="10" spans="1:8" x14ac:dyDescent="0.3">
      <c r="A10" s="28" t="s">
        <v>70</v>
      </c>
      <c r="B10" s="48">
        <f>INT(B9/60)</f>
        <v>50</v>
      </c>
      <c r="G10" s="28" t="s">
        <v>163</v>
      </c>
      <c r="H10" s="48">
        <v>3000</v>
      </c>
    </row>
    <row r="11" spans="1:8" x14ac:dyDescent="0.3">
      <c r="A11" s="28" t="s">
        <v>71</v>
      </c>
      <c r="B11" s="28">
        <f>1/B10</f>
        <v>0.02</v>
      </c>
      <c r="G11" s="28" t="s">
        <v>70</v>
      </c>
      <c r="H11" s="48">
        <f>INT(H10/60)</f>
        <v>50</v>
      </c>
    </row>
    <row r="12" spans="1:8" x14ac:dyDescent="0.3">
      <c r="A12" s="1" t="s">
        <v>177</v>
      </c>
      <c r="B12" s="1">
        <f>(1000*B4*B5*B6)</f>
        <v>1363500000</v>
      </c>
      <c r="G12" s="28" t="s">
        <v>71</v>
      </c>
      <c r="H12" s="28">
        <f>1/H11</f>
        <v>0.02</v>
      </c>
    </row>
    <row r="13" spans="1:8" x14ac:dyDescent="0.3">
      <c r="A13" s="1" t="s">
        <v>178</v>
      </c>
      <c r="B13" s="1">
        <f>(B7*(273+B8))</f>
        <v>9222</v>
      </c>
      <c r="G13" s="1" t="s">
        <v>177</v>
      </c>
      <c r="H13" s="1">
        <f>(10*H4*H5*H6*H7)</f>
        <v>1363500000</v>
      </c>
    </row>
    <row r="14" spans="1:8" x14ac:dyDescent="0.3">
      <c r="A14" s="1" t="s">
        <v>179</v>
      </c>
      <c r="B14" s="1">
        <f>INT(B12/B13)</f>
        <v>147852</v>
      </c>
      <c r="G14" s="1" t="s">
        <v>178</v>
      </c>
      <c r="H14" s="1">
        <f>(H8*(273+H9))</f>
        <v>9222</v>
      </c>
    </row>
    <row r="15" spans="1:8" x14ac:dyDescent="0.3">
      <c r="A15" s="1" t="s">
        <v>182</v>
      </c>
      <c r="B15" s="51">
        <f>(B14*B9)/3000</f>
        <v>147852</v>
      </c>
      <c r="C15">
        <f>B15/10000000</f>
        <v>1.47852E-2</v>
      </c>
      <c r="G15" s="1" t="s">
        <v>179</v>
      </c>
      <c r="H15" s="1">
        <f>INT(H13/H14)</f>
        <v>147852</v>
      </c>
    </row>
    <row r="16" spans="1:8" x14ac:dyDescent="0.3">
      <c r="G16" s="1" t="s">
        <v>182</v>
      </c>
      <c r="H16" s="51">
        <f>(H15*H10)/3000</f>
        <v>147852</v>
      </c>
    </row>
    <row r="17" spans="1:8" x14ac:dyDescent="0.3">
      <c r="A17" s="37" t="s">
        <v>176</v>
      </c>
      <c r="C17" s="40"/>
    </row>
    <row r="18" spans="1:8" x14ac:dyDescent="0.3">
      <c r="A18" s="28" t="s">
        <v>161</v>
      </c>
      <c r="B18" s="48">
        <v>132</v>
      </c>
    </row>
    <row r="19" spans="1:8" x14ac:dyDescent="0.3">
      <c r="A19" s="28" t="s">
        <v>164</v>
      </c>
      <c r="B19" s="48">
        <v>100</v>
      </c>
      <c r="C19" s="47"/>
      <c r="G19" s="28" t="s">
        <v>161</v>
      </c>
      <c r="H19" s="48">
        <v>132</v>
      </c>
    </row>
    <row r="20" spans="1:8" x14ac:dyDescent="0.3">
      <c r="A20" s="1" t="s">
        <v>183</v>
      </c>
      <c r="B20" s="1">
        <f>INT(10000*B15/(B18*B19))</f>
        <v>112009</v>
      </c>
      <c r="C20">
        <f>C15/13.2</f>
        <v>1.1200909090909091E-3</v>
      </c>
      <c r="G20" s="28" t="s">
        <v>192</v>
      </c>
      <c r="H20" s="48">
        <v>100</v>
      </c>
    </row>
    <row r="21" spans="1:8" x14ac:dyDescent="0.3">
      <c r="A21" s="37"/>
      <c r="C21">
        <f>B20/100000000</f>
        <v>1.12009E-3</v>
      </c>
      <c r="G21" s="1" t="s">
        <v>183</v>
      </c>
      <c r="H21" s="1">
        <f>INT(10000*H16/(H19*H20))</f>
        <v>112009</v>
      </c>
    </row>
    <row r="22" spans="1:8" x14ac:dyDescent="0.3">
      <c r="A22" s="37" t="s">
        <v>180</v>
      </c>
    </row>
    <row r="23" spans="1:8" x14ac:dyDescent="0.3">
      <c r="A23" s="28" t="s">
        <v>167</v>
      </c>
      <c r="B23" s="48">
        <v>100</v>
      </c>
    </row>
    <row r="24" spans="1:8" x14ac:dyDescent="0.3">
      <c r="A24" s="28" t="s">
        <v>166</v>
      </c>
      <c r="B24" s="48">
        <v>100</v>
      </c>
    </row>
    <row r="25" spans="1:8" x14ac:dyDescent="0.3">
      <c r="A25" s="28" t="s">
        <v>169</v>
      </c>
      <c r="B25" s="48">
        <v>100</v>
      </c>
    </row>
    <row r="26" spans="1:8" x14ac:dyDescent="0.3">
      <c r="A26" s="28" t="s">
        <v>165</v>
      </c>
      <c r="B26" s="48">
        <v>1</v>
      </c>
    </row>
    <row r="27" spans="1:8" x14ac:dyDescent="0.3">
      <c r="A27" s="28" t="s">
        <v>168</v>
      </c>
      <c r="B27" s="48">
        <v>1</v>
      </c>
    </row>
    <row r="28" spans="1:8" x14ac:dyDescent="0.3">
      <c r="A28" s="28" t="s">
        <v>170</v>
      </c>
      <c r="B28" s="48">
        <f>(B23*B24*B25*B26*B27)/1000</f>
        <v>1000</v>
      </c>
    </row>
    <row r="29" spans="1:8" x14ac:dyDescent="0.3">
      <c r="D29" s="7"/>
    </row>
    <row r="30" spans="1:8" x14ac:dyDescent="0.3">
      <c r="A30" s="37" t="s">
        <v>181</v>
      </c>
    </row>
    <row r="31" spans="1:8" x14ac:dyDescent="0.3">
      <c r="A31" s="1" t="s">
        <v>183</v>
      </c>
      <c r="B31" s="1">
        <f>INT((B20*B28)/1000)</f>
        <v>112009</v>
      </c>
      <c r="C31">
        <f>B31/100000000</f>
        <v>1.12009E-3</v>
      </c>
    </row>
    <row r="33" spans="1:3" x14ac:dyDescent="0.3">
      <c r="A33" s="37" t="s">
        <v>184</v>
      </c>
    </row>
    <row r="34" spans="1:3" x14ac:dyDescent="0.3">
      <c r="A34" s="28" t="s">
        <v>153</v>
      </c>
      <c r="B34" s="28">
        <v>1000</v>
      </c>
    </row>
    <row r="35" spans="1:3" x14ac:dyDescent="0.3">
      <c r="A35" s="28" t="s">
        <v>152</v>
      </c>
      <c r="B35" s="28">
        <v>50</v>
      </c>
    </row>
    <row r="36" spans="1:3" x14ac:dyDescent="0.3">
      <c r="A36" s="28" t="s">
        <v>151</v>
      </c>
      <c r="B36" s="28">
        <f>1/B35</f>
        <v>0.02</v>
      </c>
    </row>
    <row r="37" spans="1:3" x14ac:dyDescent="0.3">
      <c r="A37" s="28" t="s">
        <v>150</v>
      </c>
      <c r="B37" s="28">
        <f>0.001</f>
        <v>1E-3</v>
      </c>
    </row>
    <row r="38" spans="1:3" x14ac:dyDescent="0.3">
      <c r="A38" s="28" t="s">
        <v>149</v>
      </c>
      <c r="B38" s="28">
        <f>(B37/B36)*100</f>
        <v>5</v>
      </c>
    </row>
    <row r="39" spans="1:3" x14ac:dyDescent="0.3">
      <c r="A39" s="28" t="s">
        <v>154</v>
      </c>
      <c r="B39" s="28">
        <f>(B38/100)*B34</f>
        <v>50</v>
      </c>
    </row>
    <row r="40" spans="1:3" x14ac:dyDescent="0.3">
      <c r="A40" s="28" t="s">
        <v>155</v>
      </c>
      <c r="B40" s="28">
        <v>85</v>
      </c>
    </row>
    <row r="41" spans="1:3" x14ac:dyDescent="0.3">
      <c r="A41" s="28" t="s">
        <v>156</v>
      </c>
      <c r="B41" s="28">
        <f>B40-B38</f>
        <v>80</v>
      </c>
    </row>
    <row r="42" spans="1:3" x14ac:dyDescent="0.3">
      <c r="A42" s="18" t="s">
        <v>147</v>
      </c>
      <c r="B42" s="1">
        <v>0.75</v>
      </c>
    </row>
    <row r="43" spans="1:3" x14ac:dyDescent="0.3">
      <c r="A43" s="28" t="s">
        <v>158</v>
      </c>
      <c r="B43" s="48">
        <v>150</v>
      </c>
    </row>
    <row r="44" spans="1:3" x14ac:dyDescent="0.3">
      <c r="A44" s="28" t="s">
        <v>185</v>
      </c>
      <c r="B44" s="50">
        <f>B43/60</f>
        <v>2.5</v>
      </c>
    </row>
    <row r="45" spans="1:3" x14ac:dyDescent="0.3">
      <c r="A45" s="28" t="s">
        <v>187</v>
      </c>
      <c r="B45" s="50">
        <f>B44*B42</f>
        <v>1.875</v>
      </c>
    </row>
    <row r="46" spans="1:3" x14ac:dyDescent="0.3">
      <c r="A46" s="28" t="s">
        <v>188</v>
      </c>
      <c r="B46" s="46">
        <f>B45/50</f>
        <v>3.7499999999999999E-2</v>
      </c>
    </row>
    <row r="47" spans="1:3" x14ac:dyDescent="0.3">
      <c r="A47" s="28" t="s">
        <v>188</v>
      </c>
      <c r="B47" s="41">
        <f>B46*10000000</f>
        <v>375000</v>
      </c>
    </row>
    <row r="48" spans="1:3" x14ac:dyDescent="0.3">
      <c r="A48" s="28" t="s">
        <v>104</v>
      </c>
      <c r="B48" s="49">
        <f>B31/B47</f>
        <v>0.29869066666666666</v>
      </c>
      <c r="C48">
        <f>(299*B31)/1000</f>
        <v>33490.690999999999</v>
      </c>
    </row>
    <row r="49" spans="1:3" x14ac:dyDescent="0.3">
      <c r="A49" s="28" t="s">
        <v>159</v>
      </c>
      <c r="B49" s="48">
        <f>INT(800*B48)</f>
        <v>238</v>
      </c>
      <c r="C49">
        <f>2^32</f>
        <v>4294967296</v>
      </c>
    </row>
    <row r="54" spans="1:3" x14ac:dyDescent="0.3">
      <c r="A54" s="33"/>
      <c r="B54" s="36"/>
    </row>
  </sheetData>
  <pageMargins left="0.7" right="0.7" top="0.75" bottom="0.75" header="0.3" footer="0.3"/>
  <pageSetup paperSize="9" orientation="portrait" horizontalDpi="30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3E10A-3A4E-46DF-94C4-62F74B5A576D}">
  <dimension ref="A1:H15"/>
  <sheetViews>
    <sheetView workbookViewId="0">
      <selection activeCell="H15" sqref="H15"/>
    </sheetView>
  </sheetViews>
  <sheetFormatPr defaultRowHeight="14.4" x14ac:dyDescent="0.3"/>
  <cols>
    <col min="1" max="1" width="16.44140625" bestFit="1" customWidth="1"/>
    <col min="6" max="6" width="12.33203125" bestFit="1" customWidth="1"/>
    <col min="7" max="7" width="12" bestFit="1" customWidth="1"/>
  </cols>
  <sheetData>
    <row r="1" spans="1:8" x14ac:dyDescent="0.3">
      <c r="A1" s="1" t="s">
        <v>193</v>
      </c>
      <c r="B1" s="1">
        <v>11.99</v>
      </c>
    </row>
    <row r="2" spans="1:8" x14ac:dyDescent="0.3">
      <c r="A2" s="1" t="s">
        <v>194</v>
      </c>
      <c r="B2" s="1">
        <v>11.66</v>
      </c>
    </row>
    <row r="3" spans="1:8" x14ac:dyDescent="0.3">
      <c r="A3" s="1" t="s">
        <v>204</v>
      </c>
      <c r="B3" s="1">
        <f>B1-B2</f>
        <v>0.33000000000000007</v>
      </c>
      <c r="C3">
        <f>B3/(B13/4096)</f>
        <v>389.23620484091083</v>
      </c>
      <c r="F3" s="7" t="s">
        <v>203</v>
      </c>
    </row>
    <row r="4" spans="1:8" x14ac:dyDescent="0.3">
      <c r="A4" s="1" t="s">
        <v>195</v>
      </c>
      <c r="B4" s="1">
        <f>39000</f>
        <v>39000</v>
      </c>
      <c r="F4" s="7">
        <v>1.93</v>
      </c>
      <c r="G4" t="s">
        <v>201</v>
      </c>
      <c r="H4" t="s">
        <v>197</v>
      </c>
    </row>
    <row r="5" spans="1:8" x14ac:dyDescent="0.3">
      <c r="A5" s="1" t="s">
        <v>196</v>
      </c>
      <c r="B5" s="53">
        <f>11000*0.992</f>
        <v>10912</v>
      </c>
      <c r="F5" s="7">
        <v>2.58</v>
      </c>
      <c r="G5" t="s">
        <v>202</v>
      </c>
    </row>
    <row r="6" spans="1:8" x14ac:dyDescent="0.3">
      <c r="A6" s="1" t="s">
        <v>206</v>
      </c>
      <c r="B6" s="1">
        <f>B2*(B5/(B5+B4))</f>
        <v>2.5491649302772879</v>
      </c>
    </row>
    <row r="8" spans="1:8" x14ac:dyDescent="0.3">
      <c r="A8" s="1" t="s">
        <v>209</v>
      </c>
      <c r="B8" s="1">
        <f>B6-B10</f>
        <v>-8.3506972271196744E-4</v>
      </c>
    </row>
    <row r="10" spans="1:8" x14ac:dyDescent="0.3">
      <c r="A10" s="18" t="s">
        <v>198</v>
      </c>
      <c r="B10" s="1">
        <v>2.5499999999999998</v>
      </c>
    </row>
    <row r="11" spans="1:8" x14ac:dyDescent="0.3">
      <c r="A11" s="18" t="s">
        <v>205</v>
      </c>
      <c r="B11" s="1">
        <v>3007</v>
      </c>
    </row>
    <row r="12" spans="1:8" x14ac:dyDescent="0.3">
      <c r="A12" s="18" t="s">
        <v>199</v>
      </c>
      <c r="B12" s="1">
        <v>3.37</v>
      </c>
    </row>
    <row r="13" spans="1:8" x14ac:dyDescent="0.3">
      <c r="A13" s="18" t="s">
        <v>200</v>
      </c>
      <c r="B13" s="54">
        <f>(4095*2.55)/3007</f>
        <v>3.4726471566345194</v>
      </c>
    </row>
    <row r="14" spans="1:8" x14ac:dyDescent="0.3">
      <c r="A14" s="18" t="s">
        <v>207</v>
      </c>
      <c r="B14" s="51">
        <f>B13*100</f>
        <v>347.26471566345197</v>
      </c>
    </row>
    <row r="15" spans="1:8" x14ac:dyDescent="0.3">
      <c r="A15" s="18" t="s">
        <v>208</v>
      </c>
      <c r="B15" s="51">
        <f>(347*3007*455)/(4095*1000)+4</f>
        <v>119.93655555555556</v>
      </c>
      <c r="H15">
        <f>1173*255</f>
        <v>299115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A8D8D-5F5D-4451-99C0-D792CADD2CA4}">
  <dimension ref="A1:A3"/>
  <sheetViews>
    <sheetView workbookViewId="0">
      <selection activeCell="A4" sqref="A4"/>
    </sheetView>
  </sheetViews>
  <sheetFormatPr defaultRowHeight="14.4" x14ac:dyDescent="0.3"/>
  <cols>
    <col min="1" max="1" width="48.6640625" bestFit="1" customWidth="1"/>
  </cols>
  <sheetData>
    <row r="1" spans="1:1" x14ac:dyDescent="0.3">
      <c r="A1" t="s">
        <v>210</v>
      </c>
    </row>
    <row r="2" spans="1:1" x14ac:dyDescent="0.3">
      <c r="A2" s="55" t="s">
        <v>211</v>
      </c>
    </row>
    <row r="3" spans="1:1" x14ac:dyDescent="0.3">
      <c r="A3" s="55" t="s">
        <v>212</v>
      </c>
    </row>
  </sheetData>
  <hyperlinks>
    <hyperlink ref="A2" r:id="rId1" xr:uid="{D0DD2ABD-944C-444C-BEFB-12ABBB9B4E8A}"/>
    <hyperlink ref="A3" r:id="rId2" xr:uid="{654B3381-4FCF-44A3-BFD1-5776583AA5D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D6783-6EE7-41D2-9C4F-7E0A00BA49D7}">
  <dimension ref="A1:B13"/>
  <sheetViews>
    <sheetView workbookViewId="0">
      <selection activeCell="B12" sqref="B12"/>
    </sheetView>
  </sheetViews>
  <sheetFormatPr defaultRowHeight="14.4" x14ac:dyDescent="0.3"/>
  <cols>
    <col min="1" max="1" width="21.77734375" bestFit="1" customWidth="1"/>
    <col min="2" max="2" width="155.6640625" bestFit="1" customWidth="1"/>
  </cols>
  <sheetData>
    <row r="1" spans="1:2" x14ac:dyDescent="0.3">
      <c r="A1" s="13" t="s">
        <v>36</v>
      </c>
      <c r="B1" s="13" t="s">
        <v>37</v>
      </c>
    </row>
    <row r="2" spans="1:2" x14ac:dyDescent="0.3">
      <c r="A2" s="2" t="s">
        <v>35</v>
      </c>
      <c r="B2" s="25" t="s">
        <v>38</v>
      </c>
    </row>
    <row r="3" spans="1:2" x14ac:dyDescent="0.3">
      <c r="A3" s="1" t="s">
        <v>41</v>
      </c>
      <c r="B3" s="14" t="s">
        <v>39</v>
      </c>
    </row>
    <row r="4" spans="1:2" x14ac:dyDescent="0.3">
      <c r="A4" s="1" t="s">
        <v>42</v>
      </c>
      <c r="B4" s="14" t="s">
        <v>40</v>
      </c>
    </row>
    <row r="5" spans="1:2" x14ac:dyDescent="0.3">
      <c r="A5" s="1" t="s">
        <v>63</v>
      </c>
      <c r="B5" s="14" t="s">
        <v>62</v>
      </c>
    </row>
    <row r="6" spans="1:2" x14ac:dyDescent="0.3">
      <c r="A6" s="1" t="s">
        <v>65</v>
      </c>
      <c r="B6" s="14" t="s">
        <v>64</v>
      </c>
    </row>
    <row r="7" spans="1:2" x14ac:dyDescent="0.3">
      <c r="A7" s="1" t="s">
        <v>78</v>
      </c>
      <c r="B7" s="14" t="s">
        <v>77</v>
      </c>
    </row>
    <row r="8" spans="1:2" x14ac:dyDescent="0.3">
      <c r="A8" s="1"/>
      <c r="B8" s="1"/>
    </row>
    <row r="9" spans="1:2" x14ac:dyDescent="0.3">
      <c r="A9" s="1"/>
      <c r="B9" s="1"/>
    </row>
    <row r="10" spans="1:2" x14ac:dyDescent="0.3">
      <c r="A10" s="1"/>
      <c r="B10" s="1"/>
    </row>
    <row r="11" spans="1:2" x14ac:dyDescent="0.3">
      <c r="A11" s="1"/>
      <c r="B11" s="1"/>
    </row>
    <row r="12" spans="1:2" x14ac:dyDescent="0.3">
      <c r="A12" s="1"/>
      <c r="B12" s="1"/>
    </row>
    <row r="13" spans="1:2" x14ac:dyDescent="0.3">
      <c r="A13" s="1"/>
      <c r="B13" s="1"/>
    </row>
  </sheetData>
  <hyperlinks>
    <hyperlink ref="B2" r:id="rId1" location="reqfuel" xr:uid="{67185F76-2EAC-44CA-AA3B-A1B02D17B0F1}"/>
    <hyperlink ref="B3" r:id="rId2" xr:uid="{D840B3BA-FE96-4C24-B637-944652750539}"/>
    <hyperlink ref="B4" r:id="rId3" xr:uid="{AB76B3FD-E6D3-49D7-B866-219C141FA2E8}"/>
    <hyperlink ref="B5" r:id="rId4" xr:uid="{7C185AA0-683A-4C57-8616-85AA0AA918E2}"/>
    <hyperlink ref="B6" r:id="rId5" xr:uid="{B280009B-31EE-420D-9DED-5E1161DD8F2C}"/>
    <hyperlink ref="B7" r:id="rId6" xr:uid="{76BE7956-6A54-4ED3-BCEB-8AC50C64E682}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2DB53-7446-42E0-83E7-DD98B5115F93}">
  <dimension ref="A1:F51"/>
  <sheetViews>
    <sheetView workbookViewId="0">
      <selection activeCell="J44" sqref="J44"/>
    </sheetView>
  </sheetViews>
  <sheetFormatPr defaultRowHeight="14.4" x14ac:dyDescent="0.3"/>
  <cols>
    <col min="2" max="2" width="86" customWidth="1"/>
    <col min="4" max="4" width="10.33203125" bestFit="1" customWidth="1"/>
  </cols>
  <sheetData>
    <row r="1" spans="1:6" x14ac:dyDescent="0.3">
      <c r="A1" s="6" t="s">
        <v>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17</v>
      </c>
    </row>
    <row r="2" spans="1:6" x14ac:dyDescent="0.3">
      <c r="A2" s="4">
        <v>1</v>
      </c>
      <c r="B2" s="3" t="s">
        <v>9</v>
      </c>
      <c r="C2" s="4" t="s">
        <v>4</v>
      </c>
      <c r="D2" s="5">
        <v>44340</v>
      </c>
      <c r="E2" s="4" t="s">
        <v>5</v>
      </c>
      <c r="F2" s="4" t="s">
        <v>5</v>
      </c>
    </row>
    <row r="3" spans="1:6" ht="28.8" x14ac:dyDescent="0.3">
      <c r="A3" s="4">
        <v>2</v>
      </c>
      <c r="B3" s="3" t="s">
        <v>10</v>
      </c>
      <c r="C3" s="4" t="s">
        <v>4</v>
      </c>
      <c r="D3" s="5">
        <v>44340</v>
      </c>
      <c r="E3" s="4" t="s">
        <v>5</v>
      </c>
      <c r="F3" s="4" t="s">
        <v>5</v>
      </c>
    </row>
    <row r="4" spans="1:6" x14ac:dyDescent="0.3">
      <c r="A4" s="4">
        <v>3</v>
      </c>
      <c r="B4" s="3"/>
      <c r="C4" s="4"/>
      <c r="D4" s="4"/>
      <c r="E4" s="4"/>
      <c r="F4" s="4"/>
    </row>
    <row r="5" spans="1:6" x14ac:dyDescent="0.3">
      <c r="A5" s="4">
        <v>4</v>
      </c>
      <c r="B5" s="3"/>
      <c r="C5" s="4"/>
      <c r="D5" s="4"/>
      <c r="E5" s="4"/>
      <c r="F5" s="4"/>
    </row>
    <row r="6" spans="1:6" x14ac:dyDescent="0.3">
      <c r="A6" s="4">
        <v>5</v>
      </c>
      <c r="B6" s="3"/>
      <c r="C6" s="4"/>
      <c r="D6" s="4"/>
      <c r="E6" s="4"/>
      <c r="F6" s="4"/>
    </row>
    <row r="7" spans="1:6" x14ac:dyDescent="0.3">
      <c r="A7" s="4">
        <v>6</v>
      </c>
      <c r="B7" s="3"/>
      <c r="C7" s="4"/>
      <c r="D7" s="4"/>
      <c r="E7" s="4"/>
      <c r="F7" s="4"/>
    </row>
    <row r="8" spans="1:6" x14ac:dyDescent="0.3">
      <c r="A8" s="4">
        <v>7</v>
      </c>
      <c r="B8" s="3"/>
      <c r="C8" s="4"/>
      <c r="D8" s="4"/>
      <c r="E8" s="4"/>
      <c r="F8" s="4"/>
    </row>
    <row r="9" spans="1:6" x14ac:dyDescent="0.3">
      <c r="A9" s="4">
        <v>8</v>
      </c>
      <c r="B9" s="3"/>
      <c r="C9" s="4"/>
      <c r="D9" s="4"/>
      <c r="E9" s="4"/>
      <c r="F9" s="4"/>
    </row>
    <row r="10" spans="1:6" x14ac:dyDescent="0.3">
      <c r="A10" s="4">
        <v>9</v>
      </c>
      <c r="B10" s="3"/>
      <c r="C10" s="4"/>
      <c r="D10" s="4"/>
      <c r="E10" s="4"/>
      <c r="F10" s="4"/>
    </row>
    <row r="11" spans="1:6" x14ac:dyDescent="0.3">
      <c r="A11" s="4">
        <v>10</v>
      </c>
      <c r="B11" s="3"/>
      <c r="C11" s="4"/>
      <c r="D11" s="4"/>
      <c r="E11" s="4"/>
      <c r="F11" s="4"/>
    </row>
    <row r="12" spans="1:6" x14ac:dyDescent="0.3">
      <c r="A12" s="4">
        <v>11</v>
      </c>
      <c r="B12" s="3"/>
      <c r="C12" s="4"/>
      <c r="D12" s="4"/>
      <c r="E12" s="4"/>
      <c r="F12" s="4"/>
    </row>
    <row r="13" spans="1:6" x14ac:dyDescent="0.3">
      <c r="A13" s="4">
        <v>12</v>
      </c>
      <c r="B13" s="3"/>
      <c r="C13" s="4"/>
      <c r="D13" s="4"/>
      <c r="E13" s="4"/>
      <c r="F13" s="4"/>
    </row>
    <row r="14" spans="1:6" x14ac:dyDescent="0.3">
      <c r="A14" s="4">
        <v>13</v>
      </c>
      <c r="B14" s="3"/>
      <c r="C14" s="4"/>
      <c r="D14" s="4"/>
      <c r="E14" s="4"/>
      <c r="F14" s="4"/>
    </row>
    <row r="15" spans="1:6" x14ac:dyDescent="0.3">
      <c r="A15" s="4">
        <v>14</v>
      </c>
      <c r="B15" s="3"/>
      <c r="C15" s="4"/>
      <c r="D15" s="4"/>
      <c r="E15" s="4"/>
      <c r="F15" s="4"/>
    </row>
    <row r="16" spans="1:6" x14ac:dyDescent="0.3">
      <c r="A16" s="4">
        <v>15</v>
      </c>
      <c r="B16" s="3"/>
      <c r="C16" s="4"/>
      <c r="D16" s="4"/>
      <c r="E16" s="4"/>
      <c r="F16" s="4"/>
    </row>
    <row r="17" spans="1:6" x14ac:dyDescent="0.3">
      <c r="A17" s="4">
        <v>16</v>
      </c>
      <c r="B17" s="3"/>
      <c r="C17" s="4"/>
      <c r="D17" s="4"/>
      <c r="E17" s="4"/>
      <c r="F17" s="4"/>
    </row>
    <row r="18" spans="1:6" x14ac:dyDescent="0.3">
      <c r="A18" s="4">
        <v>17</v>
      </c>
      <c r="B18" s="3"/>
      <c r="C18" s="4"/>
      <c r="D18" s="4"/>
      <c r="E18" s="4"/>
      <c r="F18" s="4"/>
    </row>
    <row r="19" spans="1:6" x14ac:dyDescent="0.3">
      <c r="A19" s="4">
        <v>18</v>
      </c>
      <c r="B19" s="3"/>
      <c r="C19" s="4"/>
      <c r="D19" s="4"/>
      <c r="E19" s="4"/>
      <c r="F19" s="4"/>
    </row>
    <row r="20" spans="1:6" x14ac:dyDescent="0.3">
      <c r="A20" s="4">
        <v>19</v>
      </c>
      <c r="B20" s="3"/>
      <c r="C20" s="4"/>
      <c r="D20" s="4"/>
      <c r="E20" s="4"/>
      <c r="F20" s="4"/>
    </row>
    <row r="21" spans="1:6" x14ac:dyDescent="0.3">
      <c r="A21" s="4">
        <v>20</v>
      </c>
      <c r="B21" s="3"/>
      <c r="C21" s="4"/>
      <c r="D21" s="4"/>
      <c r="E21" s="4"/>
      <c r="F21" s="4"/>
    </row>
    <row r="22" spans="1:6" x14ac:dyDescent="0.3">
      <c r="A22" s="4">
        <v>21</v>
      </c>
      <c r="B22" s="3"/>
      <c r="C22" s="4"/>
      <c r="D22" s="4"/>
      <c r="E22" s="4"/>
      <c r="F22" s="4"/>
    </row>
    <row r="23" spans="1:6" x14ac:dyDescent="0.3">
      <c r="A23" s="4">
        <v>22</v>
      </c>
      <c r="B23" s="3"/>
      <c r="C23" s="4"/>
      <c r="D23" s="4"/>
      <c r="E23" s="4"/>
      <c r="F23" s="4"/>
    </row>
    <row r="24" spans="1:6" x14ac:dyDescent="0.3">
      <c r="A24" s="4">
        <v>23</v>
      </c>
      <c r="B24" s="3"/>
      <c r="C24" s="4"/>
      <c r="D24" s="4"/>
      <c r="E24" s="4"/>
      <c r="F24" s="4"/>
    </row>
    <row r="25" spans="1:6" x14ac:dyDescent="0.3">
      <c r="A25" s="4">
        <v>24</v>
      </c>
      <c r="B25" s="3"/>
      <c r="C25" s="4"/>
      <c r="D25" s="4"/>
      <c r="E25" s="4"/>
      <c r="F25" s="4"/>
    </row>
    <row r="26" spans="1:6" x14ac:dyDescent="0.3">
      <c r="A26" s="4">
        <v>25</v>
      </c>
      <c r="B26" s="3"/>
      <c r="C26" s="4"/>
      <c r="D26" s="4"/>
      <c r="E26" s="4"/>
      <c r="F26" s="4"/>
    </row>
    <row r="27" spans="1:6" x14ac:dyDescent="0.3">
      <c r="A27" s="4">
        <v>26</v>
      </c>
      <c r="B27" s="3"/>
      <c r="C27" s="4"/>
      <c r="D27" s="4"/>
      <c r="E27" s="4"/>
      <c r="F27" s="4"/>
    </row>
    <row r="28" spans="1:6" x14ac:dyDescent="0.3">
      <c r="A28" s="4">
        <v>27</v>
      </c>
      <c r="B28" s="3"/>
      <c r="C28" s="4"/>
      <c r="D28" s="4"/>
      <c r="E28" s="4"/>
      <c r="F28" s="4"/>
    </row>
    <row r="29" spans="1:6" x14ac:dyDescent="0.3">
      <c r="A29" s="4">
        <v>28</v>
      </c>
      <c r="B29" s="3"/>
      <c r="C29" s="4"/>
      <c r="D29" s="4"/>
      <c r="E29" s="4"/>
      <c r="F29" s="4"/>
    </row>
    <row r="30" spans="1:6" x14ac:dyDescent="0.3">
      <c r="A30" s="4">
        <v>29</v>
      </c>
      <c r="B30" s="3"/>
      <c r="C30" s="4"/>
      <c r="D30" s="4"/>
      <c r="E30" s="4"/>
      <c r="F30" s="4"/>
    </row>
    <row r="31" spans="1:6" x14ac:dyDescent="0.3">
      <c r="A31" s="4">
        <v>30</v>
      </c>
      <c r="B31" s="3"/>
      <c r="C31" s="4"/>
      <c r="D31" s="4"/>
      <c r="E31" s="4"/>
      <c r="F31" s="4"/>
    </row>
    <row r="32" spans="1:6" x14ac:dyDescent="0.3">
      <c r="A32" s="4">
        <v>31</v>
      </c>
      <c r="B32" s="3"/>
      <c r="C32" s="4"/>
      <c r="D32" s="4"/>
      <c r="E32" s="4"/>
      <c r="F32" s="4"/>
    </row>
    <row r="33" spans="1:6" x14ac:dyDescent="0.3">
      <c r="A33" s="4">
        <v>32</v>
      </c>
      <c r="B33" s="3"/>
      <c r="C33" s="4"/>
      <c r="D33" s="4"/>
      <c r="E33" s="4"/>
      <c r="F33" s="4"/>
    </row>
    <row r="34" spans="1:6" x14ac:dyDescent="0.3">
      <c r="A34" s="4">
        <v>33</v>
      </c>
      <c r="B34" s="3"/>
      <c r="C34" s="4"/>
      <c r="D34" s="4"/>
      <c r="E34" s="4"/>
      <c r="F34" s="4"/>
    </row>
    <row r="35" spans="1:6" x14ac:dyDescent="0.3">
      <c r="A35" s="4">
        <v>34</v>
      </c>
      <c r="B35" s="3"/>
      <c r="C35" s="4"/>
      <c r="D35" s="4"/>
      <c r="E35" s="4"/>
      <c r="F35" s="4"/>
    </row>
    <row r="36" spans="1:6" x14ac:dyDescent="0.3">
      <c r="A36" s="4">
        <v>35</v>
      </c>
      <c r="B36" s="3"/>
      <c r="C36" s="4"/>
      <c r="D36" s="4"/>
      <c r="E36" s="4"/>
      <c r="F36" s="4"/>
    </row>
    <row r="37" spans="1:6" x14ac:dyDescent="0.3">
      <c r="A37" s="4">
        <v>36</v>
      </c>
      <c r="B37" s="3"/>
      <c r="C37" s="4"/>
      <c r="D37" s="4"/>
      <c r="E37" s="4"/>
      <c r="F37" s="4"/>
    </row>
    <row r="38" spans="1:6" x14ac:dyDescent="0.3">
      <c r="A38" s="4">
        <v>37</v>
      </c>
      <c r="B38" s="3"/>
      <c r="C38" s="4"/>
      <c r="D38" s="4"/>
      <c r="E38" s="4"/>
      <c r="F38" s="4"/>
    </row>
    <row r="39" spans="1:6" x14ac:dyDescent="0.3">
      <c r="A39" s="4">
        <v>38</v>
      </c>
      <c r="B39" s="3"/>
      <c r="C39" s="4"/>
      <c r="D39" s="4"/>
      <c r="E39" s="4"/>
      <c r="F39" s="4"/>
    </row>
    <row r="40" spans="1:6" x14ac:dyDescent="0.3">
      <c r="A40" s="4">
        <v>39</v>
      </c>
      <c r="B40" s="3"/>
      <c r="C40" s="4"/>
      <c r="D40" s="4"/>
      <c r="E40" s="4"/>
      <c r="F40" s="4"/>
    </row>
    <row r="41" spans="1:6" x14ac:dyDescent="0.3">
      <c r="A41" s="4">
        <v>40</v>
      </c>
      <c r="B41" s="3"/>
      <c r="C41" s="4"/>
      <c r="D41" s="4"/>
      <c r="E41" s="4"/>
      <c r="F41" s="4"/>
    </row>
    <row r="42" spans="1:6" x14ac:dyDescent="0.3">
      <c r="A42" s="4">
        <v>41</v>
      </c>
      <c r="B42" s="3"/>
      <c r="C42" s="4"/>
      <c r="D42" s="4"/>
      <c r="E42" s="4"/>
      <c r="F42" s="4"/>
    </row>
    <row r="43" spans="1:6" x14ac:dyDescent="0.3">
      <c r="A43" s="4">
        <v>42</v>
      </c>
      <c r="B43" s="3"/>
      <c r="C43" s="4"/>
      <c r="D43" s="4"/>
      <c r="E43" s="4"/>
      <c r="F43" s="4"/>
    </row>
    <row r="44" spans="1:6" x14ac:dyDescent="0.3">
      <c r="A44" s="4">
        <v>43</v>
      </c>
      <c r="B44" s="3"/>
      <c r="C44" s="4"/>
      <c r="D44" s="4"/>
      <c r="E44" s="4"/>
      <c r="F44" s="4"/>
    </row>
    <row r="45" spans="1:6" x14ac:dyDescent="0.3">
      <c r="A45" s="4">
        <v>44</v>
      </c>
      <c r="B45" s="3"/>
      <c r="C45" s="4"/>
      <c r="D45" s="4"/>
      <c r="E45" s="4"/>
      <c r="F45" s="4"/>
    </row>
    <row r="46" spans="1:6" x14ac:dyDescent="0.3">
      <c r="A46" s="4">
        <v>45</v>
      </c>
      <c r="B46" s="3"/>
      <c r="C46" s="4"/>
      <c r="D46" s="4"/>
      <c r="E46" s="4"/>
      <c r="F46" s="4"/>
    </row>
    <row r="47" spans="1:6" x14ac:dyDescent="0.3">
      <c r="A47" s="4">
        <v>46</v>
      </c>
      <c r="B47" s="3"/>
      <c r="C47" s="4"/>
      <c r="D47" s="4"/>
      <c r="E47" s="4"/>
      <c r="F47" s="4"/>
    </row>
    <row r="48" spans="1:6" x14ac:dyDescent="0.3">
      <c r="A48" s="4">
        <v>47</v>
      </c>
      <c r="B48" s="3"/>
      <c r="C48" s="4"/>
      <c r="D48" s="4"/>
      <c r="E48" s="4"/>
      <c r="F48" s="4"/>
    </row>
    <row r="49" spans="1:6" x14ac:dyDescent="0.3">
      <c r="A49" s="4">
        <v>48</v>
      </c>
      <c r="B49" s="3"/>
      <c r="C49" s="4"/>
      <c r="D49" s="4"/>
      <c r="E49" s="4"/>
      <c r="F49" s="4"/>
    </row>
    <row r="50" spans="1:6" x14ac:dyDescent="0.3">
      <c r="A50" s="4">
        <v>49</v>
      </c>
      <c r="B50" s="3"/>
      <c r="C50" s="4"/>
      <c r="D50" s="4"/>
      <c r="E50" s="4"/>
      <c r="F50" s="4"/>
    </row>
    <row r="51" spans="1:6" x14ac:dyDescent="0.3">
      <c r="A51" s="4">
        <v>50</v>
      </c>
      <c r="B51" s="3"/>
      <c r="C51" s="4"/>
      <c r="D51" s="4"/>
      <c r="E51" s="4"/>
      <c r="F51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12B37-A2F7-4E00-8FC8-7B300A68307F}">
  <dimension ref="A1:E13"/>
  <sheetViews>
    <sheetView workbookViewId="0">
      <selection activeCell="E1" sqref="E1:E2"/>
    </sheetView>
  </sheetViews>
  <sheetFormatPr defaultRowHeight="14.4" x14ac:dyDescent="0.3"/>
  <cols>
    <col min="2" max="2" width="86" customWidth="1"/>
    <col min="3" max="3" width="9.88671875" bestFit="1" customWidth="1"/>
    <col min="4" max="4" width="10.33203125" bestFit="1" customWidth="1"/>
    <col min="5" max="5" width="9.33203125" bestFit="1" customWidth="1"/>
  </cols>
  <sheetData>
    <row r="1" spans="1:5" x14ac:dyDescent="0.3">
      <c r="A1" s="6" t="s">
        <v>6</v>
      </c>
      <c r="B1" s="6" t="s">
        <v>0</v>
      </c>
      <c r="C1" s="6" t="s">
        <v>11</v>
      </c>
      <c r="D1" s="6" t="s">
        <v>2</v>
      </c>
      <c r="E1" s="6" t="s">
        <v>12</v>
      </c>
    </row>
    <row r="2" spans="1:5" x14ac:dyDescent="0.3">
      <c r="A2" s="4">
        <v>1</v>
      </c>
      <c r="B2" s="3" t="s">
        <v>9</v>
      </c>
      <c r="C2" s="4" t="s">
        <v>4</v>
      </c>
      <c r="D2" s="5">
        <v>44340</v>
      </c>
      <c r="E2" s="4" t="s">
        <v>13</v>
      </c>
    </row>
    <row r="3" spans="1:5" ht="28.8" x14ac:dyDescent="0.3">
      <c r="A3" s="4">
        <v>2</v>
      </c>
      <c r="B3" s="3" t="s">
        <v>10</v>
      </c>
      <c r="C3" s="4" t="s">
        <v>4</v>
      </c>
      <c r="D3" s="5">
        <v>44340</v>
      </c>
      <c r="E3" s="4" t="s">
        <v>13</v>
      </c>
    </row>
    <row r="4" spans="1:5" x14ac:dyDescent="0.3">
      <c r="A4" s="4">
        <v>3</v>
      </c>
      <c r="B4" s="3"/>
      <c r="C4" s="4"/>
      <c r="D4" s="4"/>
      <c r="E4" s="4"/>
    </row>
    <row r="5" spans="1:5" x14ac:dyDescent="0.3">
      <c r="A5" s="4">
        <v>4</v>
      </c>
      <c r="B5" s="3"/>
      <c r="C5" s="4"/>
      <c r="D5" s="4"/>
      <c r="E5" s="4"/>
    </row>
    <row r="6" spans="1:5" x14ac:dyDescent="0.3">
      <c r="A6" s="4">
        <v>5</v>
      </c>
      <c r="B6" s="3"/>
      <c r="C6" s="4"/>
      <c r="D6" s="4"/>
      <c r="E6" s="4"/>
    </row>
    <row r="7" spans="1:5" x14ac:dyDescent="0.3">
      <c r="A7" s="4">
        <v>6</v>
      </c>
      <c r="B7" s="3"/>
      <c r="C7" s="4"/>
      <c r="D7" s="4"/>
      <c r="E7" s="4"/>
    </row>
    <row r="8" spans="1:5" x14ac:dyDescent="0.3">
      <c r="A8" s="4">
        <v>7</v>
      </c>
      <c r="B8" s="3"/>
      <c r="C8" s="4"/>
      <c r="D8" s="4"/>
      <c r="E8" s="4"/>
    </row>
    <row r="9" spans="1:5" x14ac:dyDescent="0.3">
      <c r="A9" s="4">
        <v>8</v>
      </c>
      <c r="B9" s="3"/>
      <c r="C9" s="4"/>
      <c r="D9" s="4"/>
      <c r="E9" s="4"/>
    </row>
    <row r="10" spans="1:5" x14ac:dyDescent="0.3">
      <c r="A10" s="4">
        <v>9</v>
      </c>
      <c r="B10" s="3"/>
      <c r="C10" s="4"/>
      <c r="D10" s="4"/>
      <c r="E10" s="4"/>
    </row>
    <row r="11" spans="1:5" x14ac:dyDescent="0.3">
      <c r="A11" s="4">
        <v>10</v>
      </c>
      <c r="B11" s="3"/>
      <c r="C11" s="4"/>
      <c r="D11" s="4"/>
      <c r="E11" s="4"/>
    </row>
    <row r="12" spans="1:5" x14ac:dyDescent="0.3">
      <c r="A12" s="4">
        <v>11</v>
      </c>
      <c r="B12" s="3"/>
      <c r="C12" s="4"/>
      <c r="D12" s="4"/>
      <c r="E12" s="4"/>
    </row>
    <row r="13" spans="1:5" x14ac:dyDescent="0.3">
      <c r="A13" s="4">
        <v>12</v>
      </c>
      <c r="B13" s="3"/>
      <c r="C13" s="4"/>
      <c r="D13" s="4"/>
      <c r="E13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BFF72-1E46-4738-9110-9B1B28AD5A1C}">
  <dimension ref="A1:F49"/>
  <sheetViews>
    <sheetView tabSelected="1" topLeftCell="A19" workbookViewId="0">
      <selection activeCell="D39" sqref="D39"/>
    </sheetView>
  </sheetViews>
  <sheetFormatPr defaultRowHeight="14.4" x14ac:dyDescent="0.3"/>
  <cols>
    <col min="1" max="1" width="16.6640625" bestFit="1" customWidth="1"/>
    <col min="2" max="2" width="15.5546875" bestFit="1" customWidth="1"/>
    <col min="3" max="3" width="18.5546875" bestFit="1" customWidth="1"/>
    <col min="4" max="4" width="13.5546875" bestFit="1" customWidth="1"/>
    <col min="11" max="11" width="18.5546875" bestFit="1" customWidth="1"/>
    <col min="12" max="12" width="13.5546875" bestFit="1" customWidth="1"/>
  </cols>
  <sheetData>
    <row r="1" spans="1:6" x14ac:dyDescent="0.3">
      <c r="A1" s="2" t="s">
        <v>7</v>
      </c>
      <c r="B1" s="2" t="s">
        <v>8</v>
      </c>
      <c r="C1" s="2" t="s">
        <v>288</v>
      </c>
      <c r="D1" s="2" t="s">
        <v>287</v>
      </c>
    </row>
    <row r="2" spans="1:6" x14ac:dyDescent="0.3">
      <c r="A2" s="1" t="s">
        <v>237</v>
      </c>
      <c r="B2" s="1" t="s">
        <v>237</v>
      </c>
      <c r="C2" s="2"/>
      <c r="D2" s="2"/>
    </row>
    <row r="3" spans="1:6" x14ac:dyDescent="0.3">
      <c r="A3" s="1" t="s">
        <v>227</v>
      </c>
      <c r="B3" s="1" t="s">
        <v>285</v>
      </c>
      <c r="C3" s="2" t="s">
        <v>213</v>
      </c>
      <c r="D3" s="2" t="s">
        <v>214</v>
      </c>
    </row>
    <row r="4" spans="1:6" x14ac:dyDescent="0.3">
      <c r="A4" s="1" t="s">
        <v>229</v>
      </c>
      <c r="B4" s="1" t="s">
        <v>286</v>
      </c>
      <c r="C4" s="2"/>
      <c r="D4" s="2"/>
    </row>
    <row r="5" spans="1:6" x14ac:dyDescent="0.3">
      <c r="A5" s="1" t="s">
        <v>228</v>
      </c>
      <c r="B5" s="1" t="s">
        <v>286</v>
      </c>
      <c r="C5" s="2"/>
      <c r="D5" s="2"/>
    </row>
    <row r="6" spans="1:6" x14ac:dyDescent="0.3">
      <c r="A6" s="1" t="s">
        <v>230</v>
      </c>
      <c r="B6" s="1" t="s">
        <v>231</v>
      </c>
      <c r="C6" s="2"/>
      <c r="D6" s="2"/>
    </row>
    <row r="7" spans="1:6" x14ac:dyDescent="0.3">
      <c r="A7" s="1" t="s">
        <v>233</v>
      </c>
      <c r="B7" s="1" t="s">
        <v>232</v>
      </c>
      <c r="C7" s="2"/>
      <c r="D7" s="2"/>
    </row>
    <row r="8" spans="1:6" x14ac:dyDescent="0.3">
      <c r="A8" s="1" t="s">
        <v>234</v>
      </c>
      <c r="B8" s="1" t="s">
        <v>234</v>
      </c>
      <c r="C8" s="2"/>
      <c r="D8" s="2"/>
    </row>
    <row r="9" spans="1:6" x14ac:dyDescent="0.3">
      <c r="A9" s="1" t="s">
        <v>235</v>
      </c>
      <c r="B9" s="1" t="s">
        <v>235</v>
      </c>
      <c r="C9" s="2"/>
      <c r="D9" s="2"/>
    </row>
    <row r="10" spans="1:6" x14ac:dyDescent="0.3">
      <c r="A10" s="1" t="s">
        <v>236</v>
      </c>
      <c r="B10" s="1" t="s">
        <v>236</v>
      </c>
      <c r="C10" s="2"/>
      <c r="D10" s="2"/>
    </row>
    <row r="11" spans="1:6" x14ac:dyDescent="0.3">
      <c r="A11" s="1" t="s">
        <v>244</v>
      </c>
      <c r="B11" s="1" t="s">
        <v>238</v>
      </c>
      <c r="C11" s="2" t="s">
        <v>127</v>
      </c>
      <c r="D11" s="2"/>
      <c r="E11" t="s">
        <v>293</v>
      </c>
      <c r="F11" t="s">
        <v>294</v>
      </c>
    </row>
    <row r="12" spans="1:6" x14ac:dyDescent="0.3">
      <c r="A12" s="1" t="s">
        <v>245</v>
      </c>
      <c r="B12" s="1" t="s">
        <v>239</v>
      </c>
      <c r="C12" s="2" t="s">
        <v>289</v>
      </c>
      <c r="D12" s="2"/>
      <c r="E12" t="s">
        <v>295</v>
      </c>
      <c r="F12" t="s">
        <v>294</v>
      </c>
    </row>
    <row r="13" spans="1:6" x14ac:dyDescent="0.3">
      <c r="A13" s="1" t="s">
        <v>246</v>
      </c>
      <c r="B13" s="1" t="s">
        <v>240</v>
      </c>
      <c r="C13" s="2" t="s">
        <v>290</v>
      </c>
      <c r="D13" s="2"/>
      <c r="E13" t="s">
        <v>293</v>
      </c>
      <c r="F13" t="s">
        <v>296</v>
      </c>
    </row>
    <row r="14" spans="1:6" x14ac:dyDescent="0.3">
      <c r="A14" s="1" t="s">
        <v>247</v>
      </c>
      <c r="B14" s="1" t="s">
        <v>241</v>
      </c>
      <c r="C14" s="2" t="s">
        <v>291</v>
      </c>
      <c r="D14" s="2"/>
      <c r="E14" t="s">
        <v>297</v>
      </c>
    </row>
    <row r="15" spans="1:6" x14ac:dyDescent="0.3">
      <c r="A15" s="1" t="s">
        <v>248</v>
      </c>
      <c r="B15" s="1" t="s">
        <v>242</v>
      </c>
      <c r="C15" s="2" t="s">
        <v>237</v>
      </c>
      <c r="D15" s="2"/>
      <c r="E15" t="s">
        <v>295</v>
      </c>
    </row>
    <row r="16" spans="1:6" x14ac:dyDescent="0.3">
      <c r="A16" s="1" t="s">
        <v>249</v>
      </c>
      <c r="B16" s="1" t="s">
        <v>243</v>
      </c>
      <c r="C16" s="2" t="s">
        <v>292</v>
      </c>
      <c r="D16" s="2"/>
      <c r="E16" t="s">
        <v>293</v>
      </c>
      <c r="F16" t="s">
        <v>298</v>
      </c>
    </row>
    <row r="17" spans="1:4" x14ac:dyDescent="0.3">
      <c r="A17" s="1" t="s">
        <v>250</v>
      </c>
      <c r="B17" s="1" t="s">
        <v>285</v>
      </c>
      <c r="C17" s="2"/>
      <c r="D17" s="2"/>
    </row>
    <row r="18" spans="1:4" x14ac:dyDescent="0.3">
      <c r="A18" s="1" t="s">
        <v>251</v>
      </c>
      <c r="B18" s="1" t="s">
        <v>285</v>
      </c>
      <c r="C18" s="2"/>
      <c r="D18" s="2"/>
    </row>
    <row r="19" spans="1:4" x14ac:dyDescent="0.3">
      <c r="A19" s="1" t="s">
        <v>252</v>
      </c>
      <c r="B19" s="1" t="s">
        <v>285</v>
      </c>
      <c r="C19" s="2"/>
      <c r="D19" s="2"/>
    </row>
    <row r="20" spans="1:4" x14ac:dyDescent="0.3">
      <c r="A20" s="1" t="s">
        <v>253</v>
      </c>
      <c r="B20" s="1" t="s">
        <v>285</v>
      </c>
      <c r="C20" s="2"/>
      <c r="D20" s="2"/>
    </row>
    <row r="21" spans="1:4" x14ac:dyDescent="0.3">
      <c r="A21" s="1" t="s">
        <v>254</v>
      </c>
      <c r="B21" s="1" t="s">
        <v>285</v>
      </c>
      <c r="C21" s="2"/>
      <c r="D21" s="2"/>
    </row>
    <row r="22" spans="1:4" x14ac:dyDescent="0.3">
      <c r="A22" s="1" t="s">
        <v>255</v>
      </c>
      <c r="B22" s="1" t="s">
        <v>256</v>
      </c>
      <c r="C22" s="2"/>
      <c r="D22" s="2"/>
    </row>
    <row r="23" spans="1:4" x14ac:dyDescent="0.3">
      <c r="A23" s="1" t="s">
        <v>257</v>
      </c>
      <c r="B23" s="1" t="s">
        <v>258</v>
      </c>
      <c r="C23" s="2"/>
      <c r="D23" s="2"/>
    </row>
    <row r="24" spans="1:4" x14ac:dyDescent="0.3">
      <c r="A24" s="1" t="s">
        <v>259</v>
      </c>
      <c r="B24" s="1" t="s">
        <v>259</v>
      </c>
      <c r="C24" s="2"/>
      <c r="D24" s="2"/>
    </row>
    <row r="25" spans="1:4" x14ac:dyDescent="0.3">
      <c r="A25" s="1" t="s">
        <v>260</v>
      </c>
      <c r="B25" s="1" t="s">
        <v>260</v>
      </c>
      <c r="C25" s="2"/>
      <c r="D25" s="2"/>
    </row>
    <row r="26" spans="1:4" x14ac:dyDescent="0.3">
      <c r="A26" s="1" t="s">
        <v>215</v>
      </c>
      <c r="B26" s="1" t="s">
        <v>285</v>
      </c>
      <c r="C26" s="2" t="s">
        <v>216</v>
      </c>
      <c r="D26" s="2" t="s">
        <v>217</v>
      </c>
    </row>
    <row r="27" spans="1:4" x14ac:dyDescent="0.3">
      <c r="A27" s="1" t="s">
        <v>218</v>
      </c>
      <c r="B27" s="1" t="s">
        <v>285</v>
      </c>
      <c r="C27" s="2" t="s">
        <v>221</v>
      </c>
      <c r="D27" s="2" t="s">
        <v>217</v>
      </c>
    </row>
    <row r="28" spans="1:4" x14ac:dyDescent="0.3">
      <c r="A28" s="1" t="s">
        <v>219</v>
      </c>
      <c r="B28" s="1" t="s">
        <v>285</v>
      </c>
      <c r="C28" s="2" t="s">
        <v>220</v>
      </c>
      <c r="D28" s="2" t="s">
        <v>217</v>
      </c>
    </row>
    <row r="29" spans="1:4" x14ac:dyDescent="0.3">
      <c r="A29" s="1" t="s">
        <v>261</v>
      </c>
      <c r="B29" s="1" t="s">
        <v>285</v>
      </c>
      <c r="C29" s="2"/>
      <c r="D29" s="2"/>
    </row>
    <row r="30" spans="1:4" x14ac:dyDescent="0.3">
      <c r="A30" s="1" t="s">
        <v>262</v>
      </c>
      <c r="B30" s="1" t="s">
        <v>263</v>
      </c>
      <c r="C30" s="2"/>
      <c r="D30" s="2"/>
    </row>
    <row r="31" spans="1:4" x14ac:dyDescent="0.3">
      <c r="A31" s="1" t="s">
        <v>264</v>
      </c>
      <c r="B31" s="1" t="s">
        <v>265</v>
      </c>
      <c r="C31" s="2"/>
      <c r="D31" s="2"/>
    </row>
    <row r="32" spans="1:4" x14ac:dyDescent="0.3">
      <c r="A32" s="1" t="s">
        <v>267</v>
      </c>
      <c r="B32" s="1" t="s">
        <v>266</v>
      </c>
      <c r="C32" s="2"/>
      <c r="D32" s="2"/>
    </row>
    <row r="33" spans="1:4" x14ac:dyDescent="0.3">
      <c r="A33" s="1" t="s">
        <v>268</v>
      </c>
      <c r="B33" s="1" t="s">
        <v>270</v>
      </c>
      <c r="C33" s="2"/>
      <c r="D33" s="2"/>
    </row>
    <row r="34" spans="1:4" x14ac:dyDescent="0.3">
      <c r="A34" s="1" t="s">
        <v>269</v>
      </c>
      <c r="B34" s="1" t="s">
        <v>271</v>
      </c>
      <c r="C34" s="2"/>
      <c r="D34" s="2"/>
    </row>
    <row r="35" spans="1:4" x14ac:dyDescent="0.3">
      <c r="A35" s="1" t="s">
        <v>272</v>
      </c>
      <c r="B35" s="1" t="s">
        <v>273</v>
      </c>
      <c r="C35" s="2"/>
      <c r="D35" s="2"/>
    </row>
    <row r="36" spans="1:4" x14ac:dyDescent="0.3">
      <c r="A36" s="1" t="s">
        <v>259</v>
      </c>
      <c r="B36" s="1" t="s">
        <v>259</v>
      </c>
      <c r="C36" s="2"/>
      <c r="D36" s="2"/>
    </row>
    <row r="37" spans="1:4" x14ac:dyDescent="0.3">
      <c r="A37" s="1" t="s">
        <v>260</v>
      </c>
      <c r="B37" s="1" t="s">
        <v>260</v>
      </c>
      <c r="C37" s="2"/>
      <c r="D37" s="2"/>
    </row>
    <row r="38" spans="1:4" x14ac:dyDescent="0.3">
      <c r="A38" s="1" t="s">
        <v>274</v>
      </c>
      <c r="B38" s="1" t="s">
        <v>275</v>
      </c>
      <c r="C38" s="2"/>
      <c r="D38" s="2"/>
    </row>
    <row r="39" spans="1:4" x14ac:dyDescent="0.3">
      <c r="A39" s="1" t="s">
        <v>276</v>
      </c>
      <c r="B39" s="1" t="s">
        <v>277</v>
      </c>
      <c r="C39" s="2" t="s">
        <v>299</v>
      </c>
      <c r="D39" s="2" t="s">
        <v>299</v>
      </c>
    </row>
    <row r="40" spans="1:4" x14ac:dyDescent="0.3">
      <c r="A40" s="1" t="s">
        <v>278</v>
      </c>
      <c r="B40" s="1" t="s">
        <v>285</v>
      </c>
      <c r="C40" s="2"/>
      <c r="D40" s="2"/>
    </row>
    <row r="41" spans="1:4" x14ac:dyDescent="0.3">
      <c r="A41" s="1" t="s">
        <v>279</v>
      </c>
      <c r="B41" s="1" t="s">
        <v>285</v>
      </c>
      <c r="C41" s="2"/>
      <c r="D41" s="2"/>
    </row>
    <row r="42" spans="1:4" x14ac:dyDescent="0.3">
      <c r="A42" s="1" t="s">
        <v>280</v>
      </c>
      <c r="B42" s="1" t="s">
        <v>285</v>
      </c>
      <c r="C42" s="2"/>
      <c r="D42" s="2"/>
    </row>
    <row r="43" spans="1:4" x14ac:dyDescent="0.3">
      <c r="A43" s="1" t="s">
        <v>222</v>
      </c>
      <c r="B43" s="1" t="s">
        <v>223</v>
      </c>
      <c r="C43" s="2" t="s">
        <v>223</v>
      </c>
      <c r="D43" s="2" t="s">
        <v>224</v>
      </c>
    </row>
    <row r="44" spans="1:4" x14ac:dyDescent="0.3">
      <c r="A44" s="1" t="s">
        <v>225</v>
      </c>
      <c r="B44" s="1" t="s">
        <v>226</v>
      </c>
      <c r="C44" s="2" t="s">
        <v>226</v>
      </c>
      <c r="D44" s="2"/>
    </row>
    <row r="45" spans="1:4" x14ac:dyDescent="0.3">
      <c r="A45" s="1" t="s">
        <v>281</v>
      </c>
      <c r="B45" s="1" t="s">
        <v>281</v>
      </c>
      <c r="C45" s="2"/>
      <c r="D45" s="2"/>
    </row>
    <row r="46" spans="1:4" x14ac:dyDescent="0.3">
      <c r="A46" s="1" t="s">
        <v>282</v>
      </c>
      <c r="B46" s="1" t="s">
        <v>285</v>
      </c>
      <c r="C46" s="2"/>
      <c r="D46" s="2"/>
    </row>
    <row r="47" spans="1:4" x14ac:dyDescent="0.3">
      <c r="A47" s="1" t="s">
        <v>283</v>
      </c>
      <c r="B47" s="1" t="s">
        <v>284</v>
      </c>
      <c r="C47" s="2"/>
      <c r="D47" s="2"/>
    </row>
    <row r="48" spans="1:4" x14ac:dyDescent="0.3">
      <c r="A48" s="1" t="s">
        <v>259</v>
      </c>
      <c r="B48" s="1" t="s">
        <v>259</v>
      </c>
      <c r="C48" s="2"/>
      <c r="D48" s="2"/>
    </row>
    <row r="49" spans="1:4" x14ac:dyDescent="0.3">
      <c r="A49" s="1" t="s">
        <v>260</v>
      </c>
      <c r="B49" s="1" t="s">
        <v>260</v>
      </c>
      <c r="C49" s="2"/>
      <c r="D49" s="2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89920-B52C-43E8-B2D8-6EB97B0D248D}">
  <dimension ref="B5:L84"/>
  <sheetViews>
    <sheetView workbookViewId="0">
      <selection activeCell="B2" sqref="B2:B3"/>
    </sheetView>
  </sheetViews>
  <sheetFormatPr defaultRowHeight="14.4" x14ac:dyDescent="0.3"/>
  <cols>
    <col min="4" max="4" width="21.5546875" bestFit="1" customWidth="1"/>
  </cols>
  <sheetData>
    <row r="5" spans="2:12" x14ac:dyDescent="0.3">
      <c r="C5" s="9" t="s">
        <v>20</v>
      </c>
      <c r="D5" s="10" t="s">
        <v>24</v>
      </c>
      <c r="E5" s="56" t="s">
        <v>22</v>
      </c>
      <c r="F5" s="57"/>
      <c r="G5" s="57"/>
      <c r="H5" s="57"/>
      <c r="I5" s="57"/>
      <c r="J5" s="57"/>
      <c r="K5" s="57"/>
      <c r="L5" s="58"/>
    </row>
    <row r="6" spans="2:12" x14ac:dyDescent="0.3">
      <c r="B6" s="2">
        <v>8</v>
      </c>
      <c r="C6" s="9">
        <f>L18</f>
        <v>100</v>
      </c>
      <c r="D6" s="10">
        <f>L21</f>
        <v>86</v>
      </c>
      <c r="E6" s="8">
        <f>E28</f>
        <v>40</v>
      </c>
      <c r="F6" s="8">
        <f t="shared" ref="F6:L6" si="0">F28</f>
        <v>42</v>
      </c>
      <c r="G6" s="8">
        <f t="shared" si="0"/>
        <v>42</v>
      </c>
      <c r="H6" s="8">
        <f t="shared" si="0"/>
        <v>60</v>
      </c>
      <c r="I6" s="8">
        <f t="shared" si="0"/>
        <v>68</v>
      </c>
      <c r="J6" s="8">
        <f t="shared" si="0"/>
        <v>67</v>
      </c>
      <c r="K6" s="8">
        <f t="shared" si="0"/>
        <v>61</v>
      </c>
      <c r="L6" s="8">
        <f t="shared" si="0"/>
        <v>57</v>
      </c>
    </row>
    <row r="7" spans="2:12" x14ac:dyDescent="0.3">
      <c r="B7" s="2">
        <v>7</v>
      </c>
      <c r="C7" s="9">
        <f>K18</f>
        <v>85</v>
      </c>
      <c r="D7" s="10">
        <f>K21</f>
        <v>71</v>
      </c>
      <c r="E7" s="8">
        <f t="shared" ref="E7:L13" si="1">E29</f>
        <v>37</v>
      </c>
      <c r="F7" s="8">
        <f t="shared" si="1"/>
        <v>42</v>
      </c>
      <c r="G7" s="8">
        <f t="shared" si="1"/>
        <v>42</v>
      </c>
      <c r="H7" s="8">
        <f t="shared" si="1"/>
        <v>60</v>
      </c>
      <c r="I7" s="8">
        <f t="shared" si="1"/>
        <v>65</v>
      </c>
      <c r="J7" s="8">
        <f t="shared" si="1"/>
        <v>65</v>
      </c>
      <c r="K7" s="8">
        <f t="shared" si="1"/>
        <v>60</v>
      </c>
      <c r="L7" s="8">
        <f t="shared" si="1"/>
        <v>57</v>
      </c>
    </row>
    <row r="8" spans="2:12" x14ac:dyDescent="0.3">
      <c r="B8" s="2">
        <v>6</v>
      </c>
      <c r="C8" s="9">
        <f>J18</f>
        <v>70</v>
      </c>
      <c r="D8" s="10">
        <f>J21</f>
        <v>66</v>
      </c>
      <c r="E8" s="8">
        <f t="shared" si="1"/>
        <v>35</v>
      </c>
      <c r="F8" s="8">
        <f t="shared" si="1"/>
        <v>42</v>
      </c>
      <c r="G8" s="8">
        <f t="shared" si="1"/>
        <v>42</v>
      </c>
      <c r="H8" s="8">
        <f t="shared" si="1"/>
        <v>55</v>
      </c>
      <c r="I8" s="8">
        <f t="shared" si="1"/>
        <v>60</v>
      </c>
      <c r="J8" s="8">
        <f t="shared" si="1"/>
        <v>65</v>
      </c>
      <c r="K8" s="8">
        <f t="shared" si="1"/>
        <v>60</v>
      </c>
      <c r="L8" s="8">
        <f t="shared" si="1"/>
        <v>55</v>
      </c>
    </row>
    <row r="9" spans="2:12" x14ac:dyDescent="0.3">
      <c r="B9" s="2">
        <v>5</v>
      </c>
      <c r="C9" s="9">
        <f>I18</f>
        <v>50</v>
      </c>
      <c r="D9" s="10">
        <f>I21</f>
        <v>56</v>
      </c>
      <c r="E9" s="8">
        <f t="shared" si="1"/>
        <v>30</v>
      </c>
      <c r="F9" s="8">
        <f t="shared" si="1"/>
        <v>40</v>
      </c>
      <c r="G9" s="8">
        <f t="shared" si="1"/>
        <v>42</v>
      </c>
      <c r="H9" s="8">
        <f t="shared" si="1"/>
        <v>50</v>
      </c>
      <c r="I9" s="8">
        <f t="shared" si="1"/>
        <v>55</v>
      </c>
      <c r="J9" s="8">
        <f t="shared" si="1"/>
        <v>60</v>
      </c>
      <c r="K9" s="8">
        <f t="shared" si="1"/>
        <v>55</v>
      </c>
      <c r="L9" s="8">
        <f t="shared" si="1"/>
        <v>50</v>
      </c>
    </row>
    <row r="10" spans="2:12" x14ac:dyDescent="0.3">
      <c r="B10" s="2">
        <v>4</v>
      </c>
      <c r="C10" s="9">
        <f>H18</f>
        <v>40</v>
      </c>
      <c r="D10" s="10">
        <f>H21</f>
        <v>40</v>
      </c>
      <c r="E10" s="8">
        <f t="shared" si="1"/>
        <v>23</v>
      </c>
      <c r="F10" s="8">
        <f t="shared" si="1"/>
        <v>35</v>
      </c>
      <c r="G10" s="8">
        <f t="shared" si="1"/>
        <v>36</v>
      </c>
      <c r="H10" s="8">
        <f t="shared" si="1"/>
        <v>40</v>
      </c>
      <c r="I10" s="8">
        <f t="shared" si="1"/>
        <v>45</v>
      </c>
      <c r="J10" s="8">
        <f t="shared" si="1"/>
        <v>50</v>
      </c>
      <c r="K10" s="8">
        <f t="shared" si="1"/>
        <v>48</v>
      </c>
      <c r="L10" s="8">
        <f t="shared" si="1"/>
        <v>45</v>
      </c>
    </row>
    <row r="11" spans="2:12" x14ac:dyDescent="0.3">
      <c r="B11" s="2">
        <v>3</v>
      </c>
      <c r="C11" s="9">
        <f>G18</f>
        <v>35</v>
      </c>
      <c r="D11" s="10">
        <f>G21</f>
        <v>30</v>
      </c>
      <c r="E11" s="8">
        <f t="shared" si="1"/>
        <v>17</v>
      </c>
      <c r="F11" s="8">
        <f t="shared" si="1"/>
        <v>25</v>
      </c>
      <c r="G11" s="8">
        <f t="shared" si="1"/>
        <v>26</v>
      </c>
      <c r="H11" s="8">
        <f t="shared" si="1"/>
        <v>34</v>
      </c>
      <c r="I11" s="8">
        <f t="shared" si="1"/>
        <v>40</v>
      </c>
      <c r="J11" s="8">
        <f t="shared" si="1"/>
        <v>45</v>
      </c>
      <c r="K11" s="8">
        <f t="shared" si="1"/>
        <v>40</v>
      </c>
      <c r="L11" s="8">
        <f t="shared" si="1"/>
        <v>37</v>
      </c>
    </row>
    <row r="12" spans="2:12" x14ac:dyDescent="0.3">
      <c r="B12" s="2">
        <v>2</v>
      </c>
      <c r="C12" s="9">
        <f>F18</f>
        <v>20</v>
      </c>
      <c r="D12" s="10">
        <f>F21</f>
        <v>15</v>
      </c>
      <c r="E12" s="8">
        <f t="shared" si="1"/>
        <v>12</v>
      </c>
      <c r="F12" s="8">
        <f t="shared" si="1"/>
        <v>23</v>
      </c>
      <c r="G12" s="8">
        <f t="shared" si="1"/>
        <v>30</v>
      </c>
      <c r="H12" s="8">
        <f t="shared" si="1"/>
        <v>33</v>
      </c>
      <c r="I12" s="8">
        <f t="shared" si="1"/>
        <v>35</v>
      </c>
      <c r="J12" s="8">
        <f t="shared" si="1"/>
        <v>40</v>
      </c>
      <c r="K12" s="8">
        <f t="shared" si="1"/>
        <v>43</v>
      </c>
      <c r="L12" s="8">
        <f t="shared" si="1"/>
        <v>33</v>
      </c>
    </row>
    <row r="13" spans="2:12" x14ac:dyDescent="0.3">
      <c r="B13" s="2">
        <v>1</v>
      </c>
      <c r="C13" s="9">
        <f>E18</f>
        <v>10</v>
      </c>
      <c r="D13" s="10">
        <f>E21</f>
        <v>10</v>
      </c>
      <c r="E13" s="8">
        <f t="shared" si="1"/>
        <v>10</v>
      </c>
      <c r="F13" s="8">
        <f t="shared" si="1"/>
        <v>20</v>
      </c>
      <c r="G13" s="8">
        <f t="shared" si="1"/>
        <v>25</v>
      </c>
      <c r="H13" s="8">
        <f t="shared" si="1"/>
        <v>28</v>
      </c>
      <c r="I13" s="8">
        <f t="shared" si="1"/>
        <v>30</v>
      </c>
      <c r="J13" s="8">
        <f t="shared" si="1"/>
        <v>32</v>
      </c>
      <c r="K13" s="8">
        <f t="shared" si="1"/>
        <v>30</v>
      </c>
      <c r="L13" s="8">
        <f t="shared" si="1"/>
        <v>25</v>
      </c>
    </row>
    <row r="14" spans="2:12" x14ac:dyDescent="0.3">
      <c r="D14" s="6" t="s">
        <v>21</v>
      </c>
      <c r="E14" s="6">
        <f>E24</f>
        <v>1000</v>
      </c>
      <c r="F14" s="6">
        <f t="shared" ref="F14:L14" si="2">F24</f>
        <v>2500</v>
      </c>
      <c r="G14" s="6">
        <f t="shared" si="2"/>
        <v>3500</v>
      </c>
      <c r="H14" s="6">
        <f t="shared" si="2"/>
        <v>4500</v>
      </c>
      <c r="I14" s="6">
        <f t="shared" si="2"/>
        <v>6000</v>
      </c>
      <c r="J14" s="6">
        <f t="shared" si="2"/>
        <v>7000</v>
      </c>
      <c r="K14" s="6">
        <f t="shared" si="2"/>
        <v>8000</v>
      </c>
      <c r="L14" s="6">
        <f t="shared" si="2"/>
        <v>9000</v>
      </c>
    </row>
    <row r="15" spans="2:12" x14ac:dyDescent="0.3">
      <c r="D15" s="7"/>
      <c r="E15" s="2">
        <v>1</v>
      </c>
      <c r="F15" s="2">
        <v>2</v>
      </c>
      <c r="G15" s="2">
        <v>3</v>
      </c>
      <c r="H15" s="2">
        <v>4</v>
      </c>
      <c r="I15" s="2">
        <v>5</v>
      </c>
      <c r="J15" s="2">
        <v>6</v>
      </c>
      <c r="K15" s="2">
        <v>7</v>
      </c>
      <c r="L15" s="2">
        <v>8</v>
      </c>
    </row>
    <row r="17" spans="4:12" x14ac:dyDescent="0.3">
      <c r="E17" s="2">
        <v>1</v>
      </c>
      <c r="F17" s="2">
        <v>2</v>
      </c>
      <c r="G17" s="2">
        <v>3</v>
      </c>
      <c r="H17" s="2">
        <v>4</v>
      </c>
      <c r="I17" s="2">
        <v>5</v>
      </c>
      <c r="J17" s="2">
        <v>6</v>
      </c>
      <c r="K17" s="2">
        <v>7</v>
      </c>
      <c r="L17" s="2">
        <v>8</v>
      </c>
    </row>
    <row r="18" spans="4:12" x14ac:dyDescent="0.3">
      <c r="D18" s="9" t="s">
        <v>20</v>
      </c>
      <c r="E18" s="9">
        <v>10</v>
      </c>
      <c r="F18" s="9">
        <v>20</v>
      </c>
      <c r="G18" s="9">
        <v>35</v>
      </c>
      <c r="H18" s="9">
        <v>40</v>
      </c>
      <c r="I18" s="9">
        <v>50</v>
      </c>
      <c r="J18" s="9">
        <v>70</v>
      </c>
      <c r="K18" s="9">
        <v>85</v>
      </c>
      <c r="L18" s="9">
        <v>100</v>
      </c>
    </row>
    <row r="20" spans="4:12" x14ac:dyDescent="0.3">
      <c r="E20" s="2">
        <v>1</v>
      </c>
      <c r="F20" s="2">
        <v>2</v>
      </c>
      <c r="G20" s="2">
        <v>3</v>
      </c>
      <c r="H20" s="2">
        <v>4</v>
      </c>
      <c r="I20" s="2">
        <v>5</v>
      </c>
      <c r="J20" s="2">
        <v>6</v>
      </c>
      <c r="K20" s="2">
        <v>7</v>
      </c>
      <c r="L20" s="2">
        <v>8</v>
      </c>
    </row>
    <row r="21" spans="4:12" x14ac:dyDescent="0.3">
      <c r="D21" s="10" t="s">
        <v>24</v>
      </c>
      <c r="E21" s="10">
        <v>10</v>
      </c>
      <c r="F21" s="10">
        <v>15</v>
      </c>
      <c r="G21" s="10">
        <v>30</v>
      </c>
      <c r="H21" s="10">
        <v>40</v>
      </c>
      <c r="I21" s="10">
        <v>56</v>
      </c>
      <c r="J21" s="10">
        <v>66</v>
      </c>
      <c r="K21" s="10">
        <v>71</v>
      </c>
      <c r="L21" s="10">
        <v>86</v>
      </c>
    </row>
    <row r="23" spans="4:12" x14ac:dyDescent="0.3">
      <c r="E23" s="2">
        <v>1</v>
      </c>
      <c r="F23" s="2">
        <v>2</v>
      </c>
      <c r="G23" s="2">
        <v>3</v>
      </c>
      <c r="H23" s="2">
        <v>4</v>
      </c>
      <c r="I23" s="2">
        <v>5</v>
      </c>
      <c r="J23" s="2">
        <v>6</v>
      </c>
      <c r="K23" s="2">
        <v>7</v>
      </c>
      <c r="L23" s="2">
        <v>8</v>
      </c>
    </row>
    <row r="24" spans="4:12" x14ac:dyDescent="0.3">
      <c r="D24" s="6" t="s">
        <v>21</v>
      </c>
      <c r="E24" s="6">
        <v>1000</v>
      </c>
      <c r="F24" s="6">
        <v>2500</v>
      </c>
      <c r="G24" s="6">
        <v>3500</v>
      </c>
      <c r="H24" s="6">
        <v>4500</v>
      </c>
      <c r="I24" s="6">
        <v>6000</v>
      </c>
      <c r="J24" s="6">
        <v>7000</v>
      </c>
      <c r="K24" s="6">
        <v>8000</v>
      </c>
      <c r="L24" s="6">
        <v>9000</v>
      </c>
    </row>
    <row r="26" spans="4:12" x14ac:dyDescent="0.3">
      <c r="D26" s="7" t="s">
        <v>23</v>
      </c>
    </row>
    <row r="27" spans="4:12" x14ac:dyDescent="0.3">
      <c r="E27" s="2">
        <v>1</v>
      </c>
      <c r="F27" s="2">
        <v>2</v>
      </c>
      <c r="G27" s="2">
        <v>3</v>
      </c>
      <c r="H27" s="2">
        <v>4</v>
      </c>
      <c r="I27" s="2">
        <v>5</v>
      </c>
      <c r="J27" s="2">
        <v>6</v>
      </c>
      <c r="K27" s="2">
        <v>7</v>
      </c>
      <c r="L27" s="2">
        <v>8</v>
      </c>
    </row>
    <row r="28" spans="4:12" x14ac:dyDescent="0.3">
      <c r="D28" s="2">
        <v>8</v>
      </c>
      <c r="E28" s="8">
        <v>40</v>
      </c>
      <c r="F28" s="8">
        <v>42</v>
      </c>
      <c r="G28" s="8">
        <v>42</v>
      </c>
      <c r="H28" s="8">
        <v>60</v>
      </c>
      <c r="I28" s="8">
        <v>68</v>
      </c>
      <c r="J28" s="8">
        <v>67</v>
      </c>
      <c r="K28" s="8">
        <v>61</v>
      </c>
      <c r="L28" s="8">
        <v>57</v>
      </c>
    </row>
    <row r="29" spans="4:12" x14ac:dyDescent="0.3">
      <c r="D29" s="2">
        <v>7</v>
      </c>
      <c r="E29" s="8">
        <v>37</v>
      </c>
      <c r="F29" s="8">
        <v>42</v>
      </c>
      <c r="G29" s="8">
        <v>42</v>
      </c>
      <c r="H29" s="8">
        <v>60</v>
      </c>
      <c r="I29" s="8">
        <v>65</v>
      </c>
      <c r="J29" s="8">
        <v>65</v>
      </c>
      <c r="K29" s="8">
        <v>60</v>
      </c>
      <c r="L29" s="8">
        <v>57</v>
      </c>
    </row>
    <row r="30" spans="4:12" x14ac:dyDescent="0.3">
      <c r="D30" s="2">
        <v>6</v>
      </c>
      <c r="E30" s="8">
        <v>35</v>
      </c>
      <c r="F30" s="8">
        <v>42</v>
      </c>
      <c r="G30" s="8">
        <v>42</v>
      </c>
      <c r="H30" s="8">
        <v>55</v>
      </c>
      <c r="I30" s="8">
        <v>60</v>
      </c>
      <c r="J30" s="8">
        <v>65</v>
      </c>
      <c r="K30" s="8">
        <v>60</v>
      </c>
      <c r="L30" s="8">
        <v>55</v>
      </c>
    </row>
    <row r="31" spans="4:12" x14ac:dyDescent="0.3">
      <c r="D31" s="2">
        <v>5</v>
      </c>
      <c r="E31" s="8">
        <v>30</v>
      </c>
      <c r="F31" s="8">
        <v>40</v>
      </c>
      <c r="G31" s="8">
        <v>42</v>
      </c>
      <c r="H31" s="8">
        <v>50</v>
      </c>
      <c r="I31" s="8">
        <v>55</v>
      </c>
      <c r="J31" s="8">
        <v>60</v>
      </c>
      <c r="K31" s="8">
        <v>55</v>
      </c>
      <c r="L31" s="8">
        <v>50</v>
      </c>
    </row>
    <row r="32" spans="4:12" x14ac:dyDescent="0.3">
      <c r="D32" s="2">
        <v>4</v>
      </c>
      <c r="E32" s="8">
        <v>23</v>
      </c>
      <c r="F32" s="8">
        <v>35</v>
      </c>
      <c r="G32" s="8">
        <v>36</v>
      </c>
      <c r="H32" s="8">
        <v>40</v>
      </c>
      <c r="I32" s="8">
        <v>45</v>
      </c>
      <c r="J32" s="8">
        <v>50</v>
      </c>
      <c r="K32" s="8">
        <v>48</v>
      </c>
      <c r="L32" s="8">
        <v>45</v>
      </c>
    </row>
    <row r="33" spans="3:12" x14ac:dyDescent="0.3">
      <c r="D33" s="2">
        <v>3</v>
      </c>
      <c r="E33" s="8">
        <v>17</v>
      </c>
      <c r="F33" s="8">
        <v>25</v>
      </c>
      <c r="G33" s="8">
        <v>26</v>
      </c>
      <c r="H33" s="8">
        <v>34</v>
      </c>
      <c r="I33" s="8">
        <v>40</v>
      </c>
      <c r="J33" s="8">
        <v>45</v>
      </c>
      <c r="K33" s="8">
        <v>40</v>
      </c>
      <c r="L33" s="8">
        <v>37</v>
      </c>
    </row>
    <row r="34" spans="3:12" x14ac:dyDescent="0.3">
      <c r="D34" s="2">
        <v>2</v>
      </c>
      <c r="E34" s="8">
        <v>12</v>
      </c>
      <c r="F34" s="8">
        <v>23</v>
      </c>
      <c r="G34" s="8">
        <v>30</v>
      </c>
      <c r="H34" s="8">
        <v>33</v>
      </c>
      <c r="I34" s="8">
        <v>35</v>
      </c>
      <c r="J34" s="8">
        <v>40</v>
      </c>
      <c r="K34" s="8">
        <v>43</v>
      </c>
      <c r="L34" s="8">
        <v>33</v>
      </c>
    </row>
    <row r="35" spans="3:12" x14ac:dyDescent="0.3">
      <c r="D35" s="2">
        <v>1</v>
      </c>
      <c r="E35" s="8">
        <v>10</v>
      </c>
      <c r="F35" s="8">
        <v>20</v>
      </c>
      <c r="G35" s="8">
        <v>25</v>
      </c>
      <c r="H35" s="8">
        <v>28</v>
      </c>
      <c r="I35" s="8">
        <v>30</v>
      </c>
      <c r="J35" s="8">
        <v>32</v>
      </c>
      <c r="K35" s="8">
        <v>30</v>
      </c>
      <c r="L35" s="8">
        <v>25</v>
      </c>
    </row>
    <row r="37" spans="3:12" x14ac:dyDescent="0.3">
      <c r="E37" s="2">
        <v>1</v>
      </c>
      <c r="F37" s="2">
        <v>2</v>
      </c>
      <c r="G37" s="2">
        <v>3</v>
      </c>
      <c r="H37" s="2">
        <v>4</v>
      </c>
      <c r="I37" s="2">
        <v>5</v>
      </c>
      <c r="J37" s="2">
        <v>6</v>
      </c>
      <c r="K37" s="2">
        <v>7</v>
      </c>
      <c r="L37" s="2">
        <v>8</v>
      </c>
    </row>
    <row r="38" spans="3:12" x14ac:dyDescent="0.3">
      <c r="D38" s="6" t="s">
        <v>55</v>
      </c>
      <c r="E38" s="6">
        <v>10</v>
      </c>
      <c r="F38" s="6">
        <v>20</v>
      </c>
      <c r="G38" s="6">
        <v>25</v>
      </c>
      <c r="H38" s="6">
        <v>35</v>
      </c>
      <c r="I38" s="6">
        <v>40</v>
      </c>
      <c r="J38" s="6">
        <v>50</v>
      </c>
      <c r="K38" s="6">
        <v>60</v>
      </c>
      <c r="L38" s="6">
        <v>80</v>
      </c>
    </row>
    <row r="39" spans="3:12" x14ac:dyDescent="0.3">
      <c r="D39" s="13" t="s">
        <v>58</v>
      </c>
      <c r="E39" s="13">
        <v>140</v>
      </c>
      <c r="F39" s="13">
        <v>120</v>
      </c>
      <c r="G39" s="13">
        <v>110</v>
      </c>
      <c r="H39" s="13">
        <v>105</v>
      </c>
      <c r="I39" s="13">
        <v>100</v>
      </c>
      <c r="J39" s="13">
        <v>90</v>
      </c>
      <c r="K39" s="13">
        <v>80</v>
      </c>
      <c r="L39" s="13">
        <v>60</v>
      </c>
    </row>
    <row r="41" spans="3:12" x14ac:dyDescent="0.3">
      <c r="E41" s="2">
        <v>1</v>
      </c>
      <c r="F41" s="2">
        <v>2</v>
      </c>
      <c r="G41" s="2">
        <v>3</v>
      </c>
      <c r="H41" s="2">
        <v>4</v>
      </c>
      <c r="I41" s="2">
        <v>5</v>
      </c>
      <c r="J41" s="2">
        <v>6</v>
      </c>
      <c r="K41" s="2">
        <v>7</v>
      </c>
      <c r="L41" s="2">
        <v>8</v>
      </c>
    </row>
    <row r="42" spans="3:12" x14ac:dyDescent="0.3">
      <c r="D42" s="6" t="s">
        <v>56</v>
      </c>
      <c r="E42" s="6">
        <v>10</v>
      </c>
      <c r="F42" s="6">
        <v>40</v>
      </c>
      <c r="G42" s="6">
        <v>60</v>
      </c>
      <c r="H42" s="6">
        <v>80</v>
      </c>
      <c r="I42" s="6">
        <v>100</v>
      </c>
      <c r="J42" s="6">
        <v>130</v>
      </c>
      <c r="K42" s="6">
        <v>150</v>
      </c>
      <c r="L42" s="6">
        <v>180</v>
      </c>
    </row>
    <row r="43" spans="3:12" x14ac:dyDescent="0.3">
      <c r="D43" s="19" t="s">
        <v>57</v>
      </c>
      <c r="E43" s="19">
        <v>140</v>
      </c>
      <c r="F43" s="19">
        <v>120</v>
      </c>
      <c r="G43" s="19">
        <v>110</v>
      </c>
      <c r="H43" s="19">
        <v>105</v>
      </c>
      <c r="I43" s="19">
        <v>100</v>
      </c>
      <c r="J43" s="19">
        <v>90</v>
      </c>
      <c r="K43" s="19">
        <v>80</v>
      </c>
      <c r="L43" s="19">
        <v>60</v>
      </c>
    </row>
    <row r="45" spans="3:12" x14ac:dyDescent="0.3">
      <c r="D45" s="10" t="s">
        <v>24</v>
      </c>
      <c r="E45" s="56" t="s">
        <v>59</v>
      </c>
      <c r="F45" s="57"/>
      <c r="G45" s="57"/>
      <c r="H45" s="57"/>
      <c r="I45" s="57"/>
      <c r="J45" s="57"/>
      <c r="K45" s="57"/>
      <c r="L45" s="58"/>
    </row>
    <row r="46" spans="3:12" x14ac:dyDescent="0.3">
      <c r="C46" s="2">
        <v>8</v>
      </c>
      <c r="D46" s="10">
        <f>L21</f>
        <v>86</v>
      </c>
      <c r="E46" s="8">
        <f t="shared" ref="E46:J53" si="3">E88</f>
        <v>0</v>
      </c>
      <c r="F46" s="8">
        <f t="shared" si="3"/>
        <v>0</v>
      </c>
      <c r="G46" s="8">
        <f t="shared" si="3"/>
        <v>0</v>
      </c>
      <c r="H46" s="8">
        <f t="shared" si="3"/>
        <v>0</v>
      </c>
      <c r="I46" s="8">
        <f t="shared" si="3"/>
        <v>0</v>
      </c>
      <c r="J46" s="8">
        <f t="shared" si="3"/>
        <v>0</v>
      </c>
      <c r="K46" s="8">
        <f t="shared" ref="K46:L53" si="4">K78</f>
        <v>0</v>
      </c>
      <c r="L46" s="8">
        <f t="shared" si="4"/>
        <v>0</v>
      </c>
    </row>
    <row r="47" spans="3:12" x14ac:dyDescent="0.3">
      <c r="C47" s="2">
        <v>7</v>
      </c>
      <c r="D47" s="10">
        <f>K21</f>
        <v>71</v>
      </c>
      <c r="E47" s="8">
        <f t="shared" si="3"/>
        <v>0</v>
      </c>
      <c r="F47" s="8">
        <f t="shared" si="3"/>
        <v>0</v>
      </c>
      <c r="G47" s="8">
        <f t="shared" si="3"/>
        <v>0</v>
      </c>
      <c r="H47" s="8">
        <f t="shared" si="3"/>
        <v>0</v>
      </c>
      <c r="I47" s="8">
        <f t="shared" si="3"/>
        <v>0</v>
      </c>
      <c r="J47" s="8">
        <f t="shared" si="3"/>
        <v>0</v>
      </c>
      <c r="K47" s="8">
        <f t="shared" si="4"/>
        <v>0</v>
      </c>
      <c r="L47" s="8">
        <f t="shared" si="4"/>
        <v>0</v>
      </c>
    </row>
    <row r="48" spans="3:12" x14ac:dyDescent="0.3">
      <c r="C48" s="2">
        <v>6</v>
      </c>
      <c r="D48" s="10">
        <f>J21</f>
        <v>66</v>
      </c>
      <c r="E48" s="8">
        <f t="shared" si="3"/>
        <v>0</v>
      </c>
      <c r="F48" s="8">
        <f t="shared" si="3"/>
        <v>0</v>
      </c>
      <c r="G48" s="8">
        <f t="shared" si="3"/>
        <v>0</v>
      </c>
      <c r="H48" s="8">
        <f t="shared" si="3"/>
        <v>0</v>
      </c>
      <c r="I48" s="8">
        <f t="shared" si="3"/>
        <v>0</v>
      </c>
      <c r="J48" s="8">
        <f t="shared" si="3"/>
        <v>0</v>
      </c>
      <c r="K48" s="8">
        <f t="shared" si="4"/>
        <v>0</v>
      </c>
      <c r="L48" s="8">
        <f t="shared" si="4"/>
        <v>0</v>
      </c>
    </row>
    <row r="49" spans="3:12" x14ac:dyDescent="0.3">
      <c r="C49" s="2">
        <v>5</v>
      </c>
      <c r="D49" s="10">
        <f>I21</f>
        <v>56</v>
      </c>
      <c r="E49" s="8">
        <f t="shared" si="3"/>
        <v>0</v>
      </c>
      <c r="F49" s="8">
        <f t="shared" si="3"/>
        <v>0</v>
      </c>
      <c r="G49" s="8">
        <f t="shared" si="3"/>
        <v>0</v>
      </c>
      <c r="H49" s="8">
        <f t="shared" si="3"/>
        <v>0</v>
      </c>
      <c r="I49" s="8">
        <f t="shared" si="3"/>
        <v>0</v>
      </c>
      <c r="J49" s="8">
        <f t="shared" si="3"/>
        <v>0</v>
      </c>
      <c r="K49" s="8">
        <f t="shared" si="4"/>
        <v>0</v>
      </c>
      <c r="L49" s="8">
        <f t="shared" si="4"/>
        <v>0</v>
      </c>
    </row>
    <row r="50" spans="3:12" x14ac:dyDescent="0.3">
      <c r="C50" s="2">
        <v>4</v>
      </c>
      <c r="D50" s="10">
        <f>H21</f>
        <v>40</v>
      </c>
      <c r="E50" s="8">
        <f t="shared" si="3"/>
        <v>0</v>
      </c>
      <c r="F50" s="8">
        <f t="shared" si="3"/>
        <v>0</v>
      </c>
      <c r="G50" s="8">
        <f t="shared" si="3"/>
        <v>0</v>
      </c>
      <c r="H50" s="8">
        <f t="shared" si="3"/>
        <v>0</v>
      </c>
      <c r="I50" s="8">
        <f t="shared" si="3"/>
        <v>0</v>
      </c>
      <c r="J50" s="8">
        <f t="shared" si="3"/>
        <v>0</v>
      </c>
      <c r="K50" s="8">
        <f t="shared" si="4"/>
        <v>0</v>
      </c>
      <c r="L50" s="8">
        <f t="shared" si="4"/>
        <v>0</v>
      </c>
    </row>
    <row r="51" spans="3:12" x14ac:dyDescent="0.3">
      <c r="C51" s="2">
        <v>3</v>
      </c>
      <c r="D51" s="10">
        <f>G21</f>
        <v>30</v>
      </c>
      <c r="E51" s="8">
        <f t="shared" si="3"/>
        <v>0</v>
      </c>
      <c r="F51" s="8">
        <f t="shared" si="3"/>
        <v>0</v>
      </c>
      <c r="G51" s="8">
        <f t="shared" si="3"/>
        <v>0</v>
      </c>
      <c r="H51" s="8">
        <f t="shared" si="3"/>
        <v>0</v>
      </c>
      <c r="I51" s="8">
        <f t="shared" si="3"/>
        <v>0</v>
      </c>
      <c r="J51" s="8">
        <f t="shared" si="3"/>
        <v>0</v>
      </c>
      <c r="K51" s="8">
        <f t="shared" si="4"/>
        <v>0</v>
      </c>
      <c r="L51" s="8">
        <f t="shared" si="4"/>
        <v>0</v>
      </c>
    </row>
    <row r="52" spans="3:12" x14ac:dyDescent="0.3">
      <c r="C52" s="2">
        <v>2</v>
      </c>
      <c r="D52" s="10">
        <f>F21</f>
        <v>15</v>
      </c>
      <c r="E52" s="8">
        <f t="shared" si="3"/>
        <v>0</v>
      </c>
      <c r="F52" s="8">
        <f t="shared" si="3"/>
        <v>0</v>
      </c>
      <c r="G52" s="8">
        <f t="shared" si="3"/>
        <v>0</v>
      </c>
      <c r="H52" s="8">
        <f t="shared" si="3"/>
        <v>0</v>
      </c>
      <c r="I52" s="8">
        <f t="shared" si="3"/>
        <v>0</v>
      </c>
      <c r="J52" s="8">
        <f t="shared" si="3"/>
        <v>0</v>
      </c>
      <c r="K52" s="8">
        <f t="shared" si="4"/>
        <v>0</v>
      </c>
      <c r="L52" s="8">
        <f t="shared" si="4"/>
        <v>0</v>
      </c>
    </row>
    <row r="53" spans="3:12" x14ac:dyDescent="0.3">
      <c r="C53" s="2">
        <v>1</v>
      </c>
      <c r="D53" s="10">
        <f>E21</f>
        <v>10</v>
      </c>
      <c r="E53" s="8">
        <f t="shared" si="3"/>
        <v>0</v>
      </c>
      <c r="F53" s="8">
        <f t="shared" si="3"/>
        <v>0</v>
      </c>
      <c r="G53" s="8">
        <f t="shared" si="3"/>
        <v>0</v>
      </c>
      <c r="H53" s="8">
        <f t="shared" si="3"/>
        <v>0</v>
      </c>
      <c r="I53" s="8">
        <f t="shared" si="3"/>
        <v>0</v>
      </c>
      <c r="J53" s="8">
        <f t="shared" si="3"/>
        <v>0</v>
      </c>
      <c r="K53" s="8">
        <f t="shared" si="4"/>
        <v>0</v>
      </c>
      <c r="L53" s="8">
        <f t="shared" si="4"/>
        <v>0</v>
      </c>
    </row>
    <row r="54" spans="3:12" x14ac:dyDescent="0.3">
      <c r="D54" s="6" t="s">
        <v>21</v>
      </c>
      <c r="E54" s="6">
        <f>E24</f>
        <v>1000</v>
      </c>
      <c r="F54" s="6">
        <f t="shared" ref="F54:L54" si="5">F24</f>
        <v>2500</v>
      </c>
      <c r="G54" s="6">
        <f t="shared" si="5"/>
        <v>3500</v>
      </c>
      <c r="H54" s="6">
        <f t="shared" si="5"/>
        <v>4500</v>
      </c>
      <c r="I54" s="6">
        <f t="shared" si="5"/>
        <v>6000</v>
      </c>
      <c r="J54" s="6">
        <f t="shared" si="5"/>
        <v>7000</v>
      </c>
      <c r="K54" s="6">
        <f t="shared" si="5"/>
        <v>8000</v>
      </c>
      <c r="L54" s="6">
        <f t="shared" si="5"/>
        <v>9000</v>
      </c>
    </row>
    <row r="55" spans="3:12" x14ac:dyDescent="0.3">
      <c r="D55" s="7"/>
      <c r="E55" s="2">
        <v>1</v>
      </c>
      <c r="F55" s="2">
        <v>2</v>
      </c>
      <c r="G55" s="2">
        <v>3</v>
      </c>
      <c r="H55" s="2">
        <v>4</v>
      </c>
      <c r="I55" s="2">
        <v>5</v>
      </c>
      <c r="J55" s="2">
        <v>6</v>
      </c>
      <c r="K55" s="2">
        <v>7</v>
      </c>
      <c r="L55" s="2">
        <v>8</v>
      </c>
    </row>
    <row r="56" spans="3:12" x14ac:dyDescent="0.3">
      <c r="D56" s="7"/>
      <c r="E56" s="20"/>
      <c r="F56" s="20"/>
      <c r="G56" s="20"/>
      <c r="H56" s="20"/>
      <c r="I56" s="20"/>
      <c r="J56" s="20"/>
    </row>
    <row r="57" spans="3:12" x14ac:dyDescent="0.3">
      <c r="D57" s="7"/>
      <c r="E57" s="20"/>
      <c r="F57" s="20"/>
      <c r="G57" s="20"/>
      <c r="H57" s="20"/>
      <c r="I57" s="20"/>
      <c r="J57" s="20"/>
    </row>
    <row r="58" spans="3:12" x14ac:dyDescent="0.3">
      <c r="D58" s="21" t="s">
        <v>60</v>
      </c>
      <c r="E58" s="21">
        <v>1000</v>
      </c>
      <c r="F58" s="20"/>
      <c r="G58" s="20"/>
      <c r="H58" s="20"/>
      <c r="I58" s="20"/>
      <c r="J58" s="20"/>
    </row>
    <row r="59" spans="3:12" x14ac:dyDescent="0.3">
      <c r="E59" s="20"/>
      <c r="F59" s="20"/>
      <c r="G59" s="20"/>
      <c r="H59" s="20"/>
      <c r="I59" s="20"/>
      <c r="J59" s="20"/>
    </row>
    <row r="60" spans="3:12" x14ac:dyDescent="0.3">
      <c r="D60" s="22" t="s">
        <v>61</v>
      </c>
      <c r="E60" s="22">
        <v>500</v>
      </c>
      <c r="F60" s="20"/>
      <c r="G60" s="20"/>
      <c r="H60" s="20"/>
      <c r="I60" s="20"/>
      <c r="J60" s="20"/>
    </row>
    <row r="61" spans="3:12" x14ac:dyDescent="0.3">
      <c r="D61" s="7"/>
      <c r="E61" s="20"/>
      <c r="F61" s="20"/>
      <c r="G61" s="20"/>
      <c r="H61" s="20"/>
      <c r="I61" s="20"/>
      <c r="J61" s="20"/>
    </row>
    <row r="62" spans="3:12" x14ac:dyDescent="0.3">
      <c r="E62" s="2">
        <v>1</v>
      </c>
      <c r="F62" s="2">
        <v>2</v>
      </c>
      <c r="G62" s="2">
        <v>3</v>
      </c>
      <c r="H62" s="2">
        <v>4</v>
      </c>
      <c r="I62" s="2">
        <v>5</v>
      </c>
      <c r="J62" s="2">
        <v>6</v>
      </c>
      <c r="K62" s="2">
        <v>7</v>
      </c>
      <c r="L62" s="2">
        <v>8</v>
      </c>
    </row>
    <row r="63" spans="3:12" x14ac:dyDescent="0.3">
      <c r="D63" s="6" t="s">
        <v>56</v>
      </c>
      <c r="E63" s="6">
        <v>10</v>
      </c>
      <c r="F63" s="6">
        <v>40</v>
      </c>
      <c r="G63" s="6">
        <v>60</v>
      </c>
      <c r="H63" s="6">
        <v>80</v>
      </c>
      <c r="I63" s="6">
        <v>100</v>
      </c>
      <c r="J63" s="6">
        <v>130</v>
      </c>
      <c r="K63" s="6">
        <v>150</v>
      </c>
      <c r="L63" s="6">
        <v>180</v>
      </c>
    </row>
    <row r="64" spans="3:12" x14ac:dyDescent="0.3">
      <c r="D64" s="19" t="s">
        <v>66</v>
      </c>
      <c r="E64" s="19">
        <v>140</v>
      </c>
      <c r="F64" s="19">
        <v>120</v>
      </c>
      <c r="G64" s="19">
        <v>110</v>
      </c>
      <c r="H64" s="19">
        <v>105</v>
      </c>
      <c r="I64" s="19">
        <v>100</v>
      </c>
      <c r="J64" s="19">
        <v>90</v>
      </c>
      <c r="K64" s="19">
        <v>80</v>
      </c>
      <c r="L64" s="19">
        <v>60</v>
      </c>
    </row>
    <row r="66" spans="4:12" x14ac:dyDescent="0.3">
      <c r="D66" s="24" t="s">
        <v>67</v>
      </c>
      <c r="E66" s="24">
        <v>600</v>
      </c>
    </row>
    <row r="67" spans="4:12" x14ac:dyDescent="0.3">
      <c r="D67" s="24" t="s">
        <v>68</v>
      </c>
      <c r="E67" s="24">
        <v>1500</v>
      </c>
    </row>
    <row r="69" spans="4:12" x14ac:dyDescent="0.3">
      <c r="E69" s="2">
        <v>1</v>
      </c>
      <c r="F69" s="2">
        <v>2</v>
      </c>
      <c r="G69" s="2">
        <v>3</v>
      </c>
      <c r="H69" s="2">
        <v>4</v>
      </c>
      <c r="I69" s="2">
        <v>5</v>
      </c>
      <c r="J69" s="2">
        <v>6</v>
      </c>
      <c r="K69" s="2">
        <v>7</v>
      </c>
      <c r="L69" s="2">
        <v>8</v>
      </c>
    </row>
    <row r="70" spans="4:12" x14ac:dyDescent="0.3">
      <c r="D70" s="6" t="s">
        <v>56</v>
      </c>
      <c r="E70" s="6">
        <v>10</v>
      </c>
      <c r="F70" s="6">
        <v>40</v>
      </c>
      <c r="G70" s="6">
        <v>60</v>
      </c>
      <c r="H70" s="6">
        <v>80</v>
      </c>
      <c r="I70" s="6">
        <v>100</v>
      </c>
      <c r="J70" s="6">
        <v>130</v>
      </c>
      <c r="K70" s="6">
        <v>150</v>
      </c>
      <c r="L70" s="6">
        <v>180</v>
      </c>
    </row>
    <row r="71" spans="4:12" x14ac:dyDescent="0.3">
      <c r="D71" s="23" t="s">
        <v>69</v>
      </c>
      <c r="E71" s="23">
        <v>140</v>
      </c>
      <c r="F71" s="23">
        <v>120</v>
      </c>
      <c r="G71" s="23">
        <v>110</v>
      </c>
      <c r="H71" s="23">
        <v>105</v>
      </c>
      <c r="I71" s="23">
        <v>100</v>
      </c>
      <c r="J71" s="23">
        <v>90</v>
      </c>
      <c r="K71" s="23">
        <v>80</v>
      </c>
      <c r="L71" s="23">
        <v>60</v>
      </c>
    </row>
    <row r="75" spans="4:12" x14ac:dyDescent="0.3">
      <c r="D75" s="7"/>
      <c r="E75" s="20"/>
      <c r="F75" s="20"/>
      <c r="G75" s="20"/>
      <c r="H75" s="20"/>
      <c r="I75" s="20"/>
      <c r="J75" s="20"/>
    </row>
    <row r="76" spans="4:12" x14ac:dyDescent="0.3">
      <c r="D76" t="s">
        <v>26</v>
      </c>
      <c r="G76" t="s">
        <v>33</v>
      </c>
    </row>
    <row r="78" spans="4:12" x14ac:dyDescent="0.3">
      <c r="D78" t="s">
        <v>27</v>
      </c>
    </row>
    <row r="79" spans="4:12" x14ac:dyDescent="0.3">
      <c r="D79" t="s">
        <v>28</v>
      </c>
    </row>
    <row r="80" spans="4:12" x14ac:dyDescent="0.3">
      <c r="D80" t="s">
        <v>29</v>
      </c>
    </row>
    <row r="81" spans="4:4" x14ac:dyDescent="0.3">
      <c r="D81" t="s">
        <v>30</v>
      </c>
    </row>
    <row r="82" spans="4:4" x14ac:dyDescent="0.3">
      <c r="D82" t="s">
        <v>32</v>
      </c>
    </row>
    <row r="84" spans="4:4" x14ac:dyDescent="0.3">
      <c r="D84" t="s">
        <v>31</v>
      </c>
    </row>
  </sheetData>
  <mergeCells count="2">
    <mergeCell ref="E5:L5"/>
    <mergeCell ref="E45:L45"/>
  </mergeCells>
  <conditionalFormatting sqref="E6:L13">
    <cfRule type="colorScale" priority="4">
      <colorScale>
        <cfvo type="min"/>
        <cfvo type="percentile" val="50"/>
        <cfvo type="max"/>
        <color rgb="FF00B0F0"/>
        <color rgb="FFFFC000"/>
        <color rgb="FFFF0000"/>
      </colorScale>
    </cfRule>
  </conditionalFormatting>
  <conditionalFormatting sqref="E28:L35">
    <cfRule type="colorScale" priority="2">
      <colorScale>
        <cfvo type="min"/>
        <cfvo type="percentile" val="50"/>
        <cfvo type="max"/>
        <color rgb="FF00B0F0"/>
        <color rgb="FFFFC000"/>
        <color rgb="FFFF0000"/>
      </colorScale>
    </cfRule>
  </conditionalFormatting>
  <conditionalFormatting sqref="E46:L53">
    <cfRule type="colorScale" priority="1">
      <colorScale>
        <cfvo type="min"/>
        <cfvo type="percentile" val="50"/>
        <cfvo type="max"/>
        <color rgb="FF00B0F0"/>
        <color rgb="FFFFC000"/>
        <color rgb="FFFF0000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13F-5926-4E2A-BE8B-BA6842E9DCED}">
  <dimension ref="A1:G55"/>
  <sheetViews>
    <sheetView topLeftCell="A5" workbookViewId="0">
      <selection activeCell="A5" sqref="A1:XFD1048576"/>
    </sheetView>
  </sheetViews>
  <sheetFormatPr defaultRowHeight="14.4" x14ac:dyDescent="0.3"/>
  <cols>
    <col min="4" max="4" width="13.33203125" bestFit="1" customWidth="1"/>
    <col min="5" max="5" width="15.88671875" bestFit="1" customWidth="1"/>
    <col min="6" max="6" width="14.88671875" bestFit="1" customWidth="1"/>
    <col min="7" max="7" width="15.109375" bestFit="1" customWidth="1"/>
  </cols>
  <sheetData>
    <row r="1" spans="1:7" x14ac:dyDescent="0.3">
      <c r="A1" s="1" t="s">
        <v>45</v>
      </c>
      <c r="B1" s="2">
        <v>0.5</v>
      </c>
    </row>
    <row r="4" spans="1:7" x14ac:dyDescent="0.3">
      <c r="A4" s="2" t="s">
        <v>46</v>
      </c>
      <c r="B4" s="2" t="s">
        <v>43</v>
      </c>
      <c r="C4" s="2" t="s">
        <v>44</v>
      </c>
      <c r="D4" s="15" t="s">
        <v>47</v>
      </c>
      <c r="E4" s="15" t="s">
        <v>48</v>
      </c>
      <c r="F4" s="15" t="s">
        <v>49</v>
      </c>
      <c r="G4" s="15" t="s">
        <v>50</v>
      </c>
    </row>
    <row r="5" spans="1:7" x14ac:dyDescent="0.3">
      <c r="A5" s="2">
        <v>0</v>
      </c>
      <c r="B5" s="2">
        <v>100</v>
      </c>
      <c r="C5" s="2">
        <v>0</v>
      </c>
      <c r="D5" s="2"/>
      <c r="E5" s="2"/>
      <c r="F5" s="2">
        <v>80</v>
      </c>
      <c r="G5" s="2">
        <v>-70</v>
      </c>
    </row>
    <row r="6" spans="1:7" x14ac:dyDescent="0.3">
      <c r="A6" s="2">
        <v>1</v>
      </c>
      <c r="B6" s="2">
        <v>100</v>
      </c>
      <c r="C6" s="2">
        <f>(B6-C5)*$B$1+C5</f>
        <v>50</v>
      </c>
      <c r="D6" s="2">
        <f>B6-B5</f>
        <v>0</v>
      </c>
      <c r="E6" s="2">
        <f>C6-C5</f>
        <v>50</v>
      </c>
      <c r="F6" s="2">
        <v>80</v>
      </c>
      <c r="G6" s="2">
        <v>-70</v>
      </c>
    </row>
    <row r="7" spans="1:7" x14ac:dyDescent="0.3">
      <c r="A7" s="2">
        <v>2</v>
      </c>
      <c r="B7" s="2">
        <v>100</v>
      </c>
      <c r="C7" s="2">
        <f t="shared" ref="C7:C55" si="0">(B7-C6)*$B$1+C6</f>
        <v>75</v>
      </c>
      <c r="D7" s="2">
        <f t="shared" ref="D7:D55" si="1">B7-B6</f>
        <v>0</v>
      </c>
      <c r="E7" s="2">
        <f t="shared" ref="E7:E55" si="2">C7-C6</f>
        <v>25</v>
      </c>
      <c r="F7" s="2">
        <v>80</v>
      </c>
      <c r="G7" s="2">
        <v>-70</v>
      </c>
    </row>
    <row r="8" spans="1:7" x14ac:dyDescent="0.3">
      <c r="A8" s="2">
        <v>3</v>
      </c>
      <c r="B8" s="2">
        <v>100</v>
      </c>
      <c r="C8" s="2">
        <f t="shared" si="0"/>
        <v>87.5</v>
      </c>
      <c r="D8" s="2">
        <f t="shared" si="1"/>
        <v>0</v>
      </c>
      <c r="E8" s="2">
        <f t="shared" si="2"/>
        <v>12.5</v>
      </c>
      <c r="F8" s="2">
        <v>80</v>
      </c>
      <c r="G8" s="2">
        <v>-70</v>
      </c>
    </row>
    <row r="9" spans="1:7" x14ac:dyDescent="0.3">
      <c r="A9" s="2">
        <v>4</v>
      </c>
      <c r="B9" s="2">
        <v>100</v>
      </c>
      <c r="C9" s="2">
        <f t="shared" si="0"/>
        <v>93.75</v>
      </c>
      <c r="D9" s="2">
        <f t="shared" si="1"/>
        <v>0</v>
      </c>
      <c r="E9" s="2">
        <f t="shared" si="2"/>
        <v>6.25</v>
      </c>
      <c r="F9" s="2">
        <v>80</v>
      </c>
      <c r="G9" s="2">
        <v>-70</v>
      </c>
    </row>
    <row r="10" spans="1:7" x14ac:dyDescent="0.3">
      <c r="A10" s="2">
        <v>5</v>
      </c>
      <c r="B10" s="2">
        <v>100</v>
      </c>
      <c r="C10" s="2">
        <f t="shared" si="0"/>
        <v>96.875</v>
      </c>
      <c r="D10" s="2">
        <f t="shared" si="1"/>
        <v>0</v>
      </c>
      <c r="E10" s="2">
        <f t="shared" si="2"/>
        <v>3.125</v>
      </c>
      <c r="F10" s="2">
        <v>80</v>
      </c>
      <c r="G10" s="2">
        <v>-70</v>
      </c>
    </row>
    <row r="11" spans="1:7" x14ac:dyDescent="0.3">
      <c r="A11" s="2">
        <v>6</v>
      </c>
      <c r="B11" s="2">
        <v>100</v>
      </c>
      <c r="C11" s="2">
        <f t="shared" si="0"/>
        <v>98.4375</v>
      </c>
      <c r="D11" s="2">
        <f t="shared" si="1"/>
        <v>0</v>
      </c>
      <c r="E11" s="2">
        <f t="shared" si="2"/>
        <v>1.5625</v>
      </c>
      <c r="F11" s="2">
        <v>80</v>
      </c>
      <c r="G11" s="2">
        <v>-70</v>
      </c>
    </row>
    <row r="12" spans="1:7" x14ac:dyDescent="0.3">
      <c r="A12" s="2">
        <v>7</v>
      </c>
      <c r="B12" s="2">
        <v>100</v>
      </c>
      <c r="C12" s="2">
        <f t="shared" si="0"/>
        <v>99.21875</v>
      </c>
      <c r="D12" s="2">
        <f t="shared" si="1"/>
        <v>0</v>
      </c>
      <c r="E12" s="2">
        <f t="shared" si="2"/>
        <v>0.78125</v>
      </c>
      <c r="F12" s="2">
        <v>80</v>
      </c>
      <c r="G12" s="2">
        <v>-70</v>
      </c>
    </row>
    <row r="13" spans="1:7" x14ac:dyDescent="0.3">
      <c r="A13" s="2">
        <v>8</v>
      </c>
      <c r="B13" s="2">
        <v>0</v>
      </c>
      <c r="C13" s="2">
        <f t="shared" si="0"/>
        <v>49.609375</v>
      </c>
      <c r="D13" s="2">
        <f t="shared" si="1"/>
        <v>-100</v>
      </c>
      <c r="E13" s="2">
        <f t="shared" si="2"/>
        <v>-49.609375</v>
      </c>
      <c r="F13" s="2">
        <v>80</v>
      </c>
      <c r="G13" s="2">
        <v>-70</v>
      </c>
    </row>
    <row r="14" spans="1:7" x14ac:dyDescent="0.3">
      <c r="A14" s="2">
        <v>9</v>
      </c>
      <c r="B14" s="2">
        <v>0</v>
      </c>
      <c r="C14" s="2">
        <f t="shared" si="0"/>
        <v>24.8046875</v>
      </c>
      <c r="D14" s="2">
        <f t="shared" si="1"/>
        <v>0</v>
      </c>
      <c r="E14" s="2">
        <f t="shared" si="2"/>
        <v>-24.8046875</v>
      </c>
      <c r="F14" s="2">
        <v>80</v>
      </c>
      <c r="G14" s="2">
        <v>-70</v>
      </c>
    </row>
    <row r="15" spans="1:7" x14ac:dyDescent="0.3">
      <c r="A15" s="2">
        <v>10</v>
      </c>
      <c r="B15" s="2">
        <v>0</v>
      </c>
      <c r="C15" s="2">
        <f t="shared" si="0"/>
        <v>12.40234375</v>
      </c>
      <c r="D15" s="2">
        <f t="shared" si="1"/>
        <v>0</v>
      </c>
      <c r="E15" s="2">
        <f t="shared" si="2"/>
        <v>-12.40234375</v>
      </c>
      <c r="F15" s="2">
        <v>80</v>
      </c>
      <c r="G15" s="2">
        <v>-70</v>
      </c>
    </row>
    <row r="16" spans="1:7" x14ac:dyDescent="0.3">
      <c r="A16" s="2">
        <v>11</v>
      </c>
      <c r="B16" s="2">
        <v>0</v>
      </c>
      <c r="C16" s="2">
        <f t="shared" si="0"/>
        <v>6.201171875</v>
      </c>
      <c r="D16" s="2">
        <f t="shared" si="1"/>
        <v>0</v>
      </c>
      <c r="E16" s="2">
        <f t="shared" si="2"/>
        <v>-6.201171875</v>
      </c>
      <c r="F16" s="2">
        <v>80</v>
      </c>
      <c r="G16" s="2">
        <v>-70</v>
      </c>
    </row>
    <row r="17" spans="1:7" x14ac:dyDescent="0.3">
      <c r="A17" s="2">
        <v>12</v>
      </c>
      <c r="B17" s="2">
        <v>0</v>
      </c>
      <c r="C17" s="2">
        <f t="shared" si="0"/>
        <v>3.1005859375</v>
      </c>
      <c r="D17" s="2">
        <f t="shared" si="1"/>
        <v>0</v>
      </c>
      <c r="E17" s="2">
        <f t="shared" si="2"/>
        <v>-3.1005859375</v>
      </c>
      <c r="F17" s="2">
        <v>80</v>
      </c>
      <c r="G17" s="2">
        <v>-70</v>
      </c>
    </row>
    <row r="18" spans="1:7" x14ac:dyDescent="0.3">
      <c r="A18" s="2">
        <v>13</v>
      </c>
      <c r="B18" s="2">
        <v>0</v>
      </c>
      <c r="C18" s="2">
        <f t="shared" si="0"/>
        <v>1.55029296875</v>
      </c>
      <c r="D18" s="2">
        <f t="shared" si="1"/>
        <v>0</v>
      </c>
      <c r="E18" s="2">
        <f t="shared" si="2"/>
        <v>-1.55029296875</v>
      </c>
      <c r="F18" s="2">
        <v>80</v>
      </c>
      <c r="G18" s="2">
        <v>-70</v>
      </c>
    </row>
    <row r="19" spans="1:7" x14ac:dyDescent="0.3">
      <c r="A19" s="2">
        <v>14</v>
      </c>
      <c r="B19" s="2">
        <v>0</v>
      </c>
      <c r="C19" s="2">
        <f t="shared" si="0"/>
        <v>0.775146484375</v>
      </c>
      <c r="D19" s="2">
        <f t="shared" si="1"/>
        <v>0</v>
      </c>
      <c r="E19" s="2">
        <f t="shared" si="2"/>
        <v>-0.775146484375</v>
      </c>
      <c r="F19" s="2">
        <v>80</v>
      </c>
      <c r="G19" s="2">
        <v>-70</v>
      </c>
    </row>
    <row r="20" spans="1:7" x14ac:dyDescent="0.3">
      <c r="A20" s="2">
        <v>15</v>
      </c>
      <c r="B20" s="2">
        <v>0</v>
      </c>
      <c r="C20" s="2">
        <f t="shared" si="0"/>
        <v>0.3875732421875</v>
      </c>
      <c r="D20" s="2">
        <f t="shared" si="1"/>
        <v>0</v>
      </c>
      <c r="E20" s="2">
        <f t="shared" si="2"/>
        <v>-0.3875732421875</v>
      </c>
      <c r="F20" s="2">
        <v>80</v>
      </c>
      <c r="G20" s="2">
        <v>-70</v>
      </c>
    </row>
    <row r="21" spans="1:7" x14ac:dyDescent="0.3">
      <c r="A21" s="2">
        <v>16</v>
      </c>
      <c r="B21" s="2">
        <v>0</v>
      </c>
      <c r="C21" s="2">
        <f t="shared" si="0"/>
        <v>0.19378662109375</v>
      </c>
      <c r="D21" s="2">
        <f t="shared" si="1"/>
        <v>0</v>
      </c>
      <c r="E21" s="2">
        <f t="shared" si="2"/>
        <v>-0.19378662109375</v>
      </c>
      <c r="F21" s="2">
        <v>80</v>
      </c>
      <c r="G21" s="2">
        <v>-70</v>
      </c>
    </row>
    <row r="22" spans="1:7" x14ac:dyDescent="0.3">
      <c r="A22" s="2">
        <v>17</v>
      </c>
      <c r="B22" s="2">
        <v>100</v>
      </c>
      <c r="C22" s="2">
        <f t="shared" si="0"/>
        <v>50.096893310546875</v>
      </c>
      <c r="D22" s="2">
        <f t="shared" si="1"/>
        <v>100</v>
      </c>
      <c r="E22" s="2">
        <f t="shared" si="2"/>
        <v>49.903106689453125</v>
      </c>
      <c r="F22" s="2">
        <v>80</v>
      </c>
      <c r="G22" s="2">
        <v>-70</v>
      </c>
    </row>
    <row r="23" spans="1:7" x14ac:dyDescent="0.3">
      <c r="A23" s="2">
        <v>18</v>
      </c>
      <c r="B23" s="2">
        <v>100</v>
      </c>
      <c r="C23" s="2">
        <f t="shared" si="0"/>
        <v>75.048446655273438</v>
      </c>
      <c r="D23" s="2">
        <f t="shared" si="1"/>
        <v>0</v>
      </c>
      <c r="E23" s="2">
        <f t="shared" si="2"/>
        <v>24.951553344726563</v>
      </c>
      <c r="F23" s="2">
        <v>80</v>
      </c>
      <c r="G23" s="2">
        <v>-70</v>
      </c>
    </row>
    <row r="24" spans="1:7" x14ac:dyDescent="0.3">
      <c r="A24" s="2">
        <v>19</v>
      </c>
      <c r="B24" s="2">
        <v>100</v>
      </c>
      <c r="C24" s="2">
        <f t="shared" si="0"/>
        <v>87.524223327636719</v>
      </c>
      <c r="D24" s="2">
        <f t="shared" si="1"/>
        <v>0</v>
      </c>
      <c r="E24" s="2">
        <f t="shared" si="2"/>
        <v>12.475776672363281</v>
      </c>
      <c r="F24" s="2">
        <v>80</v>
      </c>
      <c r="G24" s="2">
        <v>-70</v>
      </c>
    </row>
    <row r="25" spans="1:7" x14ac:dyDescent="0.3">
      <c r="A25" s="2">
        <v>20</v>
      </c>
      <c r="B25" s="2">
        <v>100</v>
      </c>
      <c r="C25" s="2">
        <f t="shared" si="0"/>
        <v>93.762111663818359</v>
      </c>
      <c r="D25" s="2">
        <f t="shared" si="1"/>
        <v>0</v>
      </c>
      <c r="E25" s="2">
        <f t="shared" si="2"/>
        <v>6.2378883361816406</v>
      </c>
      <c r="F25" s="2">
        <v>80</v>
      </c>
      <c r="G25" s="2">
        <v>-70</v>
      </c>
    </row>
    <row r="26" spans="1:7" x14ac:dyDescent="0.3">
      <c r="A26" s="2">
        <v>21</v>
      </c>
      <c r="B26" s="2">
        <v>60</v>
      </c>
      <c r="C26" s="2">
        <f t="shared" si="0"/>
        <v>76.88105583190918</v>
      </c>
      <c r="D26" s="2">
        <f t="shared" si="1"/>
        <v>-40</v>
      </c>
      <c r="E26" s="2">
        <f t="shared" si="2"/>
        <v>-16.88105583190918</v>
      </c>
      <c r="F26" s="2">
        <v>80</v>
      </c>
      <c r="G26" s="2">
        <v>-70</v>
      </c>
    </row>
    <row r="27" spans="1:7" x14ac:dyDescent="0.3">
      <c r="A27" s="2">
        <v>22</v>
      </c>
      <c r="B27" s="2">
        <v>100</v>
      </c>
      <c r="C27" s="2">
        <f t="shared" si="0"/>
        <v>88.44052791595459</v>
      </c>
      <c r="D27" s="2">
        <f t="shared" si="1"/>
        <v>40</v>
      </c>
      <c r="E27" s="2">
        <f t="shared" si="2"/>
        <v>11.55947208404541</v>
      </c>
      <c r="F27" s="2">
        <v>80</v>
      </c>
      <c r="G27" s="2">
        <v>-70</v>
      </c>
    </row>
    <row r="28" spans="1:7" x14ac:dyDescent="0.3">
      <c r="A28" s="2">
        <v>23</v>
      </c>
      <c r="B28" s="2">
        <v>100</v>
      </c>
      <c r="C28" s="2">
        <f t="shared" si="0"/>
        <v>94.220263957977295</v>
      </c>
      <c r="D28" s="2">
        <f t="shared" si="1"/>
        <v>0</v>
      </c>
      <c r="E28" s="2">
        <f t="shared" si="2"/>
        <v>5.7797360420227051</v>
      </c>
      <c r="F28" s="2">
        <v>80</v>
      </c>
      <c r="G28" s="2">
        <v>-70</v>
      </c>
    </row>
    <row r="29" spans="1:7" x14ac:dyDescent="0.3">
      <c r="A29" s="2">
        <v>24</v>
      </c>
      <c r="B29" s="2">
        <v>100</v>
      </c>
      <c r="C29" s="2">
        <f t="shared" si="0"/>
        <v>97.110131978988647</v>
      </c>
      <c r="D29" s="2">
        <f t="shared" si="1"/>
        <v>0</v>
      </c>
      <c r="E29" s="2">
        <f t="shared" si="2"/>
        <v>2.8898680210113525</v>
      </c>
      <c r="F29" s="2">
        <v>80</v>
      </c>
      <c r="G29" s="2">
        <v>-70</v>
      </c>
    </row>
    <row r="30" spans="1:7" x14ac:dyDescent="0.3">
      <c r="A30" s="2">
        <v>25</v>
      </c>
      <c r="B30" s="2">
        <v>100</v>
      </c>
      <c r="C30" s="2">
        <f t="shared" si="0"/>
        <v>98.555065989494324</v>
      </c>
      <c r="D30" s="2">
        <f t="shared" si="1"/>
        <v>0</v>
      </c>
      <c r="E30" s="2">
        <f t="shared" si="2"/>
        <v>1.4449340105056763</v>
      </c>
      <c r="F30" s="2">
        <v>80</v>
      </c>
      <c r="G30" s="2">
        <v>-70</v>
      </c>
    </row>
    <row r="31" spans="1:7" x14ac:dyDescent="0.3">
      <c r="A31" s="2">
        <v>26</v>
      </c>
      <c r="B31" s="2">
        <v>100</v>
      </c>
      <c r="C31" s="2">
        <f t="shared" si="0"/>
        <v>99.277532994747162</v>
      </c>
      <c r="D31" s="2">
        <f t="shared" si="1"/>
        <v>0</v>
      </c>
      <c r="E31" s="2">
        <f t="shared" si="2"/>
        <v>0.72246700525283813</v>
      </c>
      <c r="F31" s="2">
        <v>80</v>
      </c>
      <c r="G31" s="2">
        <v>-70</v>
      </c>
    </row>
    <row r="32" spans="1:7" x14ac:dyDescent="0.3">
      <c r="A32" s="2">
        <v>27</v>
      </c>
      <c r="B32" s="2">
        <v>100</v>
      </c>
      <c r="C32" s="2">
        <f t="shared" si="0"/>
        <v>99.638766497373581</v>
      </c>
      <c r="D32" s="2">
        <f t="shared" si="1"/>
        <v>0</v>
      </c>
      <c r="E32" s="2">
        <f t="shared" si="2"/>
        <v>0.36123350262641907</v>
      </c>
      <c r="F32" s="2">
        <v>80</v>
      </c>
      <c r="G32" s="2">
        <v>-70</v>
      </c>
    </row>
    <row r="33" spans="1:7" x14ac:dyDescent="0.3">
      <c r="A33" s="2">
        <v>28</v>
      </c>
      <c r="B33" s="2">
        <v>100</v>
      </c>
      <c r="C33" s="2">
        <f t="shared" si="0"/>
        <v>99.81938324868679</v>
      </c>
      <c r="D33" s="2">
        <f t="shared" si="1"/>
        <v>0</v>
      </c>
      <c r="E33" s="2">
        <f t="shared" si="2"/>
        <v>0.18061675131320953</v>
      </c>
      <c r="F33" s="2">
        <v>80</v>
      </c>
      <c r="G33" s="2">
        <v>-70</v>
      </c>
    </row>
    <row r="34" spans="1:7" x14ac:dyDescent="0.3">
      <c r="A34" s="2">
        <v>29</v>
      </c>
      <c r="B34" s="2">
        <v>0</v>
      </c>
      <c r="C34" s="2">
        <f t="shared" si="0"/>
        <v>49.909691624343395</v>
      </c>
      <c r="D34" s="2">
        <f t="shared" si="1"/>
        <v>-100</v>
      </c>
      <c r="E34" s="2">
        <f t="shared" si="2"/>
        <v>-49.909691624343395</v>
      </c>
      <c r="F34" s="2">
        <v>80</v>
      </c>
      <c r="G34" s="2">
        <v>-70</v>
      </c>
    </row>
    <row r="35" spans="1:7" x14ac:dyDescent="0.3">
      <c r="A35" s="2">
        <v>30</v>
      </c>
      <c r="B35" s="2">
        <v>0</v>
      </c>
      <c r="C35" s="2">
        <f t="shared" si="0"/>
        <v>24.954845812171698</v>
      </c>
      <c r="D35" s="2">
        <f t="shared" si="1"/>
        <v>0</v>
      </c>
      <c r="E35" s="2">
        <f t="shared" si="2"/>
        <v>-24.954845812171698</v>
      </c>
      <c r="F35" s="2">
        <v>80</v>
      </c>
      <c r="G35" s="2">
        <v>-70</v>
      </c>
    </row>
    <row r="36" spans="1:7" x14ac:dyDescent="0.3">
      <c r="A36" s="2">
        <v>31</v>
      </c>
      <c r="B36" s="2">
        <v>0</v>
      </c>
      <c r="C36" s="2">
        <f t="shared" si="0"/>
        <v>12.477422906085849</v>
      </c>
      <c r="D36" s="2">
        <f t="shared" si="1"/>
        <v>0</v>
      </c>
      <c r="E36" s="2">
        <f t="shared" si="2"/>
        <v>-12.477422906085849</v>
      </c>
      <c r="F36" s="2">
        <v>80</v>
      </c>
      <c r="G36" s="2">
        <v>-70</v>
      </c>
    </row>
    <row r="37" spans="1:7" x14ac:dyDescent="0.3">
      <c r="A37" s="2">
        <v>32</v>
      </c>
      <c r="B37" s="2">
        <v>0</v>
      </c>
      <c r="C37" s="2">
        <f t="shared" si="0"/>
        <v>6.2387114530429244</v>
      </c>
      <c r="D37" s="2">
        <f t="shared" si="1"/>
        <v>0</v>
      </c>
      <c r="E37" s="2">
        <f t="shared" si="2"/>
        <v>-6.2387114530429244</v>
      </c>
      <c r="F37" s="2">
        <v>80</v>
      </c>
      <c r="G37" s="2">
        <v>-70</v>
      </c>
    </row>
    <row r="38" spans="1:7" x14ac:dyDescent="0.3">
      <c r="A38" s="2">
        <v>33</v>
      </c>
      <c r="B38" s="2">
        <v>0</v>
      </c>
      <c r="C38" s="2">
        <f t="shared" si="0"/>
        <v>3.1193557265214622</v>
      </c>
      <c r="D38" s="2">
        <f t="shared" si="1"/>
        <v>0</v>
      </c>
      <c r="E38" s="2">
        <f t="shared" si="2"/>
        <v>-3.1193557265214622</v>
      </c>
      <c r="F38" s="2">
        <v>80</v>
      </c>
      <c r="G38" s="2">
        <v>-70</v>
      </c>
    </row>
    <row r="39" spans="1:7" x14ac:dyDescent="0.3">
      <c r="A39" s="2">
        <v>34</v>
      </c>
      <c r="B39" s="2">
        <v>0</v>
      </c>
      <c r="C39" s="2">
        <f t="shared" si="0"/>
        <v>1.5596778632607311</v>
      </c>
      <c r="D39" s="2">
        <f t="shared" si="1"/>
        <v>0</v>
      </c>
      <c r="E39" s="2">
        <f t="shared" si="2"/>
        <v>-1.5596778632607311</v>
      </c>
      <c r="F39" s="2">
        <v>80</v>
      </c>
      <c r="G39" s="2">
        <v>-70</v>
      </c>
    </row>
    <row r="40" spans="1:7" x14ac:dyDescent="0.3">
      <c r="A40" s="2">
        <v>35</v>
      </c>
      <c r="B40" s="2">
        <v>0</v>
      </c>
      <c r="C40" s="2">
        <f t="shared" si="0"/>
        <v>0.77983893163036555</v>
      </c>
      <c r="D40" s="2">
        <f t="shared" si="1"/>
        <v>0</v>
      </c>
      <c r="E40" s="2">
        <f t="shared" si="2"/>
        <v>-0.77983893163036555</v>
      </c>
      <c r="F40" s="2">
        <v>80</v>
      </c>
      <c r="G40" s="2">
        <v>-70</v>
      </c>
    </row>
    <row r="41" spans="1:7" x14ac:dyDescent="0.3">
      <c r="A41" s="2">
        <v>36</v>
      </c>
      <c r="B41" s="2">
        <v>0</v>
      </c>
      <c r="C41" s="2">
        <f t="shared" si="0"/>
        <v>0.38991946581518278</v>
      </c>
      <c r="D41" s="2">
        <f t="shared" si="1"/>
        <v>0</v>
      </c>
      <c r="E41" s="2">
        <f t="shared" si="2"/>
        <v>-0.38991946581518278</v>
      </c>
      <c r="F41" s="2">
        <v>80</v>
      </c>
      <c r="G41" s="2">
        <v>-70</v>
      </c>
    </row>
    <row r="42" spans="1:7" x14ac:dyDescent="0.3">
      <c r="A42" s="2">
        <v>37</v>
      </c>
      <c r="B42" s="2">
        <v>0</v>
      </c>
      <c r="C42" s="2">
        <f t="shared" si="0"/>
        <v>0.19495973290759139</v>
      </c>
      <c r="D42" s="2">
        <f t="shared" si="1"/>
        <v>0</v>
      </c>
      <c r="E42" s="2">
        <f t="shared" si="2"/>
        <v>-0.19495973290759139</v>
      </c>
      <c r="F42" s="2">
        <v>80</v>
      </c>
      <c r="G42" s="2">
        <v>-70</v>
      </c>
    </row>
    <row r="43" spans="1:7" x14ac:dyDescent="0.3">
      <c r="A43" s="2">
        <v>38</v>
      </c>
      <c r="B43" s="2">
        <v>0</v>
      </c>
      <c r="C43" s="2">
        <f t="shared" si="0"/>
        <v>9.7479866453795694E-2</v>
      </c>
      <c r="D43" s="2">
        <f t="shared" si="1"/>
        <v>0</v>
      </c>
      <c r="E43" s="2">
        <f t="shared" si="2"/>
        <v>-9.7479866453795694E-2</v>
      </c>
      <c r="F43" s="2">
        <v>80</v>
      </c>
      <c r="G43" s="2">
        <v>-70</v>
      </c>
    </row>
    <row r="44" spans="1:7" x14ac:dyDescent="0.3">
      <c r="A44" s="2">
        <v>39</v>
      </c>
      <c r="B44" s="2">
        <v>0</v>
      </c>
      <c r="C44" s="2">
        <f t="shared" si="0"/>
        <v>4.8739933226897847E-2</v>
      </c>
      <c r="D44" s="2">
        <f t="shared" si="1"/>
        <v>0</v>
      </c>
      <c r="E44" s="2">
        <f t="shared" si="2"/>
        <v>-4.8739933226897847E-2</v>
      </c>
      <c r="F44" s="2">
        <v>80</v>
      </c>
      <c r="G44" s="2">
        <v>-70</v>
      </c>
    </row>
    <row r="45" spans="1:7" x14ac:dyDescent="0.3">
      <c r="A45" s="2">
        <v>40</v>
      </c>
      <c r="B45" s="2">
        <v>0</v>
      </c>
      <c r="C45" s="2">
        <f t="shared" si="0"/>
        <v>2.4369966613448923E-2</v>
      </c>
      <c r="D45" s="2">
        <f t="shared" si="1"/>
        <v>0</v>
      </c>
      <c r="E45" s="2">
        <f t="shared" si="2"/>
        <v>-2.4369966613448923E-2</v>
      </c>
      <c r="F45" s="2">
        <v>80</v>
      </c>
      <c r="G45" s="2">
        <v>-70</v>
      </c>
    </row>
    <row r="46" spans="1:7" x14ac:dyDescent="0.3">
      <c r="A46" s="2">
        <v>41</v>
      </c>
      <c r="B46" s="2">
        <v>0</v>
      </c>
      <c r="C46" s="2">
        <f t="shared" si="0"/>
        <v>1.2184983306724462E-2</v>
      </c>
      <c r="D46" s="2">
        <f t="shared" si="1"/>
        <v>0</v>
      </c>
      <c r="E46" s="2">
        <f t="shared" si="2"/>
        <v>-1.2184983306724462E-2</v>
      </c>
      <c r="F46" s="2">
        <v>80</v>
      </c>
      <c r="G46" s="2">
        <v>-70</v>
      </c>
    </row>
    <row r="47" spans="1:7" x14ac:dyDescent="0.3">
      <c r="A47" s="2">
        <v>42</v>
      </c>
      <c r="B47" s="2">
        <v>0</v>
      </c>
      <c r="C47" s="2">
        <f t="shared" si="0"/>
        <v>6.0924916533622309E-3</v>
      </c>
      <c r="D47" s="2">
        <f t="shared" si="1"/>
        <v>0</v>
      </c>
      <c r="E47" s="2">
        <f t="shared" si="2"/>
        <v>-6.0924916533622309E-3</v>
      </c>
      <c r="F47" s="2">
        <v>80</v>
      </c>
      <c r="G47" s="2">
        <v>-70</v>
      </c>
    </row>
    <row r="48" spans="1:7" x14ac:dyDescent="0.3">
      <c r="A48" s="2">
        <v>43</v>
      </c>
      <c r="B48" s="2">
        <v>0</v>
      </c>
      <c r="C48" s="2">
        <f t="shared" si="0"/>
        <v>3.0462458266811154E-3</v>
      </c>
      <c r="D48" s="2">
        <f t="shared" si="1"/>
        <v>0</v>
      </c>
      <c r="E48" s="2">
        <f t="shared" si="2"/>
        <v>-3.0462458266811154E-3</v>
      </c>
      <c r="F48" s="2">
        <v>80</v>
      </c>
      <c r="G48" s="2">
        <v>-70</v>
      </c>
    </row>
    <row r="49" spans="1:7" x14ac:dyDescent="0.3">
      <c r="A49" s="2">
        <v>44</v>
      </c>
      <c r="B49" s="2">
        <v>100</v>
      </c>
      <c r="C49" s="2">
        <f t="shared" si="0"/>
        <v>50.001523122913341</v>
      </c>
      <c r="D49" s="2">
        <f t="shared" si="1"/>
        <v>100</v>
      </c>
      <c r="E49" s="2">
        <f t="shared" si="2"/>
        <v>49.998476877086659</v>
      </c>
      <c r="F49" s="2">
        <v>80</v>
      </c>
      <c r="G49" s="2">
        <v>-70</v>
      </c>
    </row>
    <row r="50" spans="1:7" x14ac:dyDescent="0.3">
      <c r="A50" s="2">
        <v>45</v>
      </c>
      <c r="B50" s="2">
        <v>100</v>
      </c>
      <c r="C50" s="2">
        <f t="shared" si="0"/>
        <v>75.00076156145667</v>
      </c>
      <c r="D50" s="2">
        <f t="shared" si="1"/>
        <v>0</v>
      </c>
      <c r="E50" s="2">
        <f t="shared" si="2"/>
        <v>24.99923843854333</v>
      </c>
      <c r="F50" s="2">
        <v>80</v>
      </c>
      <c r="G50" s="2">
        <v>-70</v>
      </c>
    </row>
    <row r="51" spans="1:7" x14ac:dyDescent="0.3">
      <c r="A51" s="2">
        <v>46</v>
      </c>
      <c r="B51" s="2">
        <v>100</v>
      </c>
      <c r="C51" s="2">
        <f t="shared" si="0"/>
        <v>87.500380780728335</v>
      </c>
      <c r="D51" s="2">
        <f t="shared" si="1"/>
        <v>0</v>
      </c>
      <c r="E51" s="2">
        <f t="shared" si="2"/>
        <v>12.499619219271665</v>
      </c>
      <c r="F51" s="2">
        <v>80</v>
      </c>
      <c r="G51" s="2">
        <v>-70</v>
      </c>
    </row>
    <row r="52" spans="1:7" x14ac:dyDescent="0.3">
      <c r="A52" s="2">
        <v>47</v>
      </c>
      <c r="B52" s="2">
        <v>100</v>
      </c>
      <c r="C52" s="2">
        <f t="shared" si="0"/>
        <v>93.750190390364168</v>
      </c>
      <c r="D52" s="2">
        <f t="shared" si="1"/>
        <v>0</v>
      </c>
      <c r="E52" s="2">
        <f t="shared" si="2"/>
        <v>6.2498096096358324</v>
      </c>
      <c r="F52" s="2">
        <v>80</v>
      </c>
      <c r="G52" s="2">
        <v>-70</v>
      </c>
    </row>
    <row r="53" spans="1:7" x14ac:dyDescent="0.3">
      <c r="A53" s="2">
        <v>48</v>
      </c>
      <c r="B53" s="2">
        <v>100</v>
      </c>
      <c r="C53" s="2">
        <f t="shared" si="0"/>
        <v>96.875095195182084</v>
      </c>
      <c r="D53" s="2">
        <f t="shared" si="1"/>
        <v>0</v>
      </c>
      <c r="E53" s="2">
        <f t="shared" si="2"/>
        <v>3.1249048048179162</v>
      </c>
      <c r="F53" s="2">
        <v>80</v>
      </c>
      <c r="G53" s="2">
        <v>-70</v>
      </c>
    </row>
    <row r="54" spans="1:7" x14ac:dyDescent="0.3">
      <c r="A54" s="2">
        <v>49</v>
      </c>
      <c r="B54" s="2">
        <v>100</v>
      </c>
      <c r="C54" s="2">
        <f t="shared" si="0"/>
        <v>98.437547597591049</v>
      </c>
      <c r="D54" s="2">
        <f t="shared" si="1"/>
        <v>0</v>
      </c>
      <c r="E54" s="2">
        <f t="shared" si="2"/>
        <v>1.5624524024089652</v>
      </c>
      <c r="F54" s="2">
        <v>80</v>
      </c>
      <c r="G54" s="2">
        <v>-70</v>
      </c>
    </row>
    <row r="55" spans="1:7" x14ac:dyDescent="0.3">
      <c r="A55" s="2">
        <v>50</v>
      </c>
      <c r="B55" s="2">
        <v>100</v>
      </c>
      <c r="C55" s="2">
        <f t="shared" si="0"/>
        <v>99.218773798795524</v>
      </c>
      <c r="D55" s="2">
        <f t="shared" si="1"/>
        <v>0</v>
      </c>
      <c r="E55" s="2">
        <f t="shared" si="2"/>
        <v>0.7812262012044755</v>
      </c>
      <c r="F55" s="2">
        <v>80</v>
      </c>
      <c r="G55" s="2">
        <v>-70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4E0FC-AFA1-4F6E-82AA-856FF48E36E7}">
  <dimension ref="A1:H55"/>
  <sheetViews>
    <sheetView workbookViewId="0">
      <selection activeCell="B18" sqref="B18"/>
    </sheetView>
  </sheetViews>
  <sheetFormatPr defaultRowHeight="14.4" x14ac:dyDescent="0.3"/>
  <cols>
    <col min="4" max="4" width="13.33203125" bestFit="1" customWidth="1"/>
    <col min="5" max="5" width="15.88671875" bestFit="1" customWidth="1"/>
    <col min="6" max="6" width="14.88671875" bestFit="1" customWidth="1"/>
    <col min="7" max="8" width="15.109375" bestFit="1" customWidth="1"/>
  </cols>
  <sheetData>
    <row r="1" spans="1:8" x14ac:dyDescent="0.3">
      <c r="A1" s="1" t="s">
        <v>45</v>
      </c>
      <c r="B1" s="2">
        <v>0.25</v>
      </c>
    </row>
    <row r="4" spans="1:8" x14ac:dyDescent="0.3">
      <c r="A4" s="2" t="s">
        <v>46</v>
      </c>
      <c r="B4" s="2" t="s">
        <v>127</v>
      </c>
      <c r="C4" s="2" t="s">
        <v>44</v>
      </c>
      <c r="D4" s="2" t="s">
        <v>128</v>
      </c>
      <c r="E4" s="15" t="s">
        <v>47</v>
      </c>
      <c r="F4" s="15" t="s">
        <v>48</v>
      </c>
      <c r="G4" s="15" t="s">
        <v>49</v>
      </c>
      <c r="H4" s="15" t="s">
        <v>50</v>
      </c>
    </row>
    <row r="5" spans="1:8" x14ac:dyDescent="0.3">
      <c r="A5" s="2">
        <v>0</v>
      </c>
      <c r="B5" s="2">
        <v>0</v>
      </c>
      <c r="C5" s="2">
        <v>0</v>
      </c>
      <c r="D5" s="2">
        <v>0</v>
      </c>
      <c r="E5" s="2"/>
      <c r="F5" s="2"/>
      <c r="G5" s="2">
        <v>80</v>
      </c>
      <c r="H5" s="2">
        <v>-70</v>
      </c>
    </row>
    <row r="6" spans="1:8" x14ac:dyDescent="0.3">
      <c r="A6" s="2">
        <v>1</v>
      </c>
      <c r="B6" s="2">
        <v>0</v>
      </c>
      <c r="C6" s="2">
        <f>(B6-C5)*$B$1+C5</f>
        <v>0</v>
      </c>
      <c r="D6" s="2">
        <f>B6-C5</f>
        <v>0</v>
      </c>
      <c r="E6" s="2">
        <f>B6-B5</f>
        <v>0</v>
      </c>
      <c r="F6" s="2">
        <f>C6-C5</f>
        <v>0</v>
      </c>
      <c r="G6" s="2">
        <v>80</v>
      </c>
      <c r="H6" s="2">
        <v>-70</v>
      </c>
    </row>
    <row r="7" spans="1:8" x14ac:dyDescent="0.3">
      <c r="A7" s="2">
        <v>2</v>
      </c>
      <c r="B7" s="2">
        <v>0</v>
      </c>
      <c r="C7" s="2">
        <f t="shared" ref="C7:C55" si="0">(B7-C6)*$B$1+C6</f>
        <v>0</v>
      </c>
      <c r="D7" s="2">
        <f t="shared" ref="D7:D55" si="1">B7-C6</f>
        <v>0</v>
      </c>
      <c r="E7" s="2">
        <f t="shared" ref="E7:F55" si="2">B7-B6</f>
        <v>0</v>
      </c>
      <c r="F7" s="2">
        <f t="shared" si="2"/>
        <v>0</v>
      </c>
      <c r="G7" s="2">
        <v>80</v>
      </c>
      <c r="H7" s="2">
        <v>-70</v>
      </c>
    </row>
    <row r="8" spans="1:8" x14ac:dyDescent="0.3">
      <c r="A8" s="2">
        <v>3</v>
      </c>
      <c r="B8" s="2">
        <v>0</v>
      </c>
      <c r="C8" s="2">
        <f t="shared" si="0"/>
        <v>0</v>
      </c>
      <c r="D8" s="2">
        <f t="shared" si="1"/>
        <v>0</v>
      </c>
      <c r="E8" s="2">
        <f t="shared" si="2"/>
        <v>0</v>
      </c>
      <c r="F8" s="2">
        <f t="shared" si="2"/>
        <v>0</v>
      </c>
      <c r="G8" s="2">
        <v>80</v>
      </c>
      <c r="H8" s="2">
        <v>-70</v>
      </c>
    </row>
    <row r="9" spans="1:8" x14ac:dyDescent="0.3">
      <c r="A9" s="2">
        <v>4</v>
      </c>
      <c r="B9" s="2">
        <v>0</v>
      </c>
      <c r="C9" s="2">
        <f t="shared" si="0"/>
        <v>0</v>
      </c>
      <c r="D9" s="2">
        <f t="shared" si="1"/>
        <v>0</v>
      </c>
      <c r="E9" s="2">
        <f t="shared" si="2"/>
        <v>0</v>
      </c>
      <c r="F9" s="2">
        <f t="shared" si="2"/>
        <v>0</v>
      </c>
      <c r="G9" s="2">
        <v>80</v>
      </c>
      <c r="H9" s="2">
        <v>-70</v>
      </c>
    </row>
    <row r="10" spans="1:8" x14ac:dyDescent="0.3">
      <c r="A10" s="2">
        <v>5</v>
      </c>
      <c r="B10" s="2">
        <v>130</v>
      </c>
      <c r="C10" s="2">
        <f t="shared" si="0"/>
        <v>32.5</v>
      </c>
      <c r="D10" s="2">
        <f t="shared" si="1"/>
        <v>130</v>
      </c>
      <c r="E10" s="2">
        <f t="shared" si="2"/>
        <v>130</v>
      </c>
      <c r="F10" s="2">
        <f t="shared" si="2"/>
        <v>32.5</v>
      </c>
      <c r="G10" s="2">
        <v>80</v>
      </c>
      <c r="H10" s="2">
        <v>-70</v>
      </c>
    </row>
    <row r="11" spans="1:8" x14ac:dyDescent="0.3">
      <c r="A11" s="2">
        <v>6</v>
      </c>
      <c r="B11" s="2">
        <v>130</v>
      </c>
      <c r="C11" s="2">
        <f t="shared" si="0"/>
        <v>56.875</v>
      </c>
      <c r="D11" s="2">
        <f t="shared" si="1"/>
        <v>97.5</v>
      </c>
      <c r="E11" s="2">
        <f t="shared" si="2"/>
        <v>0</v>
      </c>
      <c r="F11" s="2">
        <f t="shared" si="2"/>
        <v>24.375</v>
      </c>
      <c r="G11" s="2">
        <v>80</v>
      </c>
      <c r="H11" s="2">
        <v>-70</v>
      </c>
    </row>
    <row r="12" spans="1:8" x14ac:dyDescent="0.3">
      <c r="A12" s="2">
        <v>7</v>
      </c>
      <c r="B12" s="2">
        <v>130</v>
      </c>
      <c r="C12" s="2">
        <f t="shared" si="0"/>
        <v>75.15625</v>
      </c>
      <c r="D12" s="2">
        <f t="shared" si="1"/>
        <v>73.125</v>
      </c>
      <c r="E12" s="2">
        <f t="shared" si="2"/>
        <v>0</v>
      </c>
      <c r="F12" s="2">
        <f t="shared" si="2"/>
        <v>18.28125</v>
      </c>
      <c r="G12" s="2">
        <v>80</v>
      </c>
      <c r="H12" s="2">
        <v>-70</v>
      </c>
    </row>
    <row r="13" spans="1:8" x14ac:dyDescent="0.3">
      <c r="A13" s="2">
        <v>8</v>
      </c>
      <c r="B13" s="2">
        <v>130</v>
      </c>
      <c r="C13" s="2">
        <f t="shared" si="0"/>
        <v>88.8671875</v>
      </c>
      <c r="D13" s="2">
        <f t="shared" si="1"/>
        <v>54.84375</v>
      </c>
      <c r="E13" s="2">
        <f t="shared" si="2"/>
        <v>0</v>
      </c>
      <c r="F13" s="2">
        <f t="shared" si="2"/>
        <v>13.7109375</v>
      </c>
      <c r="G13" s="2">
        <v>80</v>
      </c>
      <c r="H13" s="2">
        <v>-70</v>
      </c>
    </row>
    <row r="14" spans="1:8" x14ac:dyDescent="0.3">
      <c r="A14" s="2">
        <v>9</v>
      </c>
      <c r="B14" s="2">
        <v>130</v>
      </c>
      <c r="C14" s="2">
        <f t="shared" si="0"/>
        <v>99.150390625</v>
      </c>
      <c r="D14" s="2">
        <f t="shared" si="1"/>
        <v>41.1328125</v>
      </c>
      <c r="E14" s="2">
        <f t="shared" si="2"/>
        <v>0</v>
      </c>
      <c r="F14" s="2">
        <f t="shared" si="2"/>
        <v>10.283203125</v>
      </c>
      <c r="G14" s="2">
        <v>80</v>
      </c>
      <c r="H14" s="2">
        <v>-70</v>
      </c>
    </row>
    <row r="15" spans="1:8" x14ac:dyDescent="0.3">
      <c r="A15" s="2">
        <v>10</v>
      </c>
      <c r="B15" s="2">
        <v>130</v>
      </c>
      <c r="C15" s="2">
        <f t="shared" si="0"/>
        <v>106.86279296875</v>
      </c>
      <c r="D15" s="2">
        <f t="shared" si="1"/>
        <v>30.849609375</v>
      </c>
      <c r="E15" s="2">
        <f t="shared" si="2"/>
        <v>0</v>
      </c>
      <c r="F15" s="2">
        <f t="shared" si="2"/>
        <v>7.71240234375</v>
      </c>
      <c r="G15" s="2">
        <v>80</v>
      </c>
      <c r="H15" s="2">
        <v>-70</v>
      </c>
    </row>
    <row r="16" spans="1:8" x14ac:dyDescent="0.3">
      <c r="A16" s="2">
        <v>11</v>
      </c>
      <c r="B16" s="2">
        <v>0</v>
      </c>
      <c r="C16" s="2">
        <f t="shared" si="0"/>
        <v>80.1470947265625</v>
      </c>
      <c r="D16" s="2">
        <f t="shared" si="1"/>
        <v>-106.86279296875</v>
      </c>
      <c r="E16" s="2">
        <f t="shared" si="2"/>
        <v>-130</v>
      </c>
      <c r="F16" s="2">
        <f t="shared" si="2"/>
        <v>-26.7156982421875</v>
      </c>
      <c r="G16" s="2">
        <v>80</v>
      </c>
      <c r="H16" s="2">
        <v>-70</v>
      </c>
    </row>
    <row r="17" spans="1:8" x14ac:dyDescent="0.3">
      <c r="A17" s="2">
        <v>12</v>
      </c>
      <c r="B17" s="2">
        <v>130</v>
      </c>
      <c r="C17" s="2">
        <f t="shared" si="0"/>
        <v>92.610321044921875</v>
      </c>
      <c r="D17" s="2">
        <f t="shared" si="1"/>
        <v>49.8529052734375</v>
      </c>
      <c r="E17" s="2">
        <f t="shared" si="2"/>
        <v>130</v>
      </c>
      <c r="F17" s="2">
        <f t="shared" si="2"/>
        <v>12.463226318359375</v>
      </c>
      <c r="G17" s="2">
        <v>80</v>
      </c>
      <c r="H17" s="2">
        <v>-70</v>
      </c>
    </row>
    <row r="18" spans="1:8" x14ac:dyDescent="0.3">
      <c r="A18" s="2">
        <v>13</v>
      </c>
      <c r="B18" s="2">
        <v>130</v>
      </c>
      <c r="C18" s="2">
        <f t="shared" si="0"/>
        <v>101.95774078369141</v>
      </c>
      <c r="D18" s="2">
        <f t="shared" si="1"/>
        <v>37.389678955078125</v>
      </c>
      <c r="E18" s="2">
        <f t="shared" si="2"/>
        <v>0</v>
      </c>
      <c r="F18" s="2">
        <f t="shared" si="2"/>
        <v>9.3474197387695313</v>
      </c>
      <c r="G18" s="2">
        <v>80</v>
      </c>
      <c r="H18" s="2">
        <v>-70</v>
      </c>
    </row>
    <row r="19" spans="1:8" x14ac:dyDescent="0.3">
      <c r="A19" s="2">
        <v>14</v>
      </c>
      <c r="B19" s="2">
        <v>130</v>
      </c>
      <c r="C19" s="2">
        <f t="shared" si="0"/>
        <v>108.96830558776855</v>
      </c>
      <c r="D19" s="2">
        <f t="shared" si="1"/>
        <v>28.042259216308594</v>
      </c>
      <c r="E19" s="2">
        <f t="shared" si="2"/>
        <v>0</v>
      </c>
      <c r="F19" s="2">
        <f t="shared" si="2"/>
        <v>7.0105648040771484</v>
      </c>
      <c r="G19" s="2">
        <v>80</v>
      </c>
      <c r="H19" s="2">
        <v>-70</v>
      </c>
    </row>
    <row r="20" spans="1:8" x14ac:dyDescent="0.3">
      <c r="A20" s="2">
        <v>15</v>
      </c>
      <c r="B20" s="2">
        <v>130</v>
      </c>
      <c r="C20" s="2">
        <f t="shared" si="0"/>
        <v>114.22622919082642</v>
      </c>
      <c r="D20" s="2">
        <f t="shared" si="1"/>
        <v>21.031694412231445</v>
      </c>
      <c r="E20" s="2">
        <f t="shared" si="2"/>
        <v>0</v>
      </c>
      <c r="F20" s="2">
        <f t="shared" si="2"/>
        <v>5.2579236030578613</v>
      </c>
      <c r="G20" s="2">
        <v>80</v>
      </c>
      <c r="H20" s="2">
        <v>-70</v>
      </c>
    </row>
    <row r="21" spans="1:8" x14ac:dyDescent="0.3">
      <c r="A21" s="2">
        <v>16</v>
      </c>
      <c r="B21" s="2">
        <v>130</v>
      </c>
      <c r="C21" s="2">
        <f t="shared" si="0"/>
        <v>118.16967189311981</v>
      </c>
      <c r="D21" s="2">
        <f t="shared" si="1"/>
        <v>15.773770809173584</v>
      </c>
      <c r="E21" s="2">
        <f t="shared" si="2"/>
        <v>0</v>
      </c>
      <c r="F21" s="2">
        <f t="shared" si="2"/>
        <v>3.943442702293396</v>
      </c>
      <c r="G21" s="2">
        <v>80</v>
      </c>
      <c r="H21" s="2">
        <v>-70</v>
      </c>
    </row>
    <row r="22" spans="1:8" x14ac:dyDescent="0.3">
      <c r="A22" s="2">
        <v>17</v>
      </c>
      <c r="B22" s="2">
        <v>130</v>
      </c>
      <c r="C22" s="2">
        <f t="shared" si="0"/>
        <v>121.12725391983986</v>
      </c>
      <c r="D22" s="2">
        <f t="shared" si="1"/>
        <v>11.830328106880188</v>
      </c>
      <c r="E22" s="2">
        <f t="shared" si="2"/>
        <v>0</v>
      </c>
      <c r="F22" s="2">
        <f t="shared" si="2"/>
        <v>2.957582026720047</v>
      </c>
      <c r="G22" s="2">
        <v>80</v>
      </c>
      <c r="H22" s="2">
        <v>-70</v>
      </c>
    </row>
    <row r="23" spans="1:8" x14ac:dyDescent="0.3">
      <c r="A23" s="2">
        <v>18</v>
      </c>
      <c r="B23" s="2">
        <v>130</v>
      </c>
      <c r="C23" s="2">
        <f t="shared" si="0"/>
        <v>123.34544043987989</v>
      </c>
      <c r="D23" s="2">
        <f t="shared" si="1"/>
        <v>8.872746080160141</v>
      </c>
      <c r="E23" s="2">
        <f t="shared" si="2"/>
        <v>0</v>
      </c>
      <c r="F23" s="2">
        <f t="shared" si="2"/>
        <v>2.2181865200400352</v>
      </c>
      <c r="G23" s="2">
        <v>80</v>
      </c>
      <c r="H23" s="2">
        <v>-70</v>
      </c>
    </row>
    <row r="24" spans="1:8" x14ac:dyDescent="0.3">
      <c r="A24" s="2">
        <v>19</v>
      </c>
      <c r="B24" s="2">
        <v>130</v>
      </c>
      <c r="C24" s="2">
        <f t="shared" si="0"/>
        <v>125.00908032990992</v>
      </c>
      <c r="D24" s="2">
        <f t="shared" si="1"/>
        <v>6.6545595601201057</v>
      </c>
      <c r="E24" s="2">
        <f t="shared" si="2"/>
        <v>0</v>
      </c>
      <c r="F24" s="2">
        <f t="shared" si="2"/>
        <v>1.6636398900300264</v>
      </c>
      <c r="G24" s="2">
        <v>80</v>
      </c>
      <c r="H24" s="2">
        <v>-70</v>
      </c>
    </row>
    <row r="25" spans="1:8" x14ac:dyDescent="0.3">
      <c r="A25" s="2">
        <v>20</v>
      </c>
      <c r="B25" s="2">
        <v>130</v>
      </c>
      <c r="C25" s="2">
        <f t="shared" si="0"/>
        <v>126.25681024743244</v>
      </c>
      <c r="D25" s="2">
        <f t="shared" si="1"/>
        <v>4.9909196700900793</v>
      </c>
      <c r="E25" s="2">
        <f t="shared" si="2"/>
        <v>0</v>
      </c>
      <c r="F25" s="2">
        <f t="shared" si="2"/>
        <v>1.2477299175225198</v>
      </c>
      <c r="G25" s="2">
        <v>80</v>
      </c>
      <c r="H25" s="2">
        <v>-70</v>
      </c>
    </row>
    <row r="26" spans="1:8" x14ac:dyDescent="0.3">
      <c r="A26" s="2">
        <v>21</v>
      </c>
      <c r="B26" s="2">
        <v>130</v>
      </c>
      <c r="C26" s="2">
        <f t="shared" si="0"/>
        <v>127.19260768557433</v>
      </c>
      <c r="D26" s="2">
        <f t="shared" si="1"/>
        <v>3.7431897525675595</v>
      </c>
      <c r="E26" s="2">
        <f t="shared" si="2"/>
        <v>0</v>
      </c>
      <c r="F26" s="2">
        <f t="shared" si="2"/>
        <v>0.93579743814188987</v>
      </c>
      <c r="G26" s="2">
        <v>80</v>
      </c>
      <c r="H26" s="2">
        <v>-70</v>
      </c>
    </row>
    <row r="27" spans="1:8" x14ac:dyDescent="0.3">
      <c r="A27" s="2">
        <v>22</v>
      </c>
      <c r="B27" s="2">
        <v>130</v>
      </c>
      <c r="C27" s="2">
        <f t="shared" si="0"/>
        <v>127.89445576418075</v>
      </c>
      <c r="D27" s="2">
        <f t="shared" si="1"/>
        <v>2.8073923144256696</v>
      </c>
      <c r="E27" s="2">
        <f t="shared" si="2"/>
        <v>0</v>
      </c>
      <c r="F27" s="2">
        <f t="shared" si="2"/>
        <v>0.7018480786064174</v>
      </c>
      <c r="G27" s="2">
        <v>80</v>
      </c>
      <c r="H27" s="2">
        <v>-70</v>
      </c>
    </row>
    <row r="28" spans="1:8" x14ac:dyDescent="0.3">
      <c r="A28" s="2">
        <v>23</v>
      </c>
      <c r="B28" s="2">
        <v>130</v>
      </c>
      <c r="C28" s="2">
        <f t="shared" si="0"/>
        <v>128.42084182313556</v>
      </c>
      <c r="D28" s="2">
        <f t="shared" si="1"/>
        <v>2.1055442358192522</v>
      </c>
      <c r="E28" s="2">
        <f t="shared" si="2"/>
        <v>0</v>
      </c>
      <c r="F28" s="2">
        <f t="shared" si="2"/>
        <v>0.52638605895481305</v>
      </c>
      <c r="G28" s="2">
        <v>80</v>
      </c>
      <c r="H28" s="2">
        <v>-70</v>
      </c>
    </row>
    <row r="29" spans="1:8" x14ac:dyDescent="0.3">
      <c r="A29" s="2">
        <v>24</v>
      </c>
      <c r="B29" s="2">
        <v>130</v>
      </c>
      <c r="C29" s="2">
        <f t="shared" si="0"/>
        <v>128.81563136735167</v>
      </c>
      <c r="D29" s="2">
        <f t="shared" si="1"/>
        <v>1.5791581768644392</v>
      </c>
      <c r="E29" s="2">
        <f t="shared" si="2"/>
        <v>0</v>
      </c>
      <c r="F29" s="2">
        <f t="shared" si="2"/>
        <v>0.39478954421610979</v>
      </c>
      <c r="G29" s="2">
        <v>80</v>
      </c>
      <c r="H29" s="2">
        <v>-70</v>
      </c>
    </row>
    <row r="30" spans="1:8" x14ac:dyDescent="0.3">
      <c r="A30" s="2">
        <v>25</v>
      </c>
      <c r="B30" s="2">
        <v>130</v>
      </c>
      <c r="C30" s="2">
        <f t="shared" si="0"/>
        <v>129.11172352551375</v>
      </c>
      <c r="D30" s="2">
        <f t="shared" si="1"/>
        <v>1.1843686326483294</v>
      </c>
      <c r="E30" s="2">
        <f t="shared" si="2"/>
        <v>0</v>
      </c>
      <c r="F30" s="2">
        <f t="shared" si="2"/>
        <v>0.29609215816208234</v>
      </c>
      <c r="G30" s="2">
        <v>80</v>
      </c>
      <c r="H30" s="2">
        <v>-70</v>
      </c>
    </row>
    <row r="31" spans="1:8" x14ac:dyDescent="0.3">
      <c r="A31" s="2">
        <v>26</v>
      </c>
      <c r="B31" s="2">
        <v>130</v>
      </c>
      <c r="C31" s="2">
        <f t="shared" si="0"/>
        <v>129.33379264413531</v>
      </c>
      <c r="D31" s="2">
        <f t="shared" si="1"/>
        <v>0.88827647448624703</v>
      </c>
      <c r="E31" s="2">
        <f t="shared" si="2"/>
        <v>0</v>
      </c>
      <c r="F31" s="2">
        <f t="shared" si="2"/>
        <v>0.22206911862156176</v>
      </c>
      <c r="G31" s="2">
        <v>80</v>
      </c>
      <c r="H31" s="2">
        <v>-70</v>
      </c>
    </row>
    <row r="32" spans="1:8" x14ac:dyDescent="0.3">
      <c r="A32" s="2">
        <v>27</v>
      </c>
      <c r="B32" s="2">
        <v>130</v>
      </c>
      <c r="C32" s="2">
        <f t="shared" si="0"/>
        <v>129.50034448310149</v>
      </c>
      <c r="D32" s="2">
        <f t="shared" si="1"/>
        <v>0.66620735586468527</v>
      </c>
      <c r="E32" s="2">
        <f t="shared" si="2"/>
        <v>0</v>
      </c>
      <c r="F32" s="2">
        <f t="shared" si="2"/>
        <v>0.16655183896617132</v>
      </c>
      <c r="G32" s="2">
        <v>80</v>
      </c>
      <c r="H32" s="2">
        <v>-70</v>
      </c>
    </row>
    <row r="33" spans="1:8" x14ac:dyDescent="0.3">
      <c r="A33" s="2">
        <v>28</v>
      </c>
      <c r="B33" s="2">
        <v>130</v>
      </c>
      <c r="C33" s="2">
        <f t="shared" si="0"/>
        <v>129.62525836232612</v>
      </c>
      <c r="D33" s="2">
        <f t="shared" si="1"/>
        <v>0.49965551689851395</v>
      </c>
      <c r="E33" s="2">
        <f t="shared" si="2"/>
        <v>0</v>
      </c>
      <c r="F33" s="2">
        <f t="shared" si="2"/>
        <v>0.12491387922463559</v>
      </c>
      <c r="G33" s="2">
        <v>80</v>
      </c>
      <c r="H33" s="2">
        <v>-70</v>
      </c>
    </row>
    <row r="34" spans="1:8" x14ac:dyDescent="0.3">
      <c r="A34" s="2">
        <v>29</v>
      </c>
      <c r="B34" s="2">
        <v>130</v>
      </c>
      <c r="C34" s="2">
        <f t="shared" si="0"/>
        <v>129.71894377174459</v>
      </c>
      <c r="D34" s="2">
        <f t="shared" si="1"/>
        <v>0.37474163767387836</v>
      </c>
      <c r="E34" s="2">
        <f t="shared" si="2"/>
        <v>0</v>
      </c>
      <c r="F34" s="2">
        <f t="shared" si="2"/>
        <v>9.368540941846959E-2</v>
      </c>
      <c r="G34" s="2">
        <v>80</v>
      </c>
      <c r="H34" s="2">
        <v>-70</v>
      </c>
    </row>
    <row r="35" spans="1:8" x14ac:dyDescent="0.3">
      <c r="A35" s="2">
        <v>30</v>
      </c>
      <c r="B35" s="2">
        <v>130</v>
      </c>
      <c r="C35" s="2">
        <f t="shared" si="0"/>
        <v>129.78920782880846</v>
      </c>
      <c r="D35" s="2">
        <f t="shared" si="1"/>
        <v>0.28105622825540877</v>
      </c>
      <c r="E35" s="2">
        <f t="shared" si="2"/>
        <v>0</v>
      </c>
      <c r="F35" s="2">
        <f t="shared" si="2"/>
        <v>7.0264057063866403E-2</v>
      </c>
      <c r="G35" s="2">
        <v>80</v>
      </c>
      <c r="H35" s="2">
        <v>-70</v>
      </c>
    </row>
    <row r="36" spans="1:8" x14ac:dyDescent="0.3">
      <c r="A36" s="2">
        <v>31</v>
      </c>
      <c r="B36" s="2">
        <v>130</v>
      </c>
      <c r="C36" s="2">
        <f t="shared" si="0"/>
        <v>129.84190587160634</v>
      </c>
      <c r="D36" s="2">
        <f t="shared" si="1"/>
        <v>0.21079217119154237</v>
      </c>
      <c r="E36" s="2">
        <f t="shared" si="2"/>
        <v>0</v>
      </c>
      <c r="F36" s="2">
        <f t="shared" si="2"/>
        <v>5.2698042797885591E-2</v>
      </c>
      <c r="G36" s="2">
        <v>80</v>
      </c>
      <c r="H36" s="2">
        <v>-70</v>
      </c>
    </row>
    <row r="37" spans="1:8" x14ac:dyDescent="0.3">
      <c r="A37" s="2">
        <v>32</v>
      </c>
      <c r="B37" s="2">
        <v>130</v>
      </c>
      <c r="C37" s="2">
        <f t="shared" si="0"/>
        <v>129.88142940370477</v>
      </c>
      <c r="D37" s="2">
        <f t="shared" si="1"/>
        <v>0.15809412839365677</v>
      </c>
      <c r="E37" s="2">
        <f t="shared" si="2"/>
        <v>0</v>
      </c>
      <c r="F37" s="2">
        <f t="shared" si="2"/>
        <v>3.9523532098428404E-2</v>
      </c>
      <c r="G37" s="2">
        <v>80</v>
      </c>
      <c r="H37" s="2">
        <v>-70</v>
      </c>
    </row>
    <row r="38" spans="1:8" x14ac:dyDescent="0.3">
      <c r="A38" s="2">
        <v>33</v>
      </c>
      <c r="B38" s="2">
        <v>130</v>
      </c>
      <c r="C38" s="2">
        <f t="shared" si="0"/>
        <v>129.91107205277859</v>
      </c>
      <c r="D38" s="2">
        <f t="shared" si="1"/>
        <v>0.11857059629522837</v>
      </c>
      <c r="E38" s="2">
        <f t="shared" si="2"/>
        <v>0</v>
      </c>
      <c r="F38" s="2">
        <f t="shared" si="2"/>
        <v>2.9642649073821303E-2</v>
      </c>
      <c r="G38" s="2">
        <v>80</v>
      </c>
      <c r="H38" s="2">
        <v>-70</v>
      </c>
    </row>
    <row r="39" spans="1:8" x14ac:dyDescent="0.3">
      <c r="A39" s="2">
        <v>34</v>
      </c>
      <c r="B39" s="2">
        <v>130</v>
      </c>
      <c r="C39" s="2">
        <f t="shared" si="0"/>
        <v>129.93330403958396</v>
      </c>
      <c r="D39" s="2">
        <f t="shared" si="1"/>
        <v>8.8927947221407067E-2</v>
      </c>
      <c r="E39" s="2">
        <f t="shared" si="2"/>
        <v>0</v>
      </c>
      <c r="F39" s="2">
        <f t="shared" si="2"/>
        <v>2.2231986805365977E-2</v>
      </c>
      <c r="G39" s="2">
        <v>80</v>
      </c>
      <c r="H39" s="2">
        <v>-70</v>
      </c>
    </row>
    <row r="40" spans="1:8" x14ac:dyDescent="0.3">
      <c r="A40" s="2">
        <v>35</v>
      </c>
      <c r="B40" s="2">
        <v>130</v>
      </c>
      <c r="C40" s="2">
        <f t="shared" si="0"/>
        <v>129.94997802968797</v>
      </c>
      <c r="D40" s="2">
        <f t="shared" si="1"/>
        <v>6.6695960416041089E-2</v>
      </c>
      <c r="E40" s="2">
        <f t="shared" si="2"/>
        <v>0</v>
      </c>
      <c r="F40" s="2">
        <f t="shared" si="2"/>
        <v>1.6673990104010272E-2</v>
      </c>
      <c r="G40" s="2">
        <v>80</v>
      </c>
      <c r="H40" s="2">
        <v>-70</v>
      </c>
    </row>
    <row r="41" spans="1:8" x14ac:dyDescent="0.3">
      <c r="A41" s="2">
        <v>36</v>
      </c>
      <c r="B41" s="2">
        <v>130</v>
      </c>
      <c r="C41" s="2">
        <f t="shared" si="0"/>
        <v>129.96248352226598</v>
      </c>
      <c r="D41" s="2">
        <f t="shared" si="1"/>
        <v>5.0021970312030817E-2</v>
      </c>
      <c r="E41" s="2">
        <f t="shared" si="2"/>
        <v>0</v>
      </c>
      <c r="F41" s="2">
        <f t="shared" si="2"/>
        <v>1.250549257801481E-2</v>
      </c>
      <c r="G41" s="2">
        <v>80</v>
      </c>
      <c r="H41" s="2">
        <v>-70</v>
      </c>
    </row>
    <row r="42" spans="1:8" x14ac:dyDescent="0.3">
      <c r="A42" s="2">
        <v>37</v>
      </c>
      <c r="B42" s="2">
        <v>130</v>
      </c>
      <c r="C42" s="2">
        <f t="shared" si="0"/>
        <v>129.97186264169949</v>
      </c>
      <c r="D42" s="2">
        <f t="shared" si="1"/>
        <v>3.7516477734016007E-2</v>
      </c>
      <c r="E42" s="2">
        <f t="shared" si="2"/>
        <v>0</v>
      </c>
      <c r="F42" s="2">
        <f t="shared" si="2"/>
        <v>9.3791194335040018E-3</v>
      </c>
      <c r="G42" s="2">
        <v>80</v>
      </c>
      <c r="H42" s="2">
        <v>-70</v>
      </c>
    </row>
    <row r="43" spans="1:8" x14ac:dyDescent="0.3">
      <c r="A43" s="2">
        <v>38</v>
      </c>
      <c r="B43" s="2">
        <v>130</v>
      </c>
      <c r="C43" s="2">
        <f t="shared" si="0"/>
        <v>129.9788969812746</v>
      </c>
      <c r="D43" s="2">
        <f t="shared" si="1"/>
        <v>2.8137358300512005E-2</v>
      </c>
      <c r="E43" s="2">
        <f t="shared" si="2"/>
        <v>0</v>
      </c>
      <c r="F43" s="2">
        <f t="shared" si="2"/>
        <v>7.0343395751137905E-3</v>
      </c>
      <c r="G43" s="2">
        <v>80</v>
      </c>
      <c r="H43" s="2">
        <v>-70</v>
      </c>
    </row>
    <row r="44" spans="1:8" x14ac:dyDescent="0.3">
      <c r="A44" s="2">
        <v>39</v>
      </c>
      <c r="B44" s="2">
        <v>130</v>
      </c>
      <c r="C44" s="2">
        <f t="shared" si="0"/>
        <v>129.98417273595595</v>
      </c>
      <c r="D44" s="2">
        <f t="shared" si="1"/>
        <v>2.1103018725398215E-2</v>
      </c>
      <c r="E44" s="2">
        <f t="shared" si="2"/>
        <v>0</v>
      </c>
      <c r="F44" s="2">
        <f t="shared" si="2"/>
        <v>5.2757546813495537E-3</v>
      </c>
      <c r="G44" s="2">
        <v>80</v>
      </c>
      <c r="H44" s="2">
        <v>-70</v>
      </c>
    </row>
    <row r="45" spans="1:8" x14ac:dyDescent="0.3">
      <c r="A45" s="2">
        <v>40</v>
      </c>
      <c r="B45" s="2">
        <v>0</v>
      </c>
      <c r="C45" s="2">
        <f t="shared" si="0"/>
        <v>97.488129551966964</v>
      </c>
      <c r="D45" s="2">
        <f t="shared" si="1"/>
        <v>-129.98417273595595</v>
      </c>
      <c r="E45" s="2">
        <f t="shared" si="2"/>
        <v>-130</v>
      </c>
      <c r="F45" s="2">
        <f t="shared" si="2"/>
        <v>-32.496043183988988</v>
      </c>
      <c r="G45" s="2">
        <v>80</v>
      </c>
      <c r="H45" s="2">
        <v>-70</v>
      </c>
    </row>
    <row r="46" spans="1:8" x14ac:dyDescent="0.3">
      <c r="A46" s="2">
        <v>41</v>
      </c>
      <c r="B46" s="2">
        <v>0</v>
      </c>
      <c r="C46" s="2">
        <f t="shared" si="0"/>
        <v>73.116097163975226</v>
      </c>
      <c r="D46" s="2">
        <f t="shared" si="1"/>
        <v>-97.488129551966964</v>
      </c>
      <c r="E46" s="2">
        <f t="shared" si="2"/>
        <v>0</v>
      </c>
      <c r="F46" s="2">
        <f t="shared" si="2"/>
        <v>-24.372032387991737</v>
      </c>
      <c r="G46" s="2">
        <v>80</v>
      </c>
      <c r="H46" s="2">
        <v>-70</v>
      </c>
    </row>
    <row r="47" spans="1:8" x14ac:dyDescent="0.3">
      <c r="A47" s="2">
        <v>42</v>
      </c>
      <c r="B47" s="2">
        <v>0</v>
      </c>
      <c r="C47" s="2">
        <f t="shared" si="0"/>
        <v>54.837072872981423</v>
      </c>
      <c r="D47" s="2">
        <f t="shared" si="1"/>
        <v>-73.116097163975226</v>
      </c>
      <c r="E47" s="2">
        <f t="shared" si="2"/>
        <v>0</v>
      </c>
      <c r="F47" s="2">
        <f t="shared" si="2"/>
        <v>-18.279024290993803</v>
      </c>
      <c r="G47" s="2">
        <v>80</v>
      </c>
      <c r="H47" s="2">
        <v>-70</v>
      </c>
    </row>
    <row r="48" spans="1:8" x14ac:dyDescent="0.3">
      <c r="A48" s="2">
        <v>43</v>
      </c>
      <c r="B48" s="2">
        <v>0</v>
      </c>
      <c r="C48" s="2">
        <f t="shared" si="0"/>
        <v>41.127804654736067</v>
      </c>
      <c r="D48" s="2">
        <f t="shared" si="1"/>
        <v>-54.837072872981423</v>
      </c>
      <c r="E48" s="2">
        <f t="shared" si="2"/>
        <v>0</v>
      </c>
      <c r="F48" s="2">
        <f t="shared" si="2"/>
        <v>-13.709268218245356</v>
      </c>
      <c r="G48" s="2">
        <v>80</v>
      </c>
      <c r="H48" s="2">
        <v>-70</v>
      </c>
    </row>
    <row r="49" spans="1:8" x14ac:dyDescent="0.3">
      <c r="A49" s="2">
        <v>44</v>
      </c>
      <c r="B49" s="2">
        <v>0</v>
      </c>
      <c r="C49" s="2">
        <f t="shared" si="0"/>
        <v>30.845853491052051</v>
      </c>
      <c r="D49" s="2">
        <f t="shared" si="1"/>
        <v>-41.127804654736067</v>
      </c>
      <c r="E49" s="2">
        <f t="shared" si="2"/>
        <v>0</v>
      </c>
      <c r="F49" s="2">
        <f t="shared" si="2"/>
        <v>-10.281951163684017</v>
      </c>
      <c r="G49" s="2">
        <v>80</v>
      </c>
      <c r="H49" s="2">
        <v>-70</v>
      </c>
    </row>
    <row r="50" spans="1:8" x14ac:dyDescent="0.3">
      <c r="A50" s="2">
        <v>45</v>
      </c>
      <c r="B50" s="2">
        <v>0</v>
      </c>
      <c r="C50" s="2">
        <f t="shared" si="0"/>
        <v>23.134390118289037</v>
      </c>
      <c r="D50" s="2">
        <f t="shared" si="1"/>
        <v>-30.845853491052051</v>
      </c>
      <c r="E50" s="2">
        <f t="shared" si="2"/>
        <v>0</v>
      </c>
      <c r="F50" s="2">
        <f t="shared" si="2"/>
        <v>-7.7114633727630135</v>
      </c>
      <c r="G50" s="2">
        <v>80</v>
      </c>
      <c r="H50" s="2">
        <v>-70</v>
      </c>
    </row>
    <row r="51" spans="1:8" x14ac:dyDescent="0.3">
      <c r="A51" s="2">
        <v>46</v>
      </c>
      <c r="B51" s="2">
        <v>0</v>
      </c>
      <c r="C51" s="2">
        <f t="shared" si="0"/>
        <v>17.350792588716779</v>
      </c>
      <c r="D51" s="2">
        <f t="shared" si="1"/>
        <v>-23.134390118289037</v>
      </c>
      <c r="E51" s="2">
        <f t="shared" si="2"/>
        <v>0</v>
      </c>
      <c r="F51" s="2">
        <f t="shared" si="2"/>
        <v>-5.7835975295722584</v>
      </c>
      <c r="G51" s="2">
        <v>80</v>
      </c>
      <c r="H51" s="2">
        <v>-70</v>
      </c>
    </row>
    <row r="52" spans="1:8" x14ac:dyDescent="0.3">
      <c r="A52" s="2">
        <v>47</v>
      </c>
      <c r="B52" s="2">
        <v>0</v>
      </c>
      <c r="C52" s="2">
        <f t="shared" si="0"/>
        <v>13.013094441537584</v>
      </c>
      <c r="D52" s="2">
        <f t="shared" si="1"/>
        <v>-17.350792588716779</v>
      </c>
      <c r="E52" s="2">
        <f t="shared" si="2"/>
        <v>0</v>
      </c>
      <c r="F52" s="2">
        <f t="shared" si="2"/>
        <v>-4.3376981471791947</v>
      </c>
      <c r="G52" s="2">
        <v>80</v>
      </c>
      <c r="H52" s="2">
        <v>-70</v>
      </c>
    </row>
    <row r="53" spans="1:8" x14ac:dyDescent="0.3">
      <c r="A53" s="2">
        <v>48</v>
      </c>
      <c r="B53" s="2">
        <v>0</v>
      </c>
      <c r="C53" s="2">
        <f t="shared" si="0"/>
        <v>9.7598208311531884</v>
      </c>
      <c r="D53" s="2">
        <f t="shared" si="1"/>
        <v>-13.013094441537584</v>
      </c>
      <c r="E53" s="2">
        <f t="shared" si="2"/>
        <v>0</v>
      </c>
      <c r="F53" s="2">
        <f t="shared" si="2"/>
        <v>-3.2532736103843956</v>
      </c>
      <c r="G53" s="2">
        <v>80</v>
      </c>
      <c r="H53" s="2">
        <v>-70</v>
      </c>
    </row>
    <row r="54" spans="1:8" x14ac:dyDescent="0.3">
      <c r="A54" s="2">
        <v>49</v>
      </c>
      <c r="B54" s="2">
        <v>0</v>
      </c>
      <c r="C54" s="2">
        <f t="shared" si="0"/>
        <v>7.3198656233648913</v>
      </c>
      <c r="D54" s="2">
        <f t="shared" si="1"/>
        <v>-9.7598208311531884</v>
      </c>
      <c r="E54" s="2">
        <f t="shared" si="2"/>
        <v>0</v>
      </c>
      <c r="F54" s="2">
        <f t="shared" si="2"/>
        <v>-2.4399552077882971</v>
      </c>
      <c r="G54" s="2">
        <v>80</v>
      </c>
      <c r="H54" s="2">
        <v>-70</v>
      </c>
    </row>
    <row r="55" spans="1:8" x14ac:dyDescent="0.3">
      <c r="A55" s="2">
        <v>50</v>
      </c>
      <c r="B55" s="2">
        <v>0</v>
      </c>
      <c r="C55" s="2">
        <f t="shared" si="0"/>
        <v>5.4898992175236687</v>
      </c>
      <c r="D55" s="2">
        <f t="shared" si="1"/>
        <v>-7.3198656233648913</v>
      </c>
      <c r="E55" s="2">
        <f t="shared" si="2"/>
        <v>0</v>
      </c>
      <c r="F55" s="2">
        <f t="shared" si="2"/>
        <v>-1.8299664058412226</v>
      </c>
      <c r="G55" s="2">
        <v>80</v>
      </c>
      <c r="H55" s="2">
        <v>-70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D8184-44FD-4A6C-AA6F-857C8B920C13}">
  <dimension ref="A2:V67"/>
  <sheetViews>
    <sheetView workbookViewId="0">
      <selection activeCell="B2" sqref="B2"/>
    </sheetView>
  </sheetViews>
  <sheetFormatPr defaultRowHeight="14.4" x14ac:dyDescent="0.3"/>
  <cols>
    <col min="1" max="1" width="25.77734375" customWidth="1"/>
    <col min="2" max="2" width="13.5546875" bestFit="1" customWidth="1"/>
    <col min="3" max="3" width="22.6640625" bestFit="1" customWidth="1"/>
    <col min="4" max="4" width="19" bestFit="1" customWidth="1"/>
    <col min="7" max="7" width="19.44140625" customWidth="1"/>
    <col min="8" max="8" width="17.6640625" bestFit="1" customWidth="1"/>
    <col min="19" max="19" width="11" bestFit="1" customWidth="1"/>
  </cols>
  <sheetData>
    <row r="2" spans="1:6" x14ac:dyDescent="0.3">
      <c r="A2" s="1" t="s">
        <v>52</v>
      </c>
      <c r="B2" s="2">
        <v>8.2057459999999999E-2</v>
      </c>
      <c r="C2" s="1" t="s">
        <v>96</v>
      </c>
      <c r="D2" s="2">
        <v>8.3143510000000003</v>
      </c>
      <c r="F2" s="11" t="s">
        <v>34</v>
      </c>
    </row>
    <row r="3" spans="1:6" x14ac:dyDescent="0.3">
      <c r="A3" s="1" t="s">
        <v>51</v>
      </c>
      <c r="B3" s="2">
        <v>28.96</v>
      </c>
      <c r="C3" s="1" t="s">
        <v>97</v>
      </c>
      <c r="D3" s="2">
        <v>2.9000000000000001E-2</v>
      </c>
      <c r="F3" s="12" t="s">
        <v>25</v>
      </c>
    </row>
    <row r="4" spans="1:6" x14ac:dyDescent="0.3">
      <c r="A4" s="1" t="s">
        <v>98</v>
      </c>
      <c r="B4" s="2">
        <v>287</v>
      </c>
      <c r="C4" s="1" t="s">
        <v>99</v>
      </c>
      <c r="D4" s="2">
        <v>0.28705000000000003</v>
      </c>
    </row>
    <row r="5" spans="1:6" x14ac:dyDescent="0.3">
      <c r="B5" s="7"/>
      <c r="C5" s="36"/>
      <c r="D5" s="36"/>
    </row>
    <row r="6" spans="1:6" x14ac:dyDescent="0.3">
      <c r="A6" s="17" t="s">
        <v>85</v>
      </c>
      <c r="B6" s="2">
        <v>13.2</v>
      </c>
    </row>
    <row r="7" spans="1:6" x14ac:dyDescent="0.3">
      <c r="A7" s="1" t="s">
        <v>83</v>
      </c>
      <c r="B7" s="2">
        <v>0.13500000000000001</v>
      </c>
      <c r="C7" s="1" t="s">
        <v>89</v>
      </c>
      <c r="D7" s="2">
        <f>B7*1000</f>
        <v>135</v>
      </c>
    </row>
    <row r="8" spans="1:6" x14ac:dyDescent="0.3">
      <c r="A8" s="18" t="s">
        <v>86</v>
      </c>
      <c r="B8" s="2">
        <v>1.2999999999999999E-3</v>
      </c>
    </row>
    <row r="9" spans="1:6" x14ac:dyDescent="0.3">
      <c r="A9" s="18" t="s">
        <v>87</v>
      </c>
      <c r="B9" s="2">
        <v>5.0000000000000001E-4</v>
      </c>
    </row>
    <row r="10" spans="1:6" x14ac:dyDescent="0.3">
      <c r="A10" s="28" t="s">
        <v>84</v>
      </c>
      <c r="B10" s="29">
        <v>160</v>
      </c>
      <c r="C10" s="28" t="s">
        <v>90</v>
      </c>
      <c r="D10" s="30">
        <f>B10/60000000</f>
        <v>2.6666666666666668E-6</v>
      </c>
    </row>
    <row r="13" spans="1:6" x14ac:dyDescent="0.3">
      <c r="A13" s="18" t="s">
        <v>82</v>
      </c>
      <c r="B13" s="2">
        <v>10</v>
      </c>
      <c r="C13" s="18" t="s">
        <v>88</v>
      </c>
      <c r="D13" s="2">
        <f>273.15+B13</f>
        <v>283.14999999999998</v>
      </c>
    </row>
    <row r="14" spans="1:6" x14ac:dyDescent="0.3">
      <c r="A14" s="1" t="s">
        <v>81</v>
      </c>
      <c r="B14" s="27">
        <v>1</v>
      </c>
      <c r="C14" s="1" t="s">
        <v>53</v>
      </c>
      <c r="D14" s="31">
        <f>B14*101.325</f>
        <v>101.325</v>
      </c>
    </row>
    <row r="15" spans="1:6" x14ac:dyDescent="0.3">
      <c r="A15" s="1" t="s">
        <v>74</v>
      </c>
      <c r="B15" s="2">
        <v>8000</v>
      </c>
    </row>
    <row r="16" spans="1:6" x14ac:dyDescent="0.3">
      <c r="A16" s="1" t="s">
        <v>75</v>
      </c>
      <c r="B16" s="2">
        <f>B15/60</f>
        <v>133.33333333333334</v>
      </c>
    </row>
    <row r="17" spans="1:22" x14ac:dyDescent="0.3">
      <c r="A17" s="1" t="s">
        <v>76</v>
      </c>
      <c r="B17" s="2">
        <f>1/B16</f>
        <v>7.4999999999999997E-3</v>
      </c>
    </row>
    <row r="18" spans="1:22" x14ac:dyDescent="0.3">
      <c r="A18" s="1" t="s">
        <v>110</v>
      </c>
      <c r="B18" s="2">
        <f>0.85*B17</f>
        <v>6.3749999999999996E-3</v>
      </c>
    </row>
    <row r="19" spans="1:22" x14ac:dyDescent="0.3">
      <c r="A19" s="18" t="s">
        <v>80</v>
      </c>
      <c r="B19" s="27">
        <v>1</v>
      </c>
    </row>
    <row r="20" spans="1:22" x14ac:dyDescent="0.3">
      <c r="A20" s="18" t="s">
        <v>79</v>
      </c>
      <c r="B20" s="27">
        <v>0.75</v>
      </c>
    </row>
    <row r="21" spans="1:22" x14ac:dyDescent="0.3">
      <c r="A21" s="33"/>
      <c r="B21" s="34"/>
    </row>
    <row r="22" spans="1:22" x14ac:dyDescent="0.3">
      <c r="A22" s="33"/>
      <c r="B22" s="34"/>
    </row>
    <row r="23" spans="1:22" x14ac:dyDescent="0.3">
      <c r="A23" s="33"/>
      <c r="B23" s="34"/>
      <c r="D23" s="37" t="s">
        <v>106</v>
      </c>
    </row>
    <row r="24" spans="1:22" x14ac:dyDescent="0.3">
      <c r="A24" s="33"/>
      <c r="B24" s="34"/>
      <c r="D24" s="37" t="s">
        <v>107</v>
      </c>
    </row>
    <row r="25" spans="1:22" x14ac:dyDescent="0.3">
      <c r="A25" s="35" t="s">
        <v>108</v>
      </c>
      <c r="D25" s="37" t="s">
        <v>105</v>
      </c>
      <c r="G25" s="37" t="s">
        <v>100</v>
      </c>
    </row>
    <row r="27" spans="1:22" x14ac:dyDescent="0.3">
      <c r="A27" t="s">
        <v>91</v>
      </c>
      <c r="D27" t="s">
        <v>109</v>
      </c>
      <c r="G27" t="s">
        <v>92</v>
      </c>
      <c r="N27" s="2" t="s">
        <v>111</v>
      </c>
      <c r="O27" s="2" t="s">
        <v>80</v>
      </c>
      <c r="P27" s="2" t="s">
        <v>81</v>
      </c>
      <c r="Q27" s="2" t="s">
        <v>112</v>
      </c>
      <c r="R27" s="2" t="s">
        <v>79</v>
      </c>
      <c r="S27" s="2" t="s">
        <v>94</v>
      </c>
      <c r="T27" s="2" t="s">
        <v>95</v>
      </c>
      <c r="U27" s="15" t="s">
        <v>104</v>
      </c>
      <c r="V27" s="15" t="s">
        <v>113</v>
      </c>
    </row>
    <row r="28" spans="1:22" x14ac:dyDescent="0.3">
      <c r="A28" s="1" t="s">
        <v>54</v>
      </c>
      <c r="B28" s="2">
        <f>((1.2929*273.13)/((B13+273.13))*(D14/101.325))</f>
        <v>1.2472354642743615</v>
      </c>
      <c r="D28" s="17" t="s">
        <v>72</v>
      </c>
      <c r="E28" s="2">
        <f>(B14*B3)/(B2*D13)</f>
        <v>1.2464186017012642</v>
      </c>
      <c r="G28" s="1" t="s">
        <v>94</v>
      </c>
      <c r="H28" s="39">
        <f>(D14*B19*B7)/(0.28705*D13*B20*B6)</f>
        <v>1.6999692635378868E-2</v>
      </c>
      <c r="N28" s="2">
        <v>1000</v>
      </c>
      <c r="O28" s="27">
        <v>1</v>
      </c>
      <c r="P28" s="27">
        <v>0.95</v>
      </c>
      <c r="Q28" s="2">
        <v>35</v>
      </c>
      <c r="R28" s="27">
        <v>1</v>
      </c>
      <c r="S28" s="2">
        <f>((P28*101.325)*O28*$B$7)/(0.28705*(Q28+273.15)*R28*$B$6)</f>
        <v>1.1129619879658E-2</v>
      </c>
      <c r="T28" s="2">
        <f>S28/$D$10</f>
        <v>4173.6074548717497</v>
      </c>
      <c r="U28" s="2">
        <f>(T28/1000000)/(60/N28)</f>
        <v>6.9560124247862495E-2</v>
      </c>
      <c r="V28" s="2">
        <f>60/N28</f>
        <v>0.06</v>
      </c>
    </row>
    <row r="29" spans="1:22" x14ac:dyDescent="0.3">
      <c r="A29" s="1" t="s">
        <v>93</v>
      </c>
      <c r="B29" s="32">
        <f>B7*B28*B19</f>
        <v>0.16837678767703881</v>
      </c>
      <c r="D29" s="1" t="s">
        <v>93</v>
      </c>
      <c r="E29" s="2">
        <f>E28*B7</f>
        <v>0.16826651122967068</v>
      </c>
      <c r="G29" s="1" t="s">
        <v>102</v>
      </c>
      <c r="H29" s="2">
        <f>H28*B16</f>
        <v>2.2666256847171824</v>
      </c>
      <c r="N29" s="2">
        <v>5000</v>
      </c>
      <c r="O29" s="27">
        <v>1</v>
      </c>
      <c r="P29" s="27">
        <v>0.95</v>
      </c>
      <c r="Q29" s="2">
        <v>35</v>
      </c>
      <c r="R29" s="27">
        <v>1</v>
      </c>
      <c r="S29" s="2">
        <f t="shared" ref="S29:S31" si="0">((P29*101.325)*O29*$B$7)/(0.28705*(Q29+273.15)*R29*$B$6)</f>
        <v>1.1129619879658E-2</v>
      </c>
      <c r="T29" s="2">
        <f t="shared" ref="T29:T31" si="1">S29/$D$10</f>
        <v>4173.6074548717497</v>
      </c>
      <c r="U29" s="2">
        <f t="shared" ref="U29:U31" si="2">(T29/1000000)/(60/N29)</f>
        <v>0.34780062123931249</v>
      </c>
      <c r="V29" s="2">
        <f t="shared" ref="V29:V31" si="3">60/N29</f>
        <v>1.2E-2</v>
      </c>
    </row>
    <row r="30" spans="1:22" x14ac:dyDescent="0.3">
      <c r="A30" s="1" t="s">
        <v>94</v>
      </c>
      <c r="B30" s="2">
        <f>B29/(B6*B20)</f>
        <v>1.7007756331014024E-2</v>
      </c>
      <c r="D30" s="1" t="s">
        <v>101</v>
      </c>
      <c r="E30" s="2">
        <f>E29*B16</f>
        <v>22.43553483062276</v>
      </c>
      <c r="G30" s="1" t="s">
        <v>103</v>
      </c>
      <c r="H30" s="2">
        <f>H29*60</f>
        <v>135.99754108303094</v>
      </c>
      <c r="N30" s="2">
        <v>7750</v>
      </c>
      <c r="O30" s="27">
        <v>1</v>
      </c>
      <c r="P30" s="27">
        <v>0.95</v>
      </c>
      <c r="Q30" s="2">
        <v>35</v>
      </c>
      <c r="R30" s="27">
        <v>1</v>
      </c>
      <c r="S30" s="2">
        <f t="shared" si="0"/>
        <v>1.1129619879658E-2</v>
      </c>
      <c r="T30" s="2">
        <f t="shared" si="1"/>
        <v>4173.6074548717497</v>
      </c>
      <c r="U30" s="2">
        <f t="shared" si="2"/>
        <v>0.53909096292093439</v>
      </c>
      <c r="V30" s="2">
        <f t="shared" si="3"/>
        <v>7.7419354838709677E-3</v>
      </c>
    </row>
    <row r="31" spans="1:22" x14ac:dyDescent="0.3">
      <c r="A31" s="18" t="s">
        <v>95</v>
      </c>
      <c r="B31" s="2">
        <f>B30/D10</f>
        <v>6377.9086241302584</v>
      </c>
      <c r="D31" s="1" t="s">
        <v>94</v>
      </c>
      <c r="E31" s="2">
        <f>(E29*B19)/(B6*B20)</f>
        <v>1.6996617295926334E-2</v>
      </c>
      <c r="G31" s="1" t="s">
        <v>95</v>
      </c>
      <c r="H31" s="26">
        <f>H28/D10</f>
        <v>6374.8847382670747</v>
      </c>
      <c r="N31" s="2">
        <v>12000</v>
      </c>
      <c r="O31" s="27">
        <v>1</v>
      </c>
      <c r="P31" s="27">
        <v>0.95</v>
      </c>
      <c r="Q31" s="2">
        <v>35</v>
      </c>
      <c r="R31" s="27">
        <v>1</v>
      </c>
      <c r="S31" s="2">
        <f t="shared" si="0"/>
        <v>1.1129619879658E-2</v>
      </c>
      <c r="T31" s="2">
        <f t="shared" si="1"/>
        <v>4173.6074548717497</v>
      </c>
      <c r="U31" s="2">
        <f t="shared" si="2"/>
        <v>0.83472149097435</v>
      </c>
      <c r="V31" s="2">
        <f t="shared" si="3"/>
        <v>5.0000000000000001E-3</v>
      </c>
    </row>
    <row r="32" spans="1:22" x14ac:dyDescent="0.3">
      <c r="A32" s="18" t="s">
        <v>104</v>
      </c>
      <c r="B32" s="2">
        <f>(B31/1000000)/B17</f>
        <v>0.85038781655070117</v>
      </c>
      <c r="D32" s="1" t="s">
        <v>102</v>
      </c>
      <c r="E32" s="2">
        <f>E31*B16</f>
        <v>2.2662156394568447</v>
      </c>
      <c r="G32" s="1" t="s">
        <v>104</v>
      </c>
      <c r="H32" s="2">
        <f>(H31/1000000)/B17</f>
        <v>0.84998463176894334</v>
      </c>
    </row>
    <row r="33" spans="3:5" x14ac:dyDescent="0.3">
      <c r="D33" s="1" t="s">
        <v>103</v>
      </c>
      <c r="E33" s="2">
        <f>E32*60</f>
        <v>135.97293836741068</v>
      </c>
    </row>
    <row r="34" spans="3:5" x14ac:dyDescent="0.3">
      <c r="D34" s="1" t="s">
        <v>104</v>
      </c>
      <c r="E34" s="2">
        <f>(E33/B10)</f>
        <v>0.84983086479631675</v>
      </c>
    </row>
    <row r="42" spans="3:5" x14ac:dyDescent="0.3">
      <c r="C42" s="38"/>
    </row>
    <row r="43" spans="3:5" x14ac:dyDescent="0.3">
      <c r="C43" s="38"/>
    </row>
    <row r="44" spans="3:5" x14ac:dyDescent="0.3">
      <c r="C44" s="38"/>
    </row>
    <row r="45" spans="3:5" x14ac:dyDescent="0.3">
      <c r="C45" s="38"/>
    </row>
    <row r="46" spans="3:5" x14ac:dyDescent="0.3">
      <c r="C46" s="38"/>
    </row>
    <row r="47" spans="3:5" x14ac:dyDescent="0.3">
      <c r="C47" s="38"/>
    </row>
    <row r="48" spans="3:5" x14ac:dyDescent="0.3">
      <c r="C48" s="38"/>
    </row>
    <row r="49" spans="3:3" x14ac:dyDescent="0.3">
      <c r="C49" s="38"/>
    </row>
    <row r="50" spans="3:3" x14ac:dyDescent="0.3">
      <c r="C50" s="38"/>
    </row>
    <row r="51" spans="3:3" x14ac:dyDescent="0.3">
      <c r="C51" s="38"/>
    </row>
    <row r="52" spans="3:3" x14ac:dyDescent="0.3">
      <c r="C52" s="38"/>
    </row>
    <row r="53" spans="3:3" x14ac:dyDescent="0.3">
      <c r="C53" s="38"/>
    </row>
    <row r="54" spans="3:3" x14ac:dyDescent="0.3">
      <c r="C54" s="38"/>
    </row>
    <row r="55" spans="3:3" x14ac:dyDescent="0.3">
      <c r="C55" s="38"/>
    </row>
    <row r="56" spans="3:3" x14ac:dyDescent="0.3">
      <c r="C56" s="38"/>
    </row>
    <row r="57" spans="3:3" x14ac:dyDescent="0.3">
      <c r="C57" s="38"/>
    </row>
    <row r="58" spans="3:3" x14ac:dyDescent="0.3">
      <c r="C58" s="38"/>
    </row>
    <row r="59" spans="3:3" x14ac:dyDescent="0.3">
      <c r="C59" s="38"/>
    </row>
    <row r="60" spans="3:3" x14ac:dyDescent="0.3">
      <c r="C60" s="38"/>
    </row>
    <row r="61" spans="3:3" x14ac:dyDescent="0.3">
      <c r="C61" s="38"/>
    </row>
    <row r="62" spans="3:3" x14ac:dyDescent="0.3">
      <c r="C62" s="38"/>
    </row>
    <row r="63" spans="3:3" x14ac:dyDescent="0.3">
      <c r="C63" s="38"/>
    </row>
    <row r="64" spans="3:3" x14ac:dyDescent="0.3">
      <c r="C64" s="38"/>
    </row>
    <row r="65" spans="3:3" x14ac:dyDescent="0.3">
      <c r="C65" s="38"/>
    </row>
    <row r="66" spans="3:3" x14ac:dyDescent="0.3">
      <c r="C66" s="38"/>
    </row>
    <row r="67" spans="3:3" x14ac:dyDescent="0.3">
      <c r="C67" s="38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6DEBB-C288-4027-B11B-5CAB8967F552}">
  <dimension ref="A1:F49"/>
  <sheetViews>
    <sheetView topLeftCell="A10" workbookViewId="0">
      <selection activeCell="C23" sqref="C23"/>
    </sheetView>
  </sheetViews>
  <sheetFormatPr defaultRowHeight="14.4" x14ac:dyDescent="0.3"/>
  <cols>
    <col min="1" max="1" width="49.109375" bestFit="1" customWidth="1"/>
    <col min="2" max="2" width="12" bestFit="1" customWidth="1"/>
    <col min="3" max="3" width="20.6640625" bestFit="1" customWidth="1"/>
    <col min="5" max="5" width="11" bestFit="1" customWidth="1"/>
    <col min="6" max="6" width="20" bestFit="1" customWidth="1"/>
    <col min="7" max="7" width="6" bestFit="1" customWidth="1"/>
    <col min="10" max="10" width="11" bestFit="1" customWidth="1"/>
    <col min="12" max="12" width="12" bestFit="1" customWidth="1"/>
  </cols>
  <sheetData>
    <row r="1" spans="1:6" x14ac:dyDescent="0.3">
      <c r="A1" s="37" t="s">
        <v>114</v>
      </c>
      <c r="E1" s="43"/>
      <c r="F1" s="1" t="s">
        <v>125</v>
      </c>
    </row>
    <row r="2" spans="1:6" x14ac:dyDescent="0.3">
      <c r="A2" s="43" t="s">
        <v>119</v>
      </c>
      <c r="B2" s="43">
        <v>101.325</v>
      </c>
      <c r="E2" s="44"/>
      <c r="F2" s="1" t="s">
        <v>126</v>
      </c>
    </row>
    <row r="3" spans="1:6" x14ac:dyDescent="0.3">
      <c r="A3" s="44" t="s">
        <v>129</v>
      </c>
      <c r="B3" s="45">
        <v>0.8</v>
      </c>
    </row>
    <row r="4" spans="1:6" x14ac:dyDescent="0.3">
      <c r="A4" s="1" t="s">
        <v>117</v>
      </c>
      <c r="B4" s="1">
        <v>0.13500000000000001</v>
      </c>
      <c r="E4">
        <f>273.1*28705</f>
        <v>7839335.5000000009</v>
      </c>
    </row>
    <row r="5" spans="1:6" x14ac:dyDescent="0.3">
      <c r="A5" s="1" t="s">
        <v>115</v>
      </c>
      <c r="B5" s="1">
        <v>0.28705000000000003</v>
      </c>
    </row>
    <row r="6" spans="1:6" x14ac:dyDescent="0.3">
      <c r="A6" s="43" t="s">
        <v>88</v>
      </c>
      <c r="B6" s="43">
        <f>273.15+45</f>
        <v>318.14999999999998</v>
      </c>
    </row>
    <row r="7" spans="1:6" x14ac:dyDescent="0.3">
      <c r="A7" s="44" t="s">
        <v>130</v>
      </c>
      <c r="B7" s="45">
        <v>0.95</v>
      </c>
    </row>
    <row r="8" spans="1:6" x14ac:dyDescent="0.3">
      <c r="A8" s="1" t="s">
        <v>118</v>
      </c>
      <c r="B8" s="1">
        <v>13.2</v>
      </c>
    </row>
    <row r="9" spans="1:6" x14ac:dyDescent="0.3">
      <c r="A9" s="43" t="s">
        <v>73</v>
      </c>
      <c r="B9" s="43">
        <v>7750</v>
      </c>
      <c r="E9" t="s">
        <v>133</v>
      </c>
    </row>
    <row r="10" spans="1:6" x14ac:dyDescent="0.3">
      <c r="A10" s="1" t="s">
        <v>70</v>
      </c>
      <c r="B10" s="41">
        <f>B9/60</f>
        <v>129.16666666666666</v>
      </c>
      <c r="E10" t="s">
        <v>134</v>
      </c>
    </row>
    <row r="11" spans="1:6" x14ac:dyDescent="0.3">
      <c r="A11" s="1" t="s">
        <v>71</v>
      </c>
      <c r="B11" s="1">
        <f>1/B10</f>
        <v>7.7419354838709686E-3</v>
      </c>
      <c r="E11" s="40"/>
    </row>
    <row r="12" spans="1:6" x14ac:dyDescent="0.3">
      <c r="A12" s="44" t="s">
        <v>131</v>
      </c>
      <c r="B12" s="45">
        <v>1</v>
      </c>
      <c r="E12" t="s">
        <v>135</v>
      </c>
    </row>
    <row r="13" spans="1:6" x14ac:dyDescent="0.3">
      <c r="A13" s="44" t="s">
        <v>132</v>
      </c>
      <c r="B13" s="45">
        <v>1.2</v>
      </c>
      <c r="E13" t="s">
        <v>136</v>
      </c>
    </row>
    <row r="14" spans="1:6" x14ac:dyDescent="0.3">
      <c r="A14" s="18" t="s">
        <v>121</v>
      </c>
      <c r="B14" s="1">
        <f>B12*B13</f>
        <v>1.2</v>
      </c>
      <c r="E14" t="s">
        <v>137</v>
      </c>
    </row>
    <row r="15" spans="1:6" x14ac:dyDescent="0.3">
      <c r="A15" s="33"/>
      <c r="B15" s="36"/>
    </row>
    <row r="16" spans="1:6" x14ac:dyDescent="0.3">
      <c r="A16" s="33"/>
      <c r="B16" s="36"/>
    </row>
    <row r="18" spans="1:4" x14ac:dyDescent="0.3">
      <c r="A18" s="37" t="s">
        <v>122</v>
      </c>
      <c r="C18" s="40"/>
    </row>
    <row r="19" spans="1:4" x14ac:dyDescent="0.3">
      <c r="A19" s="18" t="s">
        <v>147</v>
      </c>
      <c r="B19" s="1">
        <v>0.75</v>
      </c>
    </row>
    <row r="20" spans="1:4" x14ac:dyDescent="0.3">
      <c r="A20" s="1" t="s">
        <v>120</v>
      </c>
      <c r="B20" s="46">
        <f>((B2*B4)/(B5*B6))*B3</f>
        <v>0.11982595228692006</v>
      </c>
      <c r="C20" s="47"/>
    </row>
    <row r="21" spans="1:4" x14ac:dyDescent="0.3">
      <c r="A21" s="1" t="s">
        <v>116</v>
      </c>
      <c r="B21" s="46">
        <f>(B14*B2*B3*B4)/(B5*B6*B7*B8)</f>
        <v>1.1466598304968427E-2</v>
      </c>
    </row>
    <row r="22" spans="1:4" x14ac:dyDescent="0.3">
      <c r="A22" s="1" t="s">
        <v>123</v>
      </c>
      <c r="B22" s="41">
        <f>B21*B10</f>
        <v>1.4811022810584218</v>
      </c>
      <c r="C22">
        <f>B22/50</f>
        <v>2.9622045621168436E-2</v>
      </c>
    </row>
    <row r="23" spans="1:4" x14ac:dyDescent="0.3">
      <c r="A23" s="1" t="s">
        <v>124</v>
      </c>
      <c r="B23" s="41">
        <f>B22*60</f>
        <v>88.866136863505304</v>
      </c>
    </row>
    <row r="24" spans="1:4" x14ac:dyDescent="0.3">
      <c r="A24" s="1" t="s">
        <v>160</v>
      </c>
      <c r="B24" s="41">
        <f>B23/(B36/100)</f>
        <v>111.08267107938163</v>
      </c>
    </row>
    <row r="25" spans="1:4" x14ac:dyDescent="0.3">
      <c r="A25" s="1" t="s">
        <v>148</v>
      </c>
      <c r="B25" s="41">
        <f>B23/B19</f>
        <v>118.48818248467374</v>
      </c>
    </row>
    <row r="26" spans="1:4" x14ac:dyDescent="0.3">
      <c r="A26" s="1" t="s">
        <v>157</v>
      </c>
      <c r="B26" s="41">
        <f>B25/(B36/100)</f>
        <v>148.11022810584217</v>
      </c>
    </row>
    <row r="27" spans="1:4" x14ac:dyDescent="0.3">
      <c r="A27" s="33"/>
      <c r="B27" s="36"/>
    </row>
    <row r="28" spans="1:4" x14ac:dyDescent="0.3">
      <c r="A28" s="33"/>
      <c r="B28" s="36"/>
    </row>
    <row r="29" spans="1:4" x14ac:dyDescent="0.3">
      <c r="A29" s="1" t="s">
        <v>153</v>
      </c>
      <c r="B29" s="16">
        <v>1000</v>
      </c>
    </row>
    <row r="30" spans="1:4" x14ac:dyDescent="0.3">
      <c r="A30" s="1" t="s">
        <v>152</v>
      </c>
      <c r="B30" s="16">
        <v>50</v>
      </c>
      <c r="D30" s="7"/>
    </row>
    <row r="31" spans="1:4" x14ac:dyDescent="0.3">
      <c r="A31" s="1" t="s">
        <v>151</v>
      </c>
      <c r="B31" s="1">
        <f>1/B30</f>
        <v>0.02</v>
      </c>
    </row>
    <row r="32" spans="1:4" x14ac:dyDescent="0.3">
      <c r="A32" s="1" t="s">
        <v>150</v>
      </c>
      <c r="B32" s="16">
        <f>0.001</f>
        <v>1E-3</v>
      </c>
    </row>
    <row r="33" spans="1:2" x14ac:dyDescent="0.3">
      <c r="A33" s="1" t="s">
        <v>149</v>
      </c>
      <c r="B33" s="1">
        <f>(B32/B31)*100</f>
        <v>5</v>
      </c>
    </row>
    <row r="34" spans="1:2" x14ac:dyDescent="0.3">
      <c r="A34" s="1" t="s">
        <v>154</v>
      </c>
      <c r="B34" s="1">
        <f>(B33/100)*B29</f>
        <v>50</v>
      </c>
    </row>
    <row r="35" spans="1:2" x14ac:dyDescent="0.3">
      <c r="A35" s="18" t="s">
        <v>155</v>
      </c>
      <c r="B35" s="16">
        <v>85</v>
      </c>
    </row>
    <row r="36" spans="1:2" x14ac:dyDescent="0.3">
      <c r="A36" s="18" t="s">
        <v>156</v>
      </c>
      <c r="B36" s="1">
        <f>B35-B33</f>
        <v>80</v>
      </c>
    </row>
    <row r="37" spans="1:2" x14ac:dyDescent="0.3">
      <c r="A37" s="16" t="s">
        <v>158</v>
      </c>
      <c r="B37" s="42">
        <v>150</v>
      </c>
    </row>
    <row r="38" spans="1:2" x14ac:dyDescent="0.3">
      <c r="A38" s="16" t="s">
        <v>104</v>
      </c>
      <c r="B38" s="42">
        <f>B25/(B37*(B36/100))</f>
        <v>0.98740152070561449</v>
      </c>
    </row>
    <row r="39" spans="1:2" x14ac:dyDescent="0.3">
      <c r="A39" s="16" t="s">
        <v>159</v>
      </c>
      <c r="B39" s="42">
        <f>B38*(B29*(B35/100))</f>
        <v>839.29129259977231</v>
      </c>
    </row>
    <row r="41" spans="1:2" x14ac:dyDescent="0.3">
      <c r="A41" s="16" t="s">
        <v>138</v>
      </c>
    </row>
    <row r="42" spans="1:2" x14ac:dyDescent="0.3">
      <c r="A42" s="16" t="s">
        <v>139</v>
      </c>
    </row>
    <row r="43" spans="1:2" x14ac:dyDescent="0.3">
      <c r="A43" s="16" t="s">
        <v>140</v>
      </c>
    </row>
    <row r="44" spans="1:2" x14ac:dyDescent="0.3">
      <c r="A44" s="16" t="s">
        <v>141</v>
      </c>
    </row>
    <row r="45" spans="1:2" x14ac:dyDescent="0.3">
      <c r="A45" s="16" t="s">
        <v>142</v>
      </c>
    </row>
    <row r="46" spans="1:2" x14ac:dyDescent="0.3">
      <c r="A46" s="16" t="s">
        <v>143</v>
      </c>
    </row>
    <row r="47" spans="1:2" x14ac:dyDescent="0.3">
      <c r="A47" s="16" t="s">
        <v>144</v>
      </c>
    </row>
    <row r="48" spans="1:2" x14ac:dyDescent="0.3">
      <c r="A48" s="16" t="s">
        <v>145</v>
      </c>
    </row>
    <row r="49" spans="1:1" x14ac:dyDescent="0.3">
      <c r="A49" s="16" t="s">
        <v>146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Definitions</vt:lpstr>
      <vt:lpstr>Backlog</vt:lpstr>
      <vt:lpstr>Current_Sprint</vt:lpstr>
      <vt:lpstr>Microcontroller</vt:lpstr>
      <vt:lpstr>Calibration</vt:lpstr>
      <vt:lpstr>FilterSignal</vt:lpstr>
      <vt:lpstr>Xtau</vt:lpstr>
      <vt:lpstr>Models</vt:lpstr>
      <vt:lpstr>Strategy</vt:lpstr>
      <vt:lpstr>Ref_Calculation</vt:lpstr>
      <vt:lpstr>ReadBattery</vt:lpstr>
      <vt:lpstr>Sheet1</vt:lpstr>
      <vt:lpstr>Literature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Jerena, Fabio</dc:creator>
  <cp:lastModifiedBy>Jerena, Fabio</cp:lastModifiedBy>
  <dcterms:created xsi:type="dcterms:W3CDTF">2021-05-24T21:12:29Z</dcterms:created>
  <dcterms:modified xsi:type="dcterms:W3CDTF">2021-09-26T11:20:05Z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ea2623-af8f-4fb8-b1cf-b63cc8e496aa_Enabled">
    <vt:lpwstr>true</vt:lpwstr>
  </property>
  <property fmtid="{D5CDD505-2E9C-101B-9397-08002B2CF9AE}" pid="3" name="MSIP_Label_7fea2623-af8f-4fb8-b1cf-b63cc8e496aa_SetDate">
    <vt:lpwstr>2021-05-24T21:12:30Z</vt:lpwstr>
  </property>
  <property fmtid="{D5CDD505-2E9C-101B-9397-08002B2CF9AE}" pid="4" name="MSIP_Label_7fea2623-af8f-4fb8-b1cf-b63cc8e496aa_Method">
    <vt:lpwstr>Standard</vt:lpwstr>
  </property>
  <property fmtid="{D5CDD505-2E9C-101B-9397-08002B2CF9AE}" pid="5" name="MSIP_Label_7fea2623-af8f-4fb8-b1cf-b63cc8e496aa_Name">
    <vt:lpwstr>Internal</vt:lpwstr>
  </property>
  <property fmtid="{D5CDD505-2E9C-101B-9397-08002B2CF9AE}" pid="6" name="MSIP_Label_7fea2623-af8f-4fb8-b1cf-b63cc8e496aa_SiteId">
    <vt:lpwstr>81fa766e-a349-4867-8bf4-ab35e250a08f</vt:lpwstr>
  </property>
  <property fmtid="{D5CDD505-2E9C-101B-9397-08002B2CF9AE}" pid="7" name="MSIP_Label_7fea2623-af8f-4fb8-b1cf-b63cc8e496aa_ActionId">
    <vt:lpwstr>c76a447a-5168-4cf4-8075-84e677e2ccc9</vt:lpwstr>
  </property>
  <property fmtid="{D5CDD505-2E9C-101B-9397-08002B2CF9AE}" pid="8" name="MSIP_Label_7fea2623-af8f-4fb8-b1cf-b63cc8e496aa_ContentBits">
    <vt:lpwstr>0</vt:lpwstr>
  </property>
</Properties>
</file>