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BRIZIO\Downloads\"/>
    </mc:Choice>
  </mc:AlternateContent>
  <xr:revisionPtr revIDLastSave="0" documentId="13_ncr:1_{3A234C8B-9877-4EC6-932D-059A0C8B80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XPLICACION" sheetId="5" r:id="rId1"/>
    <sheet name="PLANILLA" sheetId="1" r:id="rId2"/>
    <sheet name="BOLETA" sheetId="2" r:id="rId3"/>
    <sheet name="RESUMEN" sheetId="3" r:id="rId4"/>
    <sheet name="BÚSQUEDAS" sheetId="4" state="hidden" r:id="rId5"/>
  </sheets>
  <definedNames>
    <definedName name="_xlnm._FilterDatabase" localSheetId="1" hidden="1">PLANILLA!$A$5:$X$16</definedName>
    <definedName name="CODIGO">PLANILLA!$B$6:$B$15</definedName>
    <definedName name="planilla">PLANILLA!$B$5:$X$16</definedName>
    <definedName name="tabla">Tabla1[]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3" l="1"/>
  <c r="H34" i="3"/>
  <c r="H33" i="3"/>
  <c r="F32" i="3"/>
  <c r="F31" i="3"/>
  <c r="F30" i="3"/>
  <c r="F29" i="3"/>
  <c r="F28" i="3"/>
  <c r="G25" i="3"/>
  <c r="G24" i="3"/>
  <c r="G23" i="3"/>
  <c r="G22" i="3"/>
  <c r="E19" i="3"/>
  <c r="J6" i="1"/>
  <c r="E15" i="3"/>
  <c r="E14" i="3"/>
  <c r="S7" i="1"/>
  <c r="S8" i="1"/>
  <c r="S9" i="1"/>
  <c r="S10" i="1"/>
  <c r="S11" i="1"/>
  <c r="S12" i="1"/>
  <c r="S13" i="1"/>
  <c r="S14" i="1"/>
  <c r="S15" i="1"/>
  <c r="S6" i="1"/>
  <c r="J7" i="1"/>
  <c r="B7" i="1" s="1"/>
  <c r="J8" i="1"/>
  <c r="B8" i="1" s="1"/>
  <c r="J9" i="1"/>
  <c r="B9" i="1" s="1"/>
  <c r="J10" i="1"/>
  <c r="B10" i="1" s="1"/>
  <c r="J11" i="1"/>
  <c r="B11" i="1" s="1"/>
  <c r="J12" i="1"/>
  <c r="B12" i="1" s="1"/>
  <c r="J13" i="1"/>
  <c r="B13" i="1" s="1"/>
  <c r="J14" i="1"/>
  <c r="B14" i="1" s="1"/>
  <c r="J15" i="1"/>
  <c r="B15" i="1" s="1"/>
  <c r="R7" i="1"/>
  <c r="R8" i="1"/>
  <c r="R9" i="1"/>
  <c r="R10" i="1"/>
  <c r="R11" i="1"/>
  <c r="R12" i="1"/>
  <c r="R13" i="1"/>
  <c r="R14" i="1"/>
  <c r="R15" i="1"/>
  <c r="R6" i="1"/>
  <c r="Q6" i="1"/>
  <c r="Q7" i="1"/>
  <c r="Q8" i="1"/>
  <c r="Q9" i="1"/>
  <c r="Q10" i="1"/>
  <c r="Q11" i="1"/>
  <c r="Q12" i="1"/>
  <c r="Q13" i="1"/>
  <c r="Q14" i="1"/>
  <c r="Q15" i="1"/>
  <c r="O7" i="1"/>
  <c r="O8" i="1"/>
  <c r="O9" i="1"/>
  <c r="O10" i="1"/>
  <c r="O11" i="1"/>
  <c r="O12" i="1"/>
  <c r="O13" i="1"/>
  <c r="O14" i="1"/>
  <c r="O15" i="1"/>
  <c r="O6" i="1"/>
  <c r="N11" i="1"/>
  <c r="M6" i="1"/>
  <c r="M7" i="1"/>
  <c r="M8" i="1"/>
  <c r="M9" i="1"/>
  <c r="M10" i="1"/>
  <c r="M11" i="1"/>
  <c r="M12" i="1"/>
  <c r="M13" i="1"/>
  <c r="M14" i="1"/>
  <c r="M15" i="1"/>
  <c r="K6" i="1"/>
  <c r="T6" i="1" s="1"/>
  <c r="L11" i="1"/>
  <c r="K7" i="1"/>
  <c r="T7" i="1" s="1"/>
  <c r="K8" i="1"/>
  <c r="U8" i="1" s="1"/>
  <c r="K9" i="1"/>
  <c r="T9" i="1" s="1"/>
  <c r="K10" i="1"/>
  <c r="T10" i="1" s="1"/>
  <c r="K11" i="1"/>
  <c r="U11" i="1" s="1"/>
  <c r="K12" i="1"/>
  <c r="L12" i="1" s="1"/>
  <c r="K13" i="1"/>
  <c r="L13" i="1" s="1"/>
  <c r="K14" i="1"/>
  <c r="U14" i="1" s="1"/>
  <c r="K15" i="1"/>
  <c r="N15" i="1" s="1"/>
  <c r="E18" i="3" l="1"/>
  <c r="E17" i="3"/>
  <c r="E16" i="3"/>
  <c r="N7" i="1"/>
  <c r="T15" i="1"/>
  <c r="N8" i="1"/>
  <c r="T14" i="1"/>
  <c r="V14" i="1" s="1"/>
  <c r="N14" i="1"/>
  <c r="T8" i="1"/>
  <c r="V8" i="1" s="1"/>
  <c r="M16" i="1"/>
  <c r="O16" i="1"/>
  <c r="T11" i="1"/>
  <c r="V11" i="1" s="1"/>
  <c r="R16" i="1"/>
  <c r="N6" i="1"/>
  <c r="T13" i="1"/>
  <c r="U6" i="1"/>
  <c r="V6" i="1" s="1"/>
  <c r="L14" i="1"/>
  <c r="N13" i="1"/>
  <c r="P13" i="1"/>
  <c r="P12" i="1"/>
  <c r="U10" i="1"/>
  <c r="V10" i="1" s="1"/>
  <c r="U9" i="1"/>
  <c r="V9" i="1" s="1"/>
  <c r="L9" i="1"/>
  <c r="L8" i="1"/>
  <c r="L15" i="1"/>
  <c r="L7" i="1"/>
  <c r="N12" i="1"/>
  <c r="P11" i="1"/>
  <c r="T12" i="1"/>
  <c r="L10" i="1"/>
  <c r="U7" i="1"/>
  <c r="U13" i="1"/>
  <c r="Q16" i="1"/>
  <c r="N10" i="1"/>
  <c r="U12" i="1"/>
  <c r="U15" i="1"/>
  <c r="V15" i="1" s="1"/>
  <c r="K16" i="1"/>
  <c r="N9" i="1"/>
  <c r="B6" i="1"/>
  <c r="E13" i="3" s="1"/>
  <c r="L6" i="1"/>
  <c r="H17" i="2" l="1"/>
  <c r="H23" i="2"/>
  <c r="H16" i="2"/>
  <c r="D26" i="2"/>
  <c r="H22" i="2"/>
  <c r="D24" i="2"/>
  <c r="D25" i="2"/>
  <c r="D22" i="2"/>
  <c r="D23" i="2"/>
  <c r="D20" i="2"/>
  <c r="D21" i="2"/>
  <c r="D15" i="2"/>
  <c r="D17" i="2"/>
  <c r="T16" i="1"/>
  <c r="V13" i="1"/>
  <c r="U16" i="1"/>
  <c r="N16" i="1"/>
  <c r="W11" i="1"/>
  <c r="X11" i="1" s="1"/>
  <c r="P14" i="1"/>
  <c r="W14" i="1" s="1"/>
  <c r="X14" i="1" s="1"/>
  <c r="V16" i="1"/>
  <c r="P9" i="1"/>
  <c r="W9" i="1" s="1"/>
  <c r="X9" i="1" s="1"/>
  <c r="V12" i="1"/>
  <c r="W12" i="1" s="1"/>
  <c r="X12" i="1" s="1"/>
  <c r="P15" i="1"/>
  <c r="W15" i="1" s="1"/>
  <c r="X15" i="1" s="1"/>
  <c r="P7" i="1"/>
  <c r="P8" i="1"/>
  <c r="W8" i="1" s="1"/>
  <c r="X8" i="1" s="1"/>
  <c r="P10" i="1"/>
  <c r="W10" i="1" s="1"/>
  <c r="X10" i="1" s="1"/>
  <c r="V7" i="1"/>
  <c r="W13" i="1"/>
  <c r="X13" i="1" s="1"/>
  <c r="P6" i="1"/>
  <c r="W6" i="1" s="1"/>
  <c r="X6" i="1" s="1"/>
  <c r="L16" i="1"/>
  <c r="D16" i="2"/>
  <c r="D14" i="2"/>
  <c r="H15" i="2"/>
  <c r="D27" i="2" l="1"/>
  <c r="P16" i="1"/>
  <c r="S16" i="1" s="1"/>
  <c r="W16" i="1" s="1"/>
  <c r="X16" i="1" s="1"/>
  <c r="W7" i="1" l="1"/>
  <c r="X7" i="1" l="1"/>
  <c r="H27" i="2" l="1"/>
  <c r="D30" i="2" s="1"/>
  <c r="D31" i="2" s="1"/>
</calcChain>
</file>

<file path=xl/sharedStrings.xml><?xml version="1.0" encoding="utf-8"?>
<sst xmlns="http://schemas.openxmlformats.org/spreadsheetml/2006/main" count="216" uniqueCount="156">
  <si>
    <t>Permanente</t>
  </si>
  <si>
    <t>C</t>
  </si>
  <si>
    <t>A</t>
  </si>
  <si>
    <t>M</t>
  </si>
  <si>
    <t>Contratado</t>
  </si>
  <si>
    <t>V</t>
  </si>
  <si>
    <t>B</t>
  </si>
  <si>
    <t>F</t>
  </si>
  <si>
    <t>Eventual</t>
  </si>
  <si>
    <t>D</t>
  </si>
  <si>
    <t>S</t>
  </si>
  <si>
    <t>Rojas Ruiz, Carlos</t>
  </si>
  <si>
    <t>Palma Suarez, Rosa</t>
  </si>
  <si>
    <t>Aguilar Mori, Ronald</t>
  </si>
  <si>
    <t>Quispe Yaranga, Freddy</t>
  </si>
  <si>
    <t>EMPLEADOS</t>
  </si>
  <si>
    <t>EDAD</t>
  </si>
  <si>
    <t>TIPO</t>
  </si>
  <si>
    <t>CIVIL</t>
  </si>
  <si>
    <t>CATEGORÍA</t>
  </si>
  <si>
    <t>Castro Moreno, Laura</t>
  </si>
  <si>
    <t>Galarza Rojas, Ana</t>
  </si>
  <si>
    <t>Medina Condori, Carolina</t>
  </si>
  <si>
    <t>Casas Romero, Sonia</t>
  </si>
  <si>
    <t>SEXO</t>
  </si>
  <si>
    <t>TOTAL</t>
  </si>
  <si>
    <t>BÁSICO</t>
  </si>
  <si>
    <t>B. CIVIL</t>
  </si>
  <si>
    <t>B. TOTAL</t>
  </si>
  <si>
    <t>D. TOTAL</t>
  </si>
  <si>
    <t>PLANILLA DE SUELDOS</t>
  </si>
  <si>
    <t>F. NAC</t>
  </si>
  <si>
    <t>CATEG</t>
  </si>
  <si>
    <t>T. SERV</t>
  </si>
  <si>
    <t>BON. 1</t>
  </si>
  <si>
    <t>B. CAT</t>
  </si>
  <si>
    <t>BON. 2</t>
  </si>
  <si>
    <t>BON. 3</t>
  </si>
  <si>
    <t>BON. 4</t>
  </si>
  <si>
    <t>TABLA1</t>
  </si>
  <si>
    <t>BONIFICACIÓN 3</t>
  </si>
  <si>
    <t>TABLA2</t>
  </si>
  <si>
    <t>BONIFICACIÓN 4</t>
  </si>
  <si>
    <t>TABLA3</t>
  </si>
  <si>
    <t>CÓDIGO</t>
  </si>
  <si>
    <t>INSTRUCCIONES</t>
  </si>
  <si>
    <t>ONP</t>
  </si>
  <si>
    <t xml:space="preserve"> 6.-  BON.1 =  15% del basico para los casados, 12% del basico para los Viudos y 8% del basico para solteros</t>
  </si>
  <si>
    <t xml:space="preserve"> 9.-  B. TOTAL = Suma de Bonificaciones</t>
  </si>
  <si>
    <t>13.- NETO = (BÁSICO + B. TOTAL) - D. TOTAL</t>
  </si>
  <si>
    <t>E. CIVIL</t>
  </si>
  <si>
    <t>% BON. 1</t>
  </si>
  <si>
    <t xml:space="preserve">NETO </t>
  </si>
  <si>
    <t>DOLARES ($)</t>
  </si>
  <si>
    <t>13.- DOLARES = NETO en dólares</t>
  </si>
  <si>
    <t>TIPO DE CAMBIO</t>
  </si>
  <si>
    <t>SUELDO BÁSICO:</t>
  </si>
  <si>
    <t>BOLETA DE PAGO</t>
  </si>
  <si>
    <t>EMPLEADO:</t>
  </si>
  <si>
    <t>DATOS</t>
  </si>
  <si>
    <t>EDAD:</t>
  </si>
  <si>
    <t>ESTADO CIVIL:</t>
  </si>
  <si>
    <t>TIPO DE CONTRATO:</t>
  </si>
  <si>
    <t>CATEGORÍA:</t>
  </si>
  <si>
    <t>BONIFICACIONES</t>
  </si>
  <si>
    <t>DESCUENTOS</t>
  </si>
  <si>
    <t>TIEMPO DE SERVICIO:</t>
  </si>
  <si>
    <t>B. EMP</t>
  </si>
  <si>
    <t xml:space="preserve"> 4.-  B.EMP = 10% del basico para permanente, 8% del basico para contratado y 5% del basico para Eventual</t>
  </si>
  <si>
    <t>% B. EMP</t>
  </si>
  <si>
    <t>B. EMPLEADO:</t>
  </si>
  <si>
    <t>B. CIVIL:</t>
  </si>
  <si>
    <t>B. CATEGORÍA:</t>
  </si>
  <si>
    <t>BONIFICACIÓN 1:</t>
  </si>
  <si>
    <t>BONIFICACIÓN 2:</t>
  </si>
  <si>
    <t>BONIFICACIÓN 3:</t>
  </si>
  <si>
    <t>BONIFICACIÓN 4:</t>
  </si>
  <si>
    <t>TOTAL:</t>
  </si>
  <si>
    <t>ONP:</t>
  </si>
  <si>
    <t>TOTAL A PAGAR:</t>
  </si>
  <si>
    <t>EN DÓLARES:</t>
  </si>
  <si>
    <t xml:space="preserve">       INGRESE EL CÓDIGO: </t>
  </si>
  <si>
    <t>Portilla Saya, Carlos</t>
  </si>
  <si>
    <t>Quispe Caro, Enrique</t>
  </si>
  <si>
    <t xml:space="preserve"> 1.-  EDAD = A partir de la fecha de Nacimiento</t>
  </si>
  <si>
    <t>REPORTE DEL AREA DE RRHH</t>
  </si>
  <si>
    <t>N° DE EMPLEADOS:</t>
  </si>
  <si>
    <t>EMPLEADO DE MAYOR EDAD:</t>
  </si>
  <si>
    <t>EMPLEADO DE MENOR EDAD:</t>
  </si>
  <si>
    <t>EMPLEADOS SOLTEROS:</t>
  </si>
  <si>
    <t>EMPLEADOS PERMANENTES:</t>
  </si>
  <si>
    <t>CON 10 A MAS AÑOS DE SERVICIO:</t>
  </si>
  <si>
    <t>REPORTE GENERAL:</t>
  </si>
  <si>
    <t>REPORTE ESPECIALIZADO:</t>
  </si>
  <si>
    <t>EDAD PROMEDIO:</t>
  </si>
  <si>
    <t>REPORTE FINANCIERO:</t>
  </si>
  <si>
    <t>TOTAL DEL MES A PAGAR:</t>
  </si>
  <si>
    <t xml:space="preserve">TOTAL DE LOS EMPLEADOS VARONES: </t>
  </si>
  <si>
    <t xml:space="preserve">TOTAL DE LAS EMPLEADAS: </t>
  </si>
  <si>
    <t xml:space="preserve">TOTAL DE LOS EMPLEADAS VIUDAS: </t>
  </si>
  <si>
    <t xml:space="preserve">TOTAL DE LOS EMPLEADOS VARONES PERMANENTES: </t>
  </si>
  <si>
    <t>TOTAL DE LOS CASADOS:</t>
  </si>
  <si>
    <t>ALUMNOS</t>
  </si>
  <si>
    <t>María</t>
  </si>
  <si>
    <t>Julio</t>
  </si>
  <si>
    <t>Marcos</t>
  </si>
  <si>
    <t>Susana</t>
  </si>
  <si>
    <t>Rosa</t>
  </si>
  <si>
    <t>BUSQUEDA</t>
  </si>
  <si>
    <t>POSICIÓN</t>
  </si>
  <si>
    <t>FUNCION COINCIDIR</t>
  </si>
  <si>
    <t>FUNCION INDICE</t>
  </si>
  <si>
    <t>EXCEL</t>
  </si>
  <si>
    <t>WORD</t>
  </si>
  <si>
    <t>ACCES</t>
  </si>
  <si>
    <t>WINDOWS</t>
  </si>
  <si>
    <t>Word</t>
  </si>
  <si>
    <t>ADELANTO:</t>
  </si>
  <si>
    <t>10.- ADELANTO = 30% del basico</t>
  </si>
  <si>
    <t>12.- D. TOTAL = ADELANTO + ONP</t>
  </si>
  <si>
    <t>ADELANTO</t>
  </si>
  <si>
    <t>MARÍA</t>
  </si>
  <si>
    <t>JULIO</t>
  </si>
  <si>
    <t>MARCOS</t>
  </si>
  <si>
    <t>SUSANA</t>
  </si>
  <si>
    <t>ROSA</t>
  </si>
  <si>
    <t>NOTAS</t>
  </si>
  <si>
    <t xml:space="preserve"> 5.-  B. CIVIL = 150 para los casados, 150 viudos y 100 para solteros</t>
  </si>
  <si>
    <t xml:space="preserve"> 8.-  BON.2 =  30% de la suma de B.EMP y B.CIVIL para categoria A y B y 25% de la suma de B.EMP y B.CIVIL para C y D</t>
  </si>
  <si>
    <t xml:space="preserve"> 2.-  CÓDIGO (Mayusculs) = 2° letra A Paterno + Última letra A Paterno + 1° letra A Materno + Última letra A Materno +</t>
  </si>
  <si>
    <t xml:space="preserve">       1° letra Nombre + Ultima letra Nombre + 1° Cifra de la Edad + Sexo + las dos cifras de la edad</t>
  </si>
  <si>
    <t xml:space="preserve"> 3.-  BÁSICO = 1700 para permanente, 1400 para Contratado y 1100 para Eventual</t>
  </si>
  <si>
    <t xml:space="preserve"> 7.-  B. CAT = 35 para categoria A, 60 para B, 80 para C y 100 para D</t>
  </si>
  <si>
    <t>11.- ONP = 7% del basico</t>
  </si>
  <si>
    <t xml:space="preserve">EMPLEADOS CASADOS DE CATEGORIA "B": </t>
  </si>
  <si>
    <t xml:space="preserve">EMPLEADOS VARONES DE CATEGORIA "A": </t>
  </si>
  <si>
    <t>EMPLEADAS VIUDAS DE CATEGORÍA "C":</t>
  </si>
  <si>
    <t>EMPLEADAS CASADAS EVENTUALES MENOR A 12 AÑOS:</t>
  </si>
  <si>
    <t xml:space="preserve">TOTAL DE LOS EMPLEADAS VIUDAS MENOR A 8 AÑOS DE SERVICIO: </t>
  </si>
  <si>
    <t xml:space="preserve">TOTAL DE LOS EMPLEADOS VARONES EVENTUALES MAYOR A 3 AÑOS: </t>
  </si>
  <si>
    <t>TEXTO_CODIGO</t>
  </si>
  <si>
    <t xml:space="preserve"> </t>
  </si>
  <si>
    <t>OSRZCS4M43</t>
  </si>
  <si>
    <t>AOMOLA4F40</t>
  </si>
  <si>
    <t>GRMIRD3M38</t>
  </si>
  <si>
    <t>AARSAA4F45</t>
  </si>
  <si>
    <t>AASZRA4F43</t>
  </si>
  <si>
    <t>UEYAFY4M49</t>
  </si>
  <si>
    <t>OASACS4M45</t>
  </si>
  <si>
    <t>EACICA4F44</t>
  </si>
  <si>
    <t>UECOEE4M41</t>
  </si>
  <si>
    <t>ASROSA3F36</t>
  </si>
  <si>
    <t>T. SERV&gt;=11</t>
  </si>
  <si>
    <t>T. SERV&lt;=10</t>
  </si>
  <si>
    <t xml:space="preserve">TECNOLOGÍAS DE LA INFORMACIÓN </t>
  </si>
  <si>
    <t xml:space="preserve">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</si>
</sst>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S/&quot;\ * #,##0.00_-;\-&quot;S/&quot;\ * #,##0.00_-;_-&quot;S/&quot;\ * &quot;-&quot;??_-;_-@_-"/>
    <numFmt numFmtId="165" formatCode="_ * #,##0.00_ ;_ * \-#,##0.00_ ;_ * &quot;-&quot;??_ ;_ @_ "/>
    <numFmt numFmtId="166" formatCode="[$S/.-280A]\ #,##0.00"/>
    <numFmt numFmtId="167" formatCode="_-[$$-409]* #,##0.00_ ;_-[$$-409]* \-#,##0.00\ ;_-[$$-409]* &quot;-&quot;??_ ;_-@_ "/>
    <numFmt numFmtId="168" formatCode="_-[$S/-280A]\ * #,##0.00_-;\-[$S/-280A]\ * #,##0.00_-;_-[$S/-28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 Black"/>
      <family val="2"/>
    </font>
    <font>
      <sz val="9"/>
      <color theme="1"/>
      <name val="Arial"/>
      <family val="2"/>
    </font>
    <font>
      <b/>
      <sz val="9"/>
      <color indexed="9"/>
      <name val="Arial"/>
      <family val="2"/>
    </font>
    <font>
      <sz val="9"/>
      <color theme="1"/>
      <name val="Calibri"/>
      <family val="2"/>
      <scheme val="minor"/>
    </font>
    <font>
      <sz val="9"/>
      <color indexed="45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b/>
      <sz val="9"/>
      <color theme="9" tint="-0.249977111117893"/>
      <name val="Arial"/>
      <family val="2"/>
    </font>
    <font>
      <b/>
      <sz val="11"/>
      <color theme="9" tint="-0.249977111117893"/>
      <name val="Cambria"/>
      <family val="1"/>
      <scheme val="major"/>
    </font>
    <font>
      <b/>
      <sz val="12"/>
      <color theme="0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9"/>
      <color rgb="FFC00000"/>
      <name val="Arial"/>
      <family val="2"/>
    </font>
    <font>
      <sz val="9"/>
      <color rgb="FFC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ck">
        <color auto="1"/>
      </right>
      <top/>
      <bottom style="medium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0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16" fillId="0" borderId="25" xfId="0" applyFont="1" applyBorder="1"/>
    <xf numFmtId="0" fontId="17" fillId="0" borderId="0" xfId="0" applyFont="1"/>
    <xf numFmtId="0" fontId="13" fillId="0" borderId="0" xfId="0" applyFont="1" applyAlignment="1">
      <alignment horizontal="center"/>
    </xf>
    <xf numFmtId="0" fontId="20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5" fillId="4" borderId="5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11" fillId="4" borderId="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9" fontId="9" fillId="0" borderId="12" xfId="2" applyFont="1" applyFill="1" applyBorder="1" applyAlignment="1">
      <alignment horizontal="center" vertical="center"/>
    </xf>
    <xf numFmtId="9" fontId="9" fillId="0" borderId="13" xfId="2" applyFont="1" applyFill="1" applyBorder="1" applyAlignment="1">
      <alignment horizontal="center" vertical="center"/>
    </xf>
    <xf numFmtId="9" fontId="9" fillId="0" borderId="1" xfId="2" applyFont="1" applyFill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9" fontId="9" fillId="0" borderId="12" xfId="2" applyFont="1" applyBorder="1" applyAlignment="1">
      <alignment horizontal="center" vertical="center"/>
    </xf>
    <xf numFmtId="0" fontId="14" fillId="0" borderId="0" xfId="0" applyFont="1"/>
    <xf numFmtId="0" fontId="20" fillId="0" borderId="0" xfId="0" applyFont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12" fillId="0" borderId="0" xfId="0" applyFont="1"/>
    <xf numFmtId="0" fontId="20" fillId="0" borderId="38" xfId="0" applyFont="1" applyBorder="1"/>
    <xf numFmtId="0" fontId="14" fillId="0" borderId="39" xfId="0" applyFont="1" applyBorder="1" applyAlignment="1">
      <alignment horizontal="center" vertical="center"/>
    </xf>
    <xf numFmtId="0" fontId="12" fillId="4" borderId="40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3" fillId="4" borderId="4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3" fillId="4" borderId="42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4" fillId="0" borderId="0" xfId="0" applyFont="1" applyAlignment="1">
      <alignment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10" xfId="0" applyNumberFormat="1" applyFont="1" applyBorder="1" applyAlignment="1">
      <alignment horizontal="center" vertical="center"/>
    </xf>
    <xf numFmtId="166" fontId="9" fillId="0" borderId="12" xfId="0" applyNumberFormat="1" applyFont="1" applyBorder="1" applyAlignment="1">
      <alignment horizontal="center" vertical="center"/>
    </xf>
    <xf numFmtId="166" fontId="9" fillId="0" borderId="13" xfId="0" applyNumberFormat="1" applyFont="1" applyBorder="1" applyAlignment="1">
      <alignment horizontal="center" vertical="center"/>
    </xf>
    <xf numFmtId="0" fontId="23" fillId="4" borderId="51" xfId="0" applyFont="1" applyFill="1" applyBorder="1" applyAlignment="1">
      <alignment horizontal="center" vertical="center"/>
    </xf>
    <xf numFmtId="0" fontId="23" fillId="4" borderId="52" xfId="0" applyFont="1" applyFill="1" applyBorder="1" applyAlignment="1">
      <alignment horizontal="center" vertical="center"/>
    </xf>
    <xf numFmtId="0" fontId="23" fillId="4" borderId="53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167" fontId="9" fillId="0" borderId="50" xfId="1" applyNumberFormat="1" applyFont="1" applyFill="1" applyBorder="1" applyAlignment="1">
      <alignment horizontal="center" vertical="center"/>
    </xf>
    <xf numFmtId="168" fontId="9" fillId="0" borderId="49" xfId="1" applyNumberFormat="1" applyFont="1" applyFill="1" applyBorder="1" applyAlignment="1">
      <alignment horizontal="center" vertical="center"/>
    </xf>
    <xf numFmtId="168" fontId="4" fillId="0" borderId="0" xfId="0" applyNumberFormat="1" applyFont="1"/>
    <xf numFmtId="168" fontId="13" fillId="3" borderId="21" xfId="0" applyNumberFormat="1" applyFont="1" applyFill="1" applyBorder="1"/>
    <xf numFmtId="164" fontId="4" fillId="0" borderId="0" xfId="3" applyFont="1" applyBorder="1" applyProtection="1"/>
    <xf numFmtId="164" fontId="13" fillId="0" borderId="0" xfId="3" applyFont="1" applyBorder="1" applyProtection="1"/>
    <xf numFmtId="164" fontId="13" fillId="3" borderId="21" xfId="3" applyFont="1" applyFill="1" applyBorder="1" applyProtection="1"/>
    <xf numFmtId="164" fontId="9" fillId="3" borderId="21" xfId="1" applyNumberFormat="1" applyFont="1" applyFill="1" applyBorder="1" applyAlignment="1">
      <alignment horizontal="center" vertical="center"/>
    </xf>
    <xf numFmtId="168" fontId="13" fillId="0" borderId="0" xfId="0" applyNumberFormat="1" applyFont="1" applyAlignment="1">
      <alignment horizontal="center"/>
    </xf>
    <xf numFmtId="0" fontId="5" fillId="4" borderId="61" xfId="0" applyFont="1" applyFill="1" applyBorder="1" applyAlignment="1">
      <alignment horizontal="center"/>
    </xf>
    <xf numFmtId="164" fontId="9" fillId="3" borderId="64" xfId="1" applyNumberFormat="1" applyFont="1" applyFill="1" applyBorder="1" applyAlignment="1">
      <alignment horizontal="center" vertical="center"/>
    </xf>
    <xf numFmtId="0" fontId="9" fillId="0" borderId="21" xfId="1" applyNumberFormat="1" applyFont="1" applyFill="1" applyBorder="1" applyAlignment="1">
      <alignment horizontal="center"/>
    </xf>
    <xf numFmtId="0" fontId="14" fillId="0" borderId="21" xfId="0" applyFont="1" applyBorder="1" applyAlignment="1">
      <alignment horizontal="left"/>
    </xf>
    <xf numFmtId="14" fontId="14" fillId="0" borderId="21" xfId="0" applyNumberFormat="1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" fontId="9" fillId="0" borderId="21" xfId="1" applyNumberFormat="1" applyFont="1" applyFill="1" applyBorder="1" applyAlignment="1">
      <alignment horizontal="center" vertical="center"/>
    </xf>
    <xf numFmtId="164" fontId="9" fillId="0" borderId="21" xfId="1" applyNumberFormat="1" applyFont="1" applyFill="1" applyBorder="1" applyAlignment="1">
      <alignment horizontal="center" vertical="center"/>
    </xf>
    <xf numFmtId="168" fontId="9" fillId="0" borderId="21" xfId="1" applyNumberFormat="1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1" fontId="13" fillId="3" borderId="21" xfId="0" applyNumberFormat="1" applyFont="1" applyFill="1" applyBorder="1" applyAlignment="1">
      <alignment horizontal="center" vertical="center"/>
    </xf>
    <xf numFmtId="164" fontId="13" fillId="3" borderId="21" xfId="0" applyNumberFormat="1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3" fillId="3" borderId="21" xfId="0" applyFont="1" applyFill="1" applyBorder="1"/>
    <xf numFmtId="0" fontId="12" fillId="4" borderId="62" xfId="0" applyFont="1" applyFill="1" applyBorder="1" applyAlignment="1">
      <alignment horizontal="center" vertical="center"/>
    </xf>
    <xf numFmtId="0" fontId="12" fillId="4" borderId="63" xfId="0" applyFont="1" applyFill="1" applyBorder="1" applyAlignment="1">
      <alignment horizontal="center" vertical="center"/>
    </xf>
    <xf numFmtId="168" fontId="13" fillId="0" borderId="0" xfId="0" applyNumberFormat="1" applyFont="1" applyAlignment="1">
      <alignment horizontal="right"/>
    </xf>
    <xf numFmtId="2" fontId="14" fillId="0" borderId="21" xfId="1" applyNumberFormat="1" applyFont="1" applyFill="1" applyBorder="1" applyAlignment="1">
      <alignment horizontal="center"/>
    </xf>
    <xf numFmtId="0" fontId="13" fillId="3" borderId="0" xfId="0" applyFont="1" applyFill="1"/>
    <xf numFmtId="0" fontId="5" fillId="4" borderId="65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4" borderId="67" xfId="0" applyFont="1" applyFill="1" applyBorder="1" applyAlignment="1">
      <alignment horizontal="center" vertical="center"/>
    </xf>
    <xf numFmtId="0" fontId="5" fillId="4" borderId="6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164" fontId="13" fillId="3" borderId="21" xfId="3" applyFont="1" applyFill="1" applyBorder="1" applyAlignment="1" applyProtection="1">
      <alignment horizontal="center"/>
    </xf>
    <xf numFmtId="167" fontId="13" fillId="3" borderId="21" xfId="0" applyNumberFormat="1" applyFont="1" applyFill="1" applyBorder="1" applyAlignment="1">
      <alignment horizontal="center"/>
    </xf>
    <xf numFmtId="0" fontId="18" fillId="4" borderId="34" xfId="0" applyFont="1" applyFill="1" applyBorder="1" applyAlignment="1">
      <alignment horizontal="center"/>
    </xf>
    <xf numFmtId="0" fontId="18" fillId="4" borderId="35" xfId="0" applyFont="1" applyFill="1" applyBorder="1" applyAlignment="1">
      <alignment horizontal="center"/>
    </xf>
    <xf numFmtId="0" fontId="18" fillId="4" borderId="36" xfId="0" applyFont="1" applyFill="1" applyBorder="1" applyAlignment="1">
      <alignment horizontal="center"/>
    </xf>
    <xf numFmtId="0" fontId="19" fillId="4" borderId="34" xfId="0" applyFont="1" applyFill="1" applyBorder="1" applyAlignment="1">
      <alignment horizontal="center"/>
    </xf>
    <xf numFmtId="0" fontId="19" fillId="4" borderId="35" xfId="0" applyFont="1" applyFill="1" applyBorder="1" applyAlignment="1">
      <alignment horizontal="center"/>
    </xf>
    <xf numFmtId="0" fontId="19" fillId="4" borderId="3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/>
    </xf>
    <xf numFmtId="0" fontId="12" fillId="4" borderId="34" xfId="0" applyFont="1" applyFill="1" applyBorder="1" applyAlignment="1">
      <alignment horizontal="center"/>
    </xf>
    <xf numFmtId="0" fontId="12" fillId="4" borderId="36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12" fillId="4" borderId="35" xfId="0" applyFont="1" applyFill="1" applyBorder="1" applyAlignment="1">
      <alignment horizontal="center"/>
    </xf>
    <xf numFmtId="0" fontId="20" fillId="0" borderId="37" xfId="0" applyFont="1" applyBorder="1" applyAlignment="1">
      <alignment horizontal="left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7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ck">
          <color auto="1"/>
        </right>
        <top style="medium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8" formatCode="_-[$S/-280A]\ * #,##0.00_-;\-[$S/-280A]\ * #,##0.00_-;_-[$S/-280A]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-&quot;S/&quot;\ * #,##0.00_-;\-&quot;S/&quot;\ * #,##0.00_-;_-&quot;S/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ck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9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4</xdr:row>
      <xdr:rowOff>152400</xdr:rowOff>
    </xdr:from>
    <xdr:to>
      <xdr:col>8</xdr:col>
      <xdr:colOff>7620</xdr:colOff>
      <xdr:row>17</xdr:row>
      <xdr:rowOff>175260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A5D0756-5951-3F2A-D576-4936A7CD86D8}"/>
            </a:ext>
          </a:extLst>
        </xdr:cNvPr>
        <xdr:cNvSpPr/>
      </xdr:nvSpPr>
      <xdr:spPr>
        <a:xfrm>
          <a:off x="1554480" y="883920"/>
          <a:ext cx="4792980" cy="240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Implementación de un sistema de bonos automáticos para los trabajadores, usando formulas Excel.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PE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PE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Algunos datos personales han sido modificados y la planilla</a:t>
          </a:r>
          <a:r>
            <a:rPr lang="es-PE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 sido reducida a fin de solo mostrar la funcionalidad</a:t>
          </a:r>
          <a:endParaRPr lang="es-PE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P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B9308-0584-4216-A021-3484D7E89B6F}" name="Tabla1" displayName="Tabla1" ref="B5:X16" totalsRowShown="0" headerRowDxfId="25" dataDxfId="24" tableBorderDxfId="23" dataCellStyle="Millares">
  <autoFilter ref="B5:X16" xr:uid="{849B9308-0584-4216-A021-3484D7E89B6F}"/>
  <tableColumns count="23">
    <tableColumn id="1" xr3:uid="{C8A62056-FD25-4888-8192-9527C26CB4CF}" name="CÓDIGO" dataDxfId="22" dataCellStyle="Millares"/>
    <tableColumn id="2" xr3:uid="{CB5ED456-760D-4406-A2E5-D865B2F5F298}" name="EMPLEADOS" dataDxfId="21"/>
    <tableColumn id="3" xr3:uid="{A76CDDDC-714D-4F69-8515-A5229A484F27}" name="F. NAC" dataDxfId="20"/>
    <tableColumn id="4" xr3:uid="{055FAC1C-F555-4682-91E9-DFA09BF3A610}" name="TIPO" dataDxfId="19"/>
    <tableColumn id="5" xr3:uid="{7B542307-00DC-420B-8EAE-7D2678F18BF0}" name="CIVIL" dataDxfId="18"/>
    <tableColumn id="6" xr3:uid="{973DB7BD-196B-4E53-9F30-AC0EBB56AC78}" name="CATEG" dataDxfId="17"/>
    <tableColumn id="7" xr3:uid="{D98908C7-1AA6-4102-B08F-EFF1B44AA840}" name="T. SERV" dataDxfId="16"/>
    <tableColumn id="8" xr3:uid="{F4DEF1D7-A6CB-4DF7-BC4D-E3B4B6AD59A2}" name="SEXO" dataDxfId="15"/>
    <tableColumn id="9" xr3:uid="{B5542A96-4B2A-4DCF-A8D7-0EE8060FFFC1}" name="EDAD" dataDxfId="14" dataCellStyle="Millares"/>
    <tableColumn id="10" xr3:uid="{DF987C87-CA5B-409F-9076-84B336C353B2}" name="BÁSICO" dataDxfId="13" dataCellStyle="Millares"/>
    <tableColumn id="11" xr3:uid="{8D024B9F-EF34-42DC-BAF1-5577A0D13FAD}" name="B. EMP" dataDxfId="12" dataCellStyle="Millares"/>
    <tableColumn id="12" xr3:uid="{E8C64D21-7866-483A-861F-B98AD492F87E}" name="B. CIVIL" dataDxfId="11" dataCellStyle="Millares"/>
    <tableColumn id="13" xr3:uid="{69D9C9E4-7F93-4F9F-80D3-1D43DD6D5637}" name="BON. 1" dataDxfId="10" dataCellStyle="Millares"/>
    <tableColumn id="14" xr3:uid="{B7AB85F5-D61C-429F-A1FE-DB8D9B171971}" name="B. CAT" dataDxfId="9" dataCellStyle="Millares"/>
    <tableColumn id="15" xr3:uid="{F52ED1A9-9EDF-4AEF-BC14-F413E7E7D4FC}" name="BON. 2" dataDxfId="8" dataCellStyle="Millares"/>
    <tableColumn id="16" xr3:uid="{64E578B2-DE2A-4F64-B6ED-1AC125665A6C}" name="BON. 3" dataDxfId="7" dataCellStyle="Millares"/>
    <tableColumn id="17" xr3:uid="{F61C9AEA-F9ED-4943-B761-639E70D33703}" name="BON. 4" dataDxfId="6" dataCellStyle="Millares"/>
    <tableColumn id="18" xr3:uid="{8C023CDF-D7FC-4E3E-A306-134336A19FFB}" name="B. TOTAL" dataDxfId="5" dataCellStyle="Millares"/>
    <tableColumn id="19" xr3:uid="{E1772B64-79B1-4B71-A62A-6303BD29F203}" name="ADELANTO" dataDxfId="4" dataCellStyle="Millares"/>
    <tableColumn id="20" xr3:uid="{0584AD69-2631-458D-BC1A-490CD84EC3DD}" name="ONP" dataDxfId="3" dataCellStyle="Millares"/>
    <tableColumn id="21" xr3:uid="{6D24B085-B7E0-4153-81EF-9C09C6223665}" name="D. TOTAL" dataDxfId="2" dataCellStyle="Millares">
      <calculatedColumnFormula>+T6+U6</calculatedColumnFormula>
    </tableColumn>
    <tableColumn id="22" xr3:uid="{42372D0D-28CB-453C-8799-0DEAFCAD7B2C}" name="NETO " dataDxfId="1" dataCellStyle="Millares">
      <calculatedColumnFormula>+K6+S6-V6</calculatedColumnFormula>
    </tableColumn>
    <tableColumn id="23" xr3:uid="{00251FD7-DFBE-4E9C-9CC1-72246CB4B7BD}" name="DOLARES ($)" dataDxfId="0" dataCellStyle="Millares">
      <calculatedColumnFormula>+W6/$F$36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1E67-D1F7-4418-897C-271FDB0F43FE}">
  <sheetPr>
    <tabColor rgb="FFFF0000"/>
  </sheetPr>
  <dimension ref="A1"/>
  <sheetViews>
    <sheetView workbookViewId="0">
      <selection activeCell="I13" sqref="I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0000"/>
  </sheetPr>
  <dimension ref="A1:X42"/>
  <sheetViews>
    <sheetView showGridLines="0" zoomScaleNormal="100" workbookViewId="0">
      <pane ySplit="5" topLeftCell="A14" activePane="bottomLeft" state="frozen"/>
      <selection pane="bottomLeft" activeCell="Q29" sqref="Q29"/>
    </sheetView>
  </sheetViews>
  <sheetFormatPr baseColWidth="10" defaultColWidth="11.44140625" defaultRowHeight="11.4" x14ac:dyDescent="0.2"/>
  <cols>
    <col min="1" max="1" width="14.33203125" style="1" bestFit="1" customWidth="1"/>
    <col min="2" max="2" width="13.6640625" style="1" customWidth="1"/>
    <col min="3" max="3" width="24.6640625" style="1" customWidth="1"/>
    <col min="4" max="4" width="11.5546875" style="1" customWidth="1"/>
    <col min="5" max="5" width="13.44140625" style="1" customWidth="1"/>
    <col min="6" max="6" width="7.6640625" style="1" customWidth="1"/>
    <col min="7" max="7" width="9" style="1" customWidth="1"/>
    <col min="8" max="8" width="9.33203125" style="1" customWidth="1"/>
    <col min="9" max="9" width="7.6640625" style="1" customWidth="1"/>
    <col min="10" max="10" width="10.6640625" style="1" bestFit="1" customWidth="1"/>
    <col min="11" max="23" width="12.77734375" style="1" customWidth="1"/>
    <col min="24" max="24" width="13.33203125" style="1" customWidth="1"/>
    <col min="25" max="16384" width="11.44140625" style="1"/>
  </cols>
  <sheetData>
    <row r="1" spans="1:24" customFormat="1" ht="14.4" x14ac:dyDescent="0.3">
      <c r="B1" s="23"/>
    </row>
    <row r="2" spans="1:24" customFormat="1" ht="15" thickBot="1" x14ac:dyDescent="0.35">
      <c r="A2" s="1"/>
    </row>
    <row r="3" spans="1:24" ht="19.8" thickTop="1" thickBot="1" x14ac:dyDescent="0.5">
      <c r="F3" s="124" t="s">
        <v>30</v>
      </c>
      <c r="G3" s="125"/>
      <c r="H3" s="125"/>
      <c r="I3" s="125"/>
      <c r="J3" s="125"/>
      <c r="K3" s="125"/>
      <c r="L3" s="125"/>
      <c r="M3" s="125"/>
      <c r="N3" s="126"/>
    </row>
    <row r="4" spans="1:24" ht="13.2" thickTop="1" thickBot="1" x14ac:dyDescent="0.3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13</v>
      </c>
      <c r="O4" s="10">
        <v>14</v>
      </c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0">
        <v>20</v>
      </c>
      <c r="V4" s="10">
        <v>21</v>
      </c>
      <c r="W4" s="10">
        <v>22</v>
      </c>
      <c r="X4" s="10">
        <v>23</v>
      </c>
    </row>
    <row r="5" spans="1:24" ht="13.2" thickTop="1" thickBot="1" x14ac:dyDescent="0.3">
      <c r="A5" s="97" t="s">
        <v>140</v>
      </c>
      <c r="B5" s="118" t="s">
        <v>44</v>
      </c>
      <c r="C5" s="119" t="s">
        <v>15</v>
      </c>
      <c r="D5" s="119" t="s">
        <v>31</v>
      </c>
      <c r="E5" s="119" t="s">
        <v>17</v>
      </c>
      <c r="F5" s="119" t="s">
        <v>18</v>
      </c>
      <c r="G5" s="119" t="s">
        <v>32</v>
      </c>
      <c r="H5" s="119" t="s">
        <v>33</v>
      </c>
      <c r="I5" s="119" t="s">
        <v>24</v>
      </c>
      <c r="J5" s="119" t="s">
        <v>16</v>
      </c>
      <c r="K5" s="120" t="s">
        <v>26</v>
      </c>
      <c r="L5" s="121" t="s">
        <v>67</v>
      </c>
      <c r="M5" s="121" t="s">
        <v>27</v>
      </c>
      <c r="N5" s="120" t="s">
        <v>34</v>
      </c>
      <c r="O5" s="120" t="s">
        <v>35</v>
      </c>
      <c r="P5" s="120" t="s">
        <v>36</v>
      </c>
      <c r="Q5" s="120" t="s">
        <v>37</v>
      </c>
      <c r="R5" s="120" t="s">
        <v>38</v>
      </c>
      <c r="S5" s="120" t="s">
        <v>28</v>
      </c>
      <c r="T5" s="122" t="s">
        <v>120</v>
      </c>
      <c r="U5" s="122" t="s">
        <v>46</v>
      </c>
      <c r="V5" s="122" t="s">
        <v>29</v>
      </c>
      <c r="W5" s="122" t="s">
        <v>52</v>
      </c>
      <c r="X5" s="123" t="s">
        <v>53</v>
      </c>
    </row>
    <row r="6" spans="1:24" ht="12.6" thickBot="1" x14ac:dyDescent="0.3">
      <c r="A6" s="99" t="s">
        <v>142</v>
      </c>
      <c r="B6" s="116" t="str">
        <f t="shared" ref="B6:B15" ca="1" si="0">+UPPER(CONCATENATE(MID(C6,2,1),MID(C6,FIND(" ",C6)-1,1),MID(C6,FIND(" ",C6)+1,1),MID(C6,FIND(",",C6)-1,1),MID(C6,FIND(",",C6)+2,1),RIGHT(C6,1),LEFT(J6,1),I6,J6))</f>
        <v>OSRZCS4M43</v>
      </c>
      <c r="C6" s="100" t="s">
        <v>11</v>
      </c>
      <c r="D6" s="101">
        <v>29506</v>
      </c>
      <c r="E6" s="100" t="s">
        <v>0</v>
      </c>
      <c r="F6" s="102" t="s">
        <v>1</v>
      </c>
      <c r="G6" s="102" t="s">
        <v>2</v>
      </c>
      <c r="H6" s="102">
        <v>15</v>
      </c>
      <c r="I6" s="102" t="s">
        <v>3</v>
      </c>
      <c r="J6" s="103">
        <f t="shared" ref="J6:J15" ca="1" si="1">+TRUNC((TODAY()-D6)/365,0)</f>
        <v>43</v>
      </c>
      <c r="K6" s="104">
        <f>+IF(E6="Permanente",1700,IF(E6="Contratado",1400,IF(E6="Eventual",1100,"No aceptado")))</f>
        <v>1700</v>
      </c>
      <c r="L6" s="105">
        <f t="shared" ref="L6:L15" si="2">+IF(E6="Permanente",K6*0.1,IF(E6="Contratado",K6*0.08,IF(E6="Eventual",K6*0.05,"No aceptado")))</f>
        <v>170</v>
      </c>
      <c r="M6" s="105">
        <f>+IF(F6="C",150,IF(F6="V",150,IF(F6="S",100,"No aceptado")))</f>
        <v>150</v>
      </c>
      <c r="N6" s="105">
        <f t="shared" ref="N6:N15" si="3">+IF(F6="C",K6*0.15,IF(F6="V",K6*0.12,IF(F6="S",K6*0.08,"No aceptado")))</f>
        <v>255</v>
      </c>
      <c r="O6" s="105">
        <f t="shared" ref="O6:O15" si="4">+IF(G6="A",35,IF(G6="B",60,IF(G6="C",80,IF(G6="D",100,"No aceptado"))))</f>
        <v>35</v>
      </c>
      <c r="P6" s="105">
        <f t="shared" ref="P6:P15" si="5">+IF(OR(G6="A",G6="B"),SUM(L6,M6)*0.3,SUM(L6,M6)*0.25)</f>
        <v>96</v>
      </c>
      <c r="Q6" s="105">
        <f t="shared" ref="Q6:Q15" si="6">+IF(AND(E6="Permanente",I6="M"),50,IF(AND(E6="Permanente",I6="F"),80,IF(AND(E6="Contratado",I6="M"),60,IF(AND(E6="Contratado",I6="F"),90,IF(AND(E6="Eventual",I6="M"),70,IF(AND(E6="Eventual",I6="F"),40,"No aceptado"))))))</f>
        <v>50</v>
      </c>
      <c r="R6" s="105">
        <f t="shared" ref="R6:R15" si="7">+IF(AND(F6="C",H6&gt;=11),40,IF(AND(F6="C",H6&lt;=10),80,IF(AND(F6="V",H6&gt;=11),45,IF(AND(F6="V",H6&lt;=10),70,IF(AND(F6="S",H6&gt;=11),30,IF(AND(F6="S",H6&lt;=10),50,"No aceptado"))))))</f>
        <v>40</v>
      </c>
      <c r="S6" s="105">
        <f>+SUM(L6:R6)</f>
        <v>796</v>
      </c>
      <c r="T6" s="89">
        <f>+K6*0.3</f>
        <v>510</v>
      </c>
      <c r="U6" s="89">
        <f>+K6*0.07</f>
        <v>119.00000000000001</v>
      </c>
      <c r="V6" s="89">
        <f>+T6+U6</f>
        <v>629</v>
      </c>
      <c r="W6" s="89">
        <f>+K6+S6-V6</f>
        <v>1867</v>
      </c>
      <c r="X6" s="88">
        <f>+W6/$F$36</f>
        <v>531.90883190883198</v>
      </c>
    </row>
    <row r="7" spans="1:24" ht="12.6" thickBot="1" x14ac:dyDescent="0.3">
      <c r="A7" s="99" t="s">
        <v>143</v>
      </c>
      <c r="B7" s="116" t="str">
        <f t="shared" ca="1" si="0"/>
        <v>AOMOLA4F40</v>
      </c>
      <c r="C7" s="100" t="s">
        <v>20</v>
      </c>
      <c r="D7" s="101">
        <v>30746</v>
      </c>
      <c r="E7" s="100" t="s">
        <v>4</v>
      </c>
      <c r="F7" s="102" t="s">
        <v>5</v>
      </c>
      <c r="G7" s="102" t="s">
        <v>6</v>
      </c>
      <c r="H7" s="102">
        <v>8</v>
      </c>
      <c r="I7" s="102" t="s">
        <v>7</v>
      </c>
      <c r="J7" s="103">
        <f t="shared" ca="1" si="1"/>
        <v>40</v>
      </c>
      <c r="K7" s="104">
        <f t="shared" ref="K7:K15" si="8">+IF(E7="Permanente",1700,IF(E7="Contratado",1400,1100))</f>
        <v>1400</v>
      </c>
      <c r="L7" s="105">
        <f t="shared" si="2"/>
        <v>112</v>
      </c>
      <c r="M7" s="105">
        <f t="shared" ref="M7:M15" si="9">+IF(F7="C",150,IF(F7="V",150,100))</f>
        <v>150</v>
      </c>
      <c r="N7" s="105">
        <f t="shared" si="3"/>
        <v>168</v>
      </c>
      <c r="O7" s="105">
        <f t="shared" si="4"/>
        <v>60</v>
      </c>
      <c r="P7" s="105">
        <f t="shared" si="5"/>
        <v>78.599999999999994</v>
      </c>
      <c r="Q7" s="105">
        <f t="shared" si="6"/>
        <v>90</v>
      </c>
      <c r="R7" s="105">
        <f t="shared" si="7"/>
        <v>70</v>
      </c>
      <c r="S7" s="105">
        <f t="shared" ref="S7:S15" si="10">+SUM(L7:R7)</f>
        <v>728.6</v>
      </c>
      <c r="T7" s="89">
        <f t="shared" ref="T7:T15" si="11">+K7*0.3</f>
        <v>420</v>
      </c>
      <c r="U7" s="89">
        <f t="shared" ref="U7:U15" si="12">+K7*0.07</f>
        <v>98.000000000000014</v>
      </c>
      <c r="V7" s="89">
        <f t="shared" ref="V7:V16" si="13">+T7+U7</f>
        <v>518</v>
      </c>
      <c r="W7" s="89">
        <f t="shared" ref="W7:W16" si="14">+K7+S7-V7</f>
        <v>1610.6</v>
      </c>
      <c r="X7" s="88">
        <f t="shared" ref="X7:X16" si="15">+W7/$F$36</f>
        <v>458.86039886039885</v>
      </c>
    </row>
    <row r="8" spans="1:24" ht="12.6" thickBot="1" x14ac:dyDescent="0.3">
      <c r="A8" s="99" t="s">
        <v>144</v>
      </c>
      <c r="B8" s="116" t="str">
        <f t="shared" ca="1" si="0"/>
        <v>GRMIRD3M38</v>
      </c>
      <c r="C8" s="100" t="s">
        <v>13</v>
      </c>
      <c r="D8" s="101">
        <v>31399</v>
      </c>
      <c r="E8" s="100" t="s">
        <v>8</v>
      </c>
      <c r="F8" s="102" t="s">
        <v>1</v>
      </c>
      <c r="G8" s="102" t="s">
        <v>1</v>
      </c>
      <c r="H8" s="102">
        <v>5</v>
      </c>
      <c r="I8" s="102" t="s">
        <v>3</v>
      </c>
      <c r="J8" s="103">
        <f t="shared" ca="1" si="1"/>
        <v>38</v>
      </c>
      <c r="K8" s="104">
        <f t="shared" si="8"/>
        <v>1100</v>
      </c>
      <c r="L8" s="105">
        <f t="shared" si="2"/>
        <v>55</v>
      </c>
      <c r="M8" s="105">
        <f t="shared" si="9"/>
        <v>150</v>
      </c>
      <c r="N8" s="105">
        <f t="shared" si="3"/>
        <v>165</v>
      </c>
      <c r="O8" s="105">
        <f t="shared" si="4"/>
        <v>80</v>
      </c>
      <c r="P8" s="105">
        <f t="shared" si="5"/>
        <v>51.25</v>
      </c>
      <c r="Q8" s="105">
        <f t="shared" si="6"/>
        <v>70</v>
      </c>
      <c r="R8" s="105">
        <f t="shared" si="7"/>
        <v>80</v>
      </c>
      <c r="S8" s="105">
        <f t="shared" si="10"/>
        <v>651.25</v>
      </c>
      <c r="T8" s="89">
        <f t="shared" si="11"/>
        <v>330</v>
      </c>
      <c r="U8" s="89">
        <f t="shared" si="12"/>
        <v>77.000000000000014</v>
      </c>
      <c r="V8" s="89">
        <f t="shared" si="13"/>
        <v>407</v>
      </c>
      <c r="W8" s="89">
        <f t="shared" si="14"/>
        <v>1344.25</v>
      </c>
      <c r="X8" s="88">
        <f t="shared" si="15"/>
        <v>382.97720797720802</v>
      </c>
    </row>
    <row r="9" spans="1:24" ht="12.6" thickBot="1" x14ac:dyDescent="0.3">
      <c r="A9" s="99" t="s">
        <v>145</v>
      </c>
      <c r="B9" s="116" t="str">
        <f t="shared" ca="1" si="0"/>
        <v>AARSAA4F45</v>
      </c>
      <c r="C9" s="100" t="s">
        <v>21</v>
      </c>
      <c r="D9" s="101">
        <v>28880</v>
      </c>
      <c r="E9" s="100" t="s">
        <v>0</v>
      </c>
      <c r="F9" s="102" t="s">
        <v>5</v>
      </c>
      <c r="G9" s="102" t="s">
        <v>9</v>
      </c>
      <c r="H9" s="102">
        <v>11</v>
      </c>
      <c r="I9" s="102" t="s">
        <v>7</v>
      </c>
      <c r="J9" s="103">
        <f t="shared" ca="1" si="1"/>
        <v>45</v>
      </c>
      <c r="K9" s="104">
        <f t="shared" si="8"/>
        <v>1700</v>
      </c>
      <c r="L9" s="105">
        <f t="shared" si="2"/>
        <v>170</v>
      </c>
      <c r="M9" s="105">
        <f t="shared" si="9"/>
        <v>150</v>
      </c>
      <c r="N9" s="105">
        <f t="shared" si="3"/>
        <v>204</v>
      </c>
      <c r="O9" s="105">
        <f t="shared" si="4"/>
        <v>100</v>
      </c>
      <c r="P9" s="105">
        <f t="shared" si="5"/>
        <v>80</v>
      </c>
      <c r="Q9" s="105">
        <f t="shared" si="6"/>
        <v>80</v>
      </c>
      <c r="R9" s="105">
        <f t="shared" si="7"/>
        <v>45</v>
      </c>
      <c r="S9" s="105">
        <f t="shared" si="10"/>
        <v>829</v>
      </c>
      <c r="T9" s="89">
        <f t="shared" si="11"/>
        <v>510</v>
      </c>
      <c r="U9" s="89">
        <f t="shared" si="12"/>
        <v>119.00000000000001</v>
      </c>
      <c r="V9" s="89">
        <f t="shared" si="13"/>
        <v>629</v>
      </c>
      <c r="W9" s="89">
        <f t="shared" si="14"/>
        <v>1900</v>
      </c>
      <c r="X9" s="88">
        <f t="shared" si="15"/>
        <v>541.31054131054134</v>
      </c>
    </row>
    <row r="10" spans="1:24" ht="12.6" thickBot="1" x14ac:dyDescent="0.3">
      <c r="A10" s="99" t="s">
        <v>146</v>
      </c>
      <c r="B10" s="116" t="str">
        <f t="shared" ca="1" si="0"/>
        <v>AASZRA4F43</v>
      </c>
      <c r="C10" s="100" t="s">
        <v>12</v>
      </c>
      <c r="D10" s="101">
        <v>29776</v>
      </c>
      <c r="E10" s="100" t="s">
        <v>4</v>
      </c>
      <c r="F10" s="102" t="s">
        <v>10</v>
      </c>
      <c r="G10" s="102" t="s">
        <v>2</v>
      </c>
      <c r="H10" s="102">
        <v>10</v>
      </c>
      <c r="I10" s="102" t="s">
        <v>7</v>
      </c>
      <c r="J10" s="103">
        <f t="shared" ca="1" si="1"/>
        <v>43</v>
      </c>
      <c r="K10" s="104">
        <f t="shared" si="8"/>
        <v>1400</v>
      </c>
      <c r="L10" s="105">
        <f t="shared" si="2"/>
        <v>112</v>
      </c>
      <c r="M10" s="105">
        <f t="shared" si="9"/>
        <v>100</v>
      </c>
      <c r="N10" s="105">
        <f t="shared" si="3"/>
        <v>112</v>
      </c>
      <c r="O10" s="105">
        <f t="shared" si="4"/>
        <v>35</v>
      </c>
      <c r="P10" s="105">
        <f t="shared" si="5"/>
        <v>63.599999999999994</v>
      </c>
      <c r="Q10" s="105">
        <f t="shared" si="6"/>
        <v>90</v>
      </c>
      <c r="R10" s="105">
        <f t="shared" si="7"/>
        <v>50</v>
      </c>
      <c r="S10" s="105">
        <f t="shared" si="10"/>
        <v>562.6</v>
      </c>
      <c r="T10" s="89">
        <f t="shared" si="11"/>
        <v>420</v>
      </c>
      <c r="U10" s="89">
        <f t="shared" si="12"/>
        <v>98.000000000000014</v>
      </c>
      <c r="V10" s="89">
        <f t="shared" si="13"/>
        <v>518</v>
      </c>
      <c r="W10" s="89">
        <f t="shared" si="14"/>
        <v>1444.6</v>
      </c>
      <c r="X10" s="88">
        <f t="shared" si="15"/>
        <v>411.56695156695156</v>
      </c>
    </row>
    <row r="11" spans="1:24" ht="12.6" thickBot="1" x14ac:dyDescent="0.3">
      <c r="A11" s="99" t="s">
        <v>147</v>
      </c>
      <c r="B11" s="116" t="str">
        <f t="shared" ca="1" si="0"/>
        <v>UEYAFY4M49</v>
      </c>
      <c r="C11" s="100" t="s">
        <v>14</v>
      </c>
      <c r="D11" s="101">
        <v>27430</v>
      </c>
      <c r="E11" s="100" t="s">
        <v>0</v>
      </c>
      <c r="F11" s="102" t="s">
        <v>1</v>
      </c>
      <c r="G11" s="102" t="s">
        <v>6</v>
      </c>
      <c r="H11" s="102">
        <v>17</v>
      </c>
      <c r="I11" s="102" t="s">
        <v>3</v>
      </c>
      <c r="J11" s="103">
        <f t="shared" ca="1" si="1"/>
        <v>49</v>
      </c>
      <c r="K11" s="104">
        <f t="shared" si="8"/>
        <v>1700</v>
      </c>
      <c r="L11" s="105">
        <f t="shared" si="2"/>
        <v>170</v>
      </c>
      <c r="M11" s="105">
        <f t="shared" si="9"/>
        <v>150</v>
      </c>
      <c r="N11" s="105">
        <f t="shared" si="3"/>
        <v>255</v>
      </c>
      <c r="O11" s="105">
        <f t="shared" si="4"/>
        <v>60</v>
      </c>
      <c r="P11" s="105">
        <f t="shared" si="5"/>
        <v>96</v>
      </c>
      <c r="Q11" s="105">
        <f t="shared" si="6"/>
        <v>50</v>
      </c>
      <c r="R11" s="105">
        <f t="shared" si="7"/>
        <v>40</v>
      </c>
      <c r="S11" s="105">
        <f t="shared" si="10"/>
        <v>821</v>
      </c>
      <c r="T11" s="89">
        <f t="shared" si="11"/>
        <v>510</v>
      </c>
      <c r="U11" s="89">
        <f t="shared" si="12"/>
        <v>119.00000000000001</v>
      </c>
      <c r="V11" s="89">
        <f t="shared" si="13"/>
        <v>629</v>
      </c>
      <c r="W11" s="89">
        <f t="shared" si="14"/>
        <v>1892</v>
      </c>
      <c r="X11" s="88">
        <f t="shared" si="15"/>
        <v>539.03133903133903</v>
      </c>
    </row>
    <row r="12" spans="1:24" ht="12.6" thickBot="1" x14ac:dyDescent="0.3">
      <c r="A12" s="99" t="s">
        <v>148</v>
      </c>
      <c r="B12" s="116" t="str">
        <f t="shared" ca="1" si="0"/>
        <v>OASACS4M45</v>
      </c>
      <c r="C12" s="100" t="s">
        <v>82</v>
      </c>
      <c r="D12" s="101">
        <v>28732</v>
      </c>
      <c r="E12" s="100" t="s">
        <v>8</v>
      </c>
      <c r="F12" s="102" t="s">
        <v>5</v>
      </c>
      <c r="G12" s="102" t="s">
        <v>9</v>
      </c>
      <c r="H12" s="102">
        <v>13</v>
      </c>
      <c r="I12" s="102" t="s">
        <v>3</v>
      </c>
      <c r="J12" s="103">
        <f t="shared" ca="1" si="1"/>
        <v>45</v>
      </c>
      <c r="K12" s="104">
        <f t="shared" si="8"/>
        <v>1100</v>
      </c>
      <c r="L12" s="105">
        <f t="shared" si="2"/>
        <v>55</v>
      </c>
      <c r="M12" s="105">
        <f t="shared" si="9"/>
        <v>150</v>
      </c>
      <c r="N12" s="105">
        <f t="shared" si="3"/>
        <v>132</v>
      </c>
      <c r="O12" s="105">
        <f t="shared" si="4"/>
        <v>100</v>
      </c>
      <c r="P12" s="105">
        <f t="shared" si="5"/>
        <v>51.25</v>
      </c>
      <c r="Q12" s="105">
        <f t="shared" si="6"/>
        <v>70</v>
      </c>
      <c r="R12" s="105">
        <f t="shared" si="7"/>
        <v>45</v>
      </c>
      <c r="S12" s="105">
        <f t="shared" si="10"/>
        <v>603.25</v>
      </c>
      <c r="T12" s="89">
        <f t="shared" si="11"/>
        <v>330</v>
      </c>
      <c r="U12" s="89">
        <f t="shared" si="12"/>
        <v>77.000000000000014</v>
      </c>
      <c r="V12" s="89">
        <f t="shared" si="13"/>
        <v>407</v>
      </c>
      <c r="W12" s="89">
        <f t="shared" si="14"/>
        <v>1296.25</v>
      </c>
      <c r="X12" s="88">
        <f t="shared" si="15"/>
        <v>369.30199430199434</v>
      </c>
    </row>
    <row r="13" spans="1:24" ht="12.6" thickBot="1" x14ac:dyDescent="0.3">
      <c r="A13" s="99" t="s">
        <v>149</v>
      </c>
      <c r="B13" s="116" t="str">
        <f t="shared" ca="1" si="0"/>
        <v>EACICA4F44</v>
      </c>
      <c r="C13" s="100" t="s">
        <v>22</v>
      </c>
      <c r="D13" s="101">
        <v>29389</v>
      </c>
      <c r="E13" s="100" t="s">
        <v>0</v>
      </c>
      <c r="F13" s="102" t="s">
        <v>5</v>
      </c>
      <c r="G13" s="102" t="s">
        <v>1</v>
      </c>
      <c r="H13" s="102">
        <v>11</v>
      </c>
      <c r="I13" s="102" t="s">
        <v>7</v>
      </c>
      <c r="J13" s="103">
        <f t="shared" ca="1" si="1"/>
        <v>44</v>
      </c>
      <c r="K13" s="104">
        <f t="shared" si="8"/>
        <v>1700</v>
      </c>
      <c r="L13" s="105">
        <f t="shared" si="2"/>
        <v>170</v>
      </c>
      <c r="M13" s="105">
        <f t="shared" si="9"/>
        <v>150</v>
      </c>
      <c r="N13" s="105">
        <f t="shared" si="3"/>
        <v>204</v>
      </c>
      <c r="O13" s="105">
        <f t="shared" si="4"/>
        <v>80</v>
      </c>
      <c r="P13" s="105">
        <f t="shared" si="5"/>
        <v>80</v>
      </c>
      <c r="Q13" s="105">
        <f t="shared" si="6"/>
        <v>80</v>
      </c>
      <c r="R13" s="105">
        <f t="shared" si="7"/>
        <v>45</v>
      </c>
      <c r="S13" s="105">
        <f t="shared" si="10"/>
        <v>809</v>
      </c>
      <c r="T13" s="89">
        <f t="shared" si="11"/>
        <v>510</v>
      </c>
      <c r="U13" s="89">
        <f t="shared" si="12"/>
        <v>119.00000000000001</v>
      </c>
      <c r="V13" s="89">
        <f t="shared" si="13"/>
        <v>629</v>
      </c>
      <c r="W13" s="89">
        <f t="shared" si="14"/>
        <v>1880</v>
      </c>
      <c r="X13" s="88">
        <f t="shared" si="15"/>
        <v>535.61253561253568</v>
      </c>
    </row>
    <row r="14" spans="1:24" ht="12.6" thickBot="1" x14ac:dyDescent="0.3">
      <c r="A14" s="99" t="s">
        <v>150</v>
      </c>
      <c r="B14" s="116" t="str">
        <f t="shared" ca="1" si="0"/>
        <v>UECOEE4M41</v>
      </c>
      <c r="C14" s="100" t="s">
        <v>83</v>
      </c>
      <c r="D14" s="101">
        <v>30426</v>
      </c>
      <c r="E14" s="100" t="s">
        <v>4</v>
      </c>
      <c r="F14" s="102" t="s">
        <v>1</v>
      </c>
      <c r="G14" s="102" t="s">
        <v>9</v>
      </c>
      <c r="H14" s="102">
        <v>6</v>
      </c>
      <c r="I14" s="102" t="s">
        <v>3</v>
      </c>
      <c r="J14" s="103">
        <f t="shared" ca="1" si="1"/>
        <v>41</v>
      </c>
      <c r="K14" s="104">
        <f t="shared" si="8"/>
        <v>1400</v>
      </c>
      <c r="L14" s="105">
        <f t="shared" si="2"/>
        <v>112</v>
      </c>
      <c r="M14" s="105">
        <f t="shared" si="9"/>
        <v>150</v>
      </c>
      <c r="N14" s="105">
        <f t="shared" si="3"/>
        <v>210</v>
      </c>
      <c r="O14" s="105">
        <f t="shared" si="4"/>
        <v>100</v>
      </c>
      <c r="P14" s="105">
        <f t="shared" si="5"/>
        <v>65.5</v>
      </c>
      <c r="Q14" s="105">
        <f t="shared" si="6"/>
        <v>60</v>
      </c>
      <c r="R14" s="105">
        <f t="shared" si="7"/>
        <v>80</v>
      </c>
      <c r="S14" s="105">
        <f t="shared" si="10"/>
        <v>777.5</v>
      </c>
      <c r="T14" s="89">
        <f t="shared" si="11"/>
        <v>420</v>
      </c>
      <c r="U14" s="89">
        <f t="shared" si="12"/>
        <v>98.000000000000014</v>
      </c>
      <c r="V14" s="89">
        <f t="shared" si="13"/>
        <v>518</v>
      </c>
      <c r="W14" s="89">
        <f t="shared" si="14"/>
        <v>1659.5</v>
      </c>
      <c r="X14" s="88">
        <f t="shared" si="15"/>
        <v>472.79202279202281</v>
      </c>
    </row>
    <row r="15" spans="1:24" ht="12" x14ac:dyDescent="0.25">
      <c r="A15" s="99" t="s">
        <v>151</v>
      </c>
      <c r="B15" s="116" t="str">
        <f t="shared" ca="1" si="0"/>
        <v>ASROSA3F36</v>
      </c>
      <c r="C15" s="100" t="s">
        <v>23</v>
      </c>
      <c r="D15" s="101">
        <v>32277</v>
      </c>
      <c r="E15" s="100" t="s">
        <v>8</v>
      </c>
      <c r="F15" s="102" t="s">
        <v>1</v>
      </c>
      <c r="G15" s="102" t="s">
        <v>2</v>
      </c>
      <c r="H15" s="102">
        <v>5</v>
      </c>
      <c r="I15" s="102" t="s">
        <v>7</v>
      </c>
      <c r="J15" s="103">
        <f t="shared" ca="1" si="1"/>
        <v>36</v>
      </c>
      <c r="K15" s="104">
        <f t="shared" si="8"/>
        <v>1100</v>
      </c>
      <c r="L15" s="105">
        <f t="shared" si="2"/>
        <v>55</v>
      </c>
      <c r="M15" s="105">
        <f t="shared" si="9"/>
        <v>150</v>
      </c>
      <c r="N15" s="105">
        <f t="shared" si="3"/>
        <v>165</v>
      </c>
      <c r="O15" s="105">
        <f t="shared" si="4"/>
        <v>35</v>
      </c>
      <c r="P15" s="105">
        <f t="shared" si="5"/>
        <v>61.5</v>
      </c>
      <c r="Q15" s="105">
        <f t="shared" si="6"/>
        <v>40</v>
      </c>
      <c r="R15" s="105">
        <f t="shared" si="7"/>
        <v>80</v>
      </c>
      <c r="S15" s="105">
        <f t="shared" si="10"/>
        <v>586.5</v>
      </c>
      <c r="T15" s="89">
        <f t="shared" si="11"/>
        <v>330</v>
      </c>
      <c r="U15" s="89">
        <f t="shared" si="12"/>
        <v>77.000000000000014</v>
      </c>
      <c r="V15" s="89">
        <f t="shared" si="13"/>
        <v>407</v>
      </c>
      <c r="W15" s="89">
        <f t="shared" si="14"/>
        <v>1279.5</v>
      </c>
      <c r="X15" s="88">
        <f t="shared" si="15"/>
        <v>364.52991452991455</v>
      </c>
    </row>
    <row r="16" spans="1:24" ht="15.75" customHeight="1" thickBot="1" x14ac:dyDescent="0.25">
      <c r="B16" s="113" t="s">
        <v>25</v>
      </c>
      <c r="C16" s="114"/>
      <c r="D16" s="114"/>
      <c r="E16" s="114"/>
      <c r="F16" s="114"/>
      <c r="G16" s="114"/>
      <c r="H16" s="114"/>
      <c r="I16" s="114"/>
      <c r="J16" s="114"/>
      <c r="K16" s="98">
        <f t="shared" ref="K16:R16" si="16">SUM(K6:K15)</f>
        <v>14300</v>
      </c>
      <c r="L16" s="98">
        <f t="shared" si="16"/>
        <v>1181</v>
      </c>
      <c r="M16" s="98">
        <f t="shared" si="16"/>
        <v>1450</v>
      </c>
      <c r="N16" s="98">
        <f t="shared" si="16"/>
        <v>1870</v>
      </c>
      <c r="O16" s="98">
        <f t="shared" si="16"/>
        <v>685</v>
      </c>
      <c r="P16" s="98">
        <f t="shared" si="16"/>
        <v>723.7</v>
      </c>
      <c r="Q16" s="98">
        <f t="shared" si="16"/>
        <v>680</v>
      </c>
      <c r="R16" s="98">
        <f t="shared" si="16"/>
        <v>575</v>
      </c>
      <c r="S16" s="98">
        <f t="shared" ref="S16" si="17">+SUM(L16:P16)</f>
        <v>5909.7</v>
      </c>
      <c r="T16" s="95">
        <f>SUM(T6:T15)</f>
        <v>4290</v>
      </c>
      <c r="U16" s="95">
        <f>SUM(U6:U15)</f>
        <v>1001.0000000000001</v>
      </c>
      <c r="V16" s="95">
        <f t="shared" si="13"/>
        <v>5291</v>
      </c>
      <c r="W16" s="95">
        <f t="shared" si="14"/>
        <v>14918.7</v>
      </c>
      <c r="X16" s="95">
        <f t="shared" si="15"/>
        <v>4250.3418803418808</v>
      </c>
    </row>
    <row r="17" spans="2:20" ht="12" thickTop="1" x14ac:dyDescent="0.2"/>
    <row r="18" spans="2:20" ht="12" x14ac:dyDescent="0.25">
      <c r="B18" s="24"/>
      <c r="C18" s="25"/>
      <c r="D18" s="25"/>
      <c r="E18" s="25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2:20" ht="12.6" thickBot="1" x14ac:dyDescent="0.3">
      <c r="B19" s="24"/>
      <c r="C19" s="25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2:20" ht="16.5" customHeight="1" thickBot="1" x14ac:dyDescent="0.25">
      <c r="C20" s="132" t="s">
        <v>45</v>
      </c>
      <c r="D20" s="133"/>
      <c r="E20" s="133"/>
      <c r="F20" s="134"/>
      <c r="K20" s="129" t="s">
        <v>39</v>
      </c>
      <c r="L20" s="130"/>
      <c r="M20" s="130"/>
      <c r="N20" s="130"/>
      <c r="O20" s="131"/>
    </row>
    <row r="21" spans="2:20" ht="12.6" thickBot="1" x14ac:dyDescent="0.3">
      <c r="K21" s="27"/>
      <c r="L21" s="28"/>
      <c r="M21" s="28"/>
      <c r="N21" s="135" t="s">
        <v>40</v>
      </c>
      <c r="O21" s="136"/>
      <c r="S21" s="13"/>
    </row>
    <row r="22" spans="2:20" ht="12.6" thickBot="1" x14ac:dyDescent="0.3">
      <c r="B22" s="46" t="s">
        <v>84</v>
      </c>
      <c r="D22" s="1" t="s">
        <v>141</v>
      </c>
      <c r="K22" s="29" t="s">
        <v>17</v>
      </c>
      <c r="L22" s="30" t="s">
        <v>26</v>
      </c>
      <c r="M22" s="30" t="s">
        <v>69</v>
      </c>
      <c r="N22" s="30" t="s">
        <v>3</v>
      </c>
      <c r="O22" s="31" t="s">
        <v>7</v>
      </c>
    </row>
    <row r="23" spans="2:20" ht="12" x14ac:dyDescent="0.25">
      <c r="B23" s="46" t="s">
        <v>129</v>
      </c>
      <c r="G23" s="25"/>
      <c r="H23" s="25"/>
      <c r="K23" s="32" t="s">
        <v>0</v>
      </c>
      <c r="L23" s="33">
        <v>1700</v>
      </c>
      <c r="M23" s="44">
        <v>0.1</v>
      </c>
      <c r="N23" s="72">
        <v>50</v>
      </c>
      <c r="O23" s="73">
        <v>80</v>
      </c>
    </row>
    <row r="24" spans="2:20" ht="12" x14ac:dyDescent="0.25">
      <c r="B24" s="46" t="s">
        <v>130</v>
      </c>
      <c r="H24" s="25"/>
      <c r="K24" s="32" t="s">
        <v>4</v>
      </c>
      <c r="L24" s="33">
        <v>1400</v>
      </c>
      <c r="M24" s="44">
        <v>0.08</v>
      </c>
      <c r="N24" s="72">
        <v>60</v>
      </c>
      <c r="O24" s="73">
        <v>90</v>
      </c>
      <c r="R24" s="25"/>
      <c r="S24" s="25"/>
      <c r="T24" s="25"/>
    </row>
    <row r="25" spans="2:20" ht="12.6" thickBot="1" x14ac:dyDescent="0.3">
      <c r="B25" s="46" t="s">
        <v>131</v>
      </c>
      <c r="H25" s="25"/>
      <c r="K25" s="34" t="s">
        <v>8</v>
      </c>
      <c r="L25" s="35">
        <v>1100</v>
      </c>
      <c r="M25" s="45">
        <v>0.05</v>
      </c>
      <c r="N25" s="74">
        <v>70</v>
      </c>
      <c r="O25" s="75">
        <v>40</v>
      </c>
      <c r="R25" s="25"/>
      <c r="S25" s="25"/>
      <c r="T25" s="25"/>
    </row>
    <row r="26" spans="2:20" ht="12" x14ac:dyDescent="0.25">
      <c r="B26" s="46" t="s">
        <v>68</v>
      </c>
      <c r="H26" s="25"/>
      <c r="K26" s="36"/>
      <c r="L26" s="36"/>
      <c r="M26" s="36"/>
      <c r="N26" s="36"/>
      <c r="O26" s="36"/>
    </row>
    <row r="27" spans="2:20" ht="12.6" thickBot="1" x14ac:dyDescent="0.3">
      <c r="B27" s="46" t="s">
        <v>127</v>
      </c>
      <c r="H27" s="25"/>
      <c r="K27" s="36"/>
      <c r="L27" s="36"/>
      <c r="M27" s="36"/>
      <c r="N27" s="36"/>
      <c r="O27" s="36"/>
    </row>
    <row r="28" spans="2:20" ht="12.6" thickBot="1" x14ac:dyDescent="0.3">
      <c r="B28" s="46" t="s">
        <v>47</v>
      </c>
      <c r="H28" s="25"/>
      <c r="I28" s="25"/>
      <c r="J28" s="25"/>
      <c r="K28" s="129" t="s">
        <v>41</v>
      </c>
      <c r="L28" s="130"/>
      <c r="M28" s="130"/>
      <c r="N28" s="130"/>
      <c r="O28" s="131"/>
    </row>
    <row r="29" spans="2:20" ht="12.6" thickBot="1" x14ac:dyDescent="0.3">
      <c r="B29" s="46" t="s">
        <v>132</v>
      </c>
      <c r="K29" s="28"/>
      <c r="L29" s="28"/>
      <c r="M29" s="28"/>
      <c r="N29" s="127" t="s">
        <v>42</v>
      </c>
      <c r="O29" s="128"/>
    </row>
    <row r="30" spans="2:20" ht="12.6" thickBot="1" x14ac:dyDescent="0.3">
      <c r="B30" s="46" t="s">
        <v>128</v>
      </c>
      <c r="K30" s="29" t="s">
        <v>50</v>
      </c>
      <c r="L30" s="30" t="s">
        <v>27</v>
      </c>
      <c r="M30" s="30" t="s">
        <v>51</v>
      </c>
      <c r="N30" s="30" t="s">
        <v>152</v>
      </c>
      <c r="O30" s="31" t="s">
        <v>153</v>
      </c>
    </row>
    <row r="31" spans="2:20" ht="12" x14ac:dyDescent="0.25">
      <c r="B31" s="46" t="s">
        <v>48</v>
      </c>
      <c r="K31" s="32" t="s">
        <v>1</v>
      </c>
      <c r="L31" s="33">
        <v>150</v>
      </c>
      <c r="M31" s="43">
        <v>0.15</v>
      </c>
      <c r="N31" s="72">
        <v>40</v>
      </c>
      <c r="O31" s="73">
        <v>80</v>
      </c>
    </row>
    <row r="32" spans="2:20" ht="12" x14ac:dyDescent="0.25">
      <c r="B32" s="46" t="s">
        <v>118</v>
      </c>
      <c r="K32" s="32" t="s">
        <v>5</v>
      </c>
      <c r="L32" s="33">
        <v>150</v>
      </c>
      <c r="M32" s="43">
        <v>0.12</v>
      </c>
      <c r="N32" s="72">
        <v>45</v>
      </c>
      <c r="O32" s="73">
        <v>70</v>
      </c>
    </row>
    <row r="33" spans="2:15" ht="12.6" thickBot="1" x14ac:dyDescent="0.3">
      <c r="B33" s="46" t="s">
        <v>133</v>
      </c>
      <c r="K33" s="34" t="s">
        <v>10</v>
      </c>
      <c r="L33" s="35">
        <v>100</v>
      </c>
      <c r="M33" s="41">
        <v>0.08</v>
      </c>
      <c r="N33" s="74">
        <v>30</v>
      </c>
      <c r="O33" s="75">
        <v>50</v>
      </c>
    </row>
    <row r="34" spans="2:15" ht="12" x14ac:dyDescent="0.25">
      <c r="B34" s="46" t="s">
        <v>119</v>
      </c>
      <c r="K34" s="36"/>
      <c r="L34" s="36"/>
      <c r="M34" s="36"/>
      <c r="N34" s="36"/>
      <c r="O34" s="36"/>
    </row>
    <row r="35" spans="2:15" ht="12.6" thickBot="1" x14ac:dyDescent="0.3">
      <c r="B35" s="46" t="s">
        <v>49</v>
      </c>
      <c r="K35" s="36"/>
      <c r="L35" s="36"/>
      <c r="M35" s="36"/>
      <c r="N35" s="36"/>
      <c r="O35" s="36"/>
    </row>
    <row r="36" spans="2:15" ht="15.75" customHeight="1" thickBot="1" x14ac:dyDescent="0.3">
      <c r="B36" s="12" t="s">
        <v>54</v>
      </c>
      <c r="E36" s="38" t="s">
        <v>55</v>
      </c>
      <c r="F36" s="39">
        <v>3.51</v>
      </c>
      <c r="K36" s="129" t="s">
        <v>43</v>
      </c>
      <c r="L36" s="130"/>
      <c r="M36" s="130"/>
      <c r="N36" s="130"/>
      <c r="O36" s="131"/>
    </row>
    <row r="37" spans="2:15" ht="15" thickBot="1" x14ac:dyDescent="0.35">
      <c r="E37"/>
      <c r="F37"/>
      <c r="G37"/>
      <c r="K37" s="28"/>
      <c r="L37" s="28"/>
      <c r="M37" s="28"/>
      <c r="N37" s="28"/>
      <c r="O37" s="28"/>
    </row>
    <row r="38" spans="2:15" ht="15" thickBot="1" x14ac:dyDescent="0.35">
      <c r="E38"/>
      <c r="F38"/>
      <c r="G38"/>
      <c r="K38" s="40" t="s">
        <v>19</v>
      </c>
      <c r="L38" s="30" t="s">
        <v>2</v>
      </c>
      <c r="M38" s="30" t="s">
        <v>6</v>
      </c>
      <c r="N38" s="30" t="s">
        <v>1</v>
      </c>
      <c r="O38" s="31" t="s">
        <v>9</v>
      </c>
    </row>
    <row r="39" spans="2:15" ht="14.4" x14ac:dyDescent="0.3">
      <c r="E39"/>
      <c r="F39"/>
      <c r="G39"/>
      <c r="K39" s="32" t="s">
        <v>35</v>
      </c>
      <c r="L39" s="33">
        <v>35</v>
      </c>
      <c r="M39" s="33">
        <v>60</v>
      </c>
      <c r="N39" s="33">
        <v>80</v>
      </c>
      <c r="O39" s="37">
        <v>100</v>
      </c>
    </row>
    <row r="40" spans="2:15" ht="12.6" thickBot="1" x14ac:dyDescent="0.25">
      <c r="K40" s="34" t="s">
        <v>36</v>
      </c>
      <c r="L40" s="41">
        <v>0.3</v>
      </c>
      <c r="M40" s="41">
        <v>0.3</v>
      </c>
      <c r="N40" s="41">
        <v>0.25</v>
      </c>
      <c r="O40" s="42">
        <v>0.25</v>
      </c>
    </row>
    <row r="41" spans="2:15" x14ac:dyDescent="0.2">
      <c r="K41" s="36"/>
      <c r="L41" s="36"/>
      <c r="M41" s="36"/>
      <c r="N41" s="36"/>
      <c r="O41" s="36"/>
    </row>
    <row r="42" spans="2:15" x14ac:dyDescent="0.2">
      <c r="K42" s="36"/>
      <c r="L42" s="36"/>
      <c r="M42" s="36"/>
      <c r="N42" s="36"/>
      <c r="O42" s="36"/>
    </row>
  </sheetData>
  <mergeCells count="7">
    <mergeCell ref="F3:N3"/>
    <mergeCell ref="N29:O29"/>
    <mergeCell ref="K36:O36"/>
    <mergeCell ref="C20:F20"/>
    <mergeCell ref="N21:O21"/>
    <mergeCell ref="K20:O20"/>
    <mergeCell ref="K28:O2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FF0000"/>
  </sheetPr>
  <dimension ref="B1:I34"/>
  <sheetViews>
    <sheetView showGridLines="0" tabSelected="1" topLeftCell="A5" zoomScaleNormal="100" workbookViewId="0">
      <selection activeCell="O14" sqref="O14"/>
    </sheetView>
  </sheetViews>
  <sheetFormatPr baseColWidth="10" defaultColWidth="11.44140625" defaultRowHeight="11.4" x14ac:dyDescent="0.2"/>
  <cols>
    <col min="1" max="1" width="7.33203125" style="2" customWidth="1"/>
    <col min="2" max="2" width="2" style="2" customWidth="1"/>
    <col min="3" max="3" width="15.109375" style="2" customWidth="1"/>
    <col min="4" max="4" width="25.33203125" style="2" customWidth="1"/>
    <col min="5" max="5" width="11.77734375" style="2" bestFit="1" customWidth="1"/>
    <col min="6" max="6" width="5.77734375" style="2" customWidth="1"/>
    <col min="7" max="7" width="12.6640625" style="2" customWidth="1"/>
    <col min="8" max="8" width="13.5546875" style="2" customWidth="1"/>
    <col min="9" max="9" width="1.6640625" style="2" customWidth="1"/>
    <col min="10" max="16384" width="11.44140625" style="2"/>
  </cols>
  <sheetData>
    <row r="1" spans="2:9" ht="12" thickBot="1" x14ac:dyDescent="0.25"/>
    <row r="2" spans="2:9" ht="12" thickTop="1" x14ac:dyDescent="0.2">
      <c r="B2" s="3"/>
      <c r="C2" s="4"/>
      <c r="D2" s="4"/>
      <c r="E2" s="4"/>
      <c r="F2" s="4"/>
      <c r="G2" s="4"/>
      <c r="H2" s="4"/>
      <c r="I2" s="5"/>
    </row>
    <row r="3" spans="2:9" x14ac:dyDescent="0.2">
      <c r="B3" s="6"/>
      <c r="I3" s="7"/>
    </row>
    <row r="4" spans="2:9" x14ac:dyDescent="0.2">
      <c r="B4" s="6"/>
      <c r="I4" s="7"/>
    </row>
    <row r="5" spans="2:9" x14ac:dyDescent="0.2">
      <c r="B5" s="6"/>
      <c r="I5" s="7"/>
    </row>
    <row r="6" spans="2:9" x14ac:dyDescent="0.2">
      <c r="B6" s="6"/>
      <c r="I6" s="7"/>
    </row>
    <row r="7" spans="2:9" ht="15" x14ac:dyDescent="0.25">
      <c r="B7" s="8"/>
      <c r="C7" s="139" t="s">
        <v>155</v>
      </c>
      <c r="D7" s="140"/>
      <c r="E7" s="140"/>
      <c r="F7" s="140"/>
      <c r="G7" s="140"/>
      <c r="H7" s="141"/>
      <c r="I7" s="7"/>
    </row>
    <row r="8" spans="2:9" x14ac:dyDescent="0.2">
      <c r="B8" s="6"/>
      <c r="I8" s="7"/>
    </row>
    <row r="9" spans="2:9" ht="13.8" x14ac:dyDescent="0.25">
      <c r="B9" s="6"/>
      <c r="C9" s="9"/>
      <c r="D9" s="142" t="s">
        <v>57</v>
      </c>
      <c r="E9" s="143"/>
      <c r="F9" s="143"/>
      <c r="G9" s="144"/>
      <c r="I9" s="7"/>
    </row>
    <row r="10" spans="2:9" ht="14.4" x14ac:dyDescent="0.3">
      <c r="B10" s="6"/>
      <c r="E10" s="145"/>
      <c r="F10" s="145"/>
      <c r="G10" s="145"/>
      <c r="I10" s="7"/>
    </row>
    <row r="11" spans="2:9" ht="14.25" customHeight="1" x14ac:dyDescent="0.25">
      <c r="B11" s="6"/>
      <c r="C11" s="149" t="s">
        <v>81</v>
      </c>
      <c r="D11" s="149"/>
      <c r="E11" s="117" t="s">
        <v>142</v>
      </c>
      <c r="I11" s="7"/>
    </row>
    <row r="12" spans="2:9" ht="12" customHeight="1" x14ac:dyDescent="0.25">
      <c r="B12" s="6"/>
      <c r="C12" s="13"/>
      <c r="D12" s="1"/>
      <c r="I12" s="7"/>
    </row>
    <row r="13" spans="2:9" ht="12" x14ac:dyDescent="0.25">
      <c r="B13" s="6"/>
      <c r="C13" s="147" t="s">
        <v>59</v>
      </c>
      <c r="D13" s="148"/>
      <c r="I13" s="7"/>
    </row>
    <row r="14" spans="2:9" ht="12" x14ac:dyDescent="0.25">
      <c r="B14" s="6"/>
      <c r="C14" s="11" t="s">
        <v>58</v>
      </c>
      <c r="D14" s="13" t="str">
        <f ca="1">+VLOOKUP($E$11,planilla,2,0)</f>
        <v>Rojas Ruiz, Carlos</v>
      </c>
      <c r="E14" s="13"/>
      <c r="F14" s="13"/>
      <c r="G14" s="12"/>
      <c r="I14" s="7"/>
    </row>
    <row r="15" spans="2:9" ht="12" x14ac:dyDescent="0.25">
      <c r="B15" s="6"/>
      <c r="C15" s="11" t="s">
        <v>60</v>
      </c>
      <c r="D15" s="13">
        <f ca="1">+VLOOKUP($E$11,planilla,9,0)</f>
        <v>43</v>
      </c>
      <c r="F15" s="146" t="s">
        <v>62</v>
      </c>
      <c r="G15" s="146"/>
      <c r="H15" s="10" t="str">
        <f ca="1">IFERROR(VLOOKUP(E11,planilla,4,FALSE),"")</f>
        <v>Permanente</v>
      </c>
      <c r="I15" s="7"/>
    </row>
    <row r="16" spans="2:9" ht="12" x14ac:dyDescent="0.25">
      <c r="B16" s="6"/>
      <c r="C16" s="11" t="s">
        <v>61</v>
      </c>
      <c r="D16" s="13" t="str">
        <f ca="1">+VLOOKUP($E$11,planilla,5,0)</f>
        <v>C</v>
      </c>
      <c r="F16" s="146" t="s">
        <v>63</v>
      </c>
      <c r="G16" s="146"/>
      <c r="H16" s="10" t="str">
        <f ca="1">IFERROR(VLOOKUP(E11,planilla,6,FALSE),"")</f>
        <v>A</v>
      </c>
      <c r="I16" s="7"/>
    </row>
    <row r="17" spans="2:9" ht="12" x14ac:dyDescent="0.25">
      <c r="B17" s="6"/>
      <c r="C17" s="11" t="s">
        <v>56</v>
      </c>
      <c r="D17" s="13">
        <f ca="1">+VLOOKUP($E$11,planilla,10,0)</f>
        <v>1700</v>
      </c>
      <c r="F17" s="146" t="s">
        <v>66</v>
      </c>
      <c r="G17" s="146"/>
      <c r="H17" s="10">
        <f ca="1">IFERROR(VLOOKUP(E11,planilla,7,FALSE),"")</f>
        <v>15</v>
      </c>
      <c r="I17" s="7"/>
    </row>
    <row r="18" spans="2:9" x14ac:dyDescent="0.2">
      <c r="B18" s="6"/>
      <c r="I18" s="7"/>
    </row>
    <row r="19" spans="2:9" ht="12" x14ac:dyDescent="0.25">
      <c r="B19" s="6"/>
      <c r="C19" s="147" t="s">
        <v>64</v>
      </c>
      <c r="D19" s="148"/>
      <c r="G19" s="147" t="s">
        <v>65</v>
      </c>
      <c r="H19" s="148"/>
      <c r="I19" s="7"/>
    </row>
    <row r="20" spans="2:9" ht="12" x14ac:dyDescent="0.25">
      <c r="B20" s="6"/>
      <c r="C20" s="11" t="s">
        <v>70</v>
      </c>
      <c r="D20" s="96">
        <f ca="1">+VLOOKUP($E$11,planilla,11,0)</f>
        <v>170</v>
      </c>
      <c r="E20" s="12"/>
      <c r="G20" s="14"/>
      <c r="I20" s="7"/>
    </row>
    <row r="21" spans="2:9" ht="12" x14ac:dyDescent="0.25">
      <c r="B21" s="6"/>
      <c r="C21" s="11" t="s">
        <v>71</v>
      </c>
      <c r="D21" s="96">
        <f ca="1">+VLOOKUP($E$11,planilla,12,0)</f>
        <v>150</v>
      </c>
      <c r="E21" s="12"/>
      <c r="G21" s="14"/>
      <c r="I21" s="7"/>
    </row>
    <row r="22" spans="2:9" ht="12" x14ac:dyDescent="0.25">
      <c r="B22" s="6"/>
      <c r="C22" s="11" t="s">
        <v>72</v>
      </c>
      <c r="D22" s="115">
        <f ca="1">+VLOOKUP($E$11,planilla,14,0)</f>
        <v>35</v>
      </c>
      <c r="E22" s="12"/>
      <c r="G22" s="15" t="s">
        <v>117</v>
      </c>
      <c r="H22" s="93">
        <f ca="1">+VLOOKUP($E$11,planilla,19,0)</f>
        <v>510</v>
      </c>
      <c r="I22" s="7"/>
    </row>
    <row r="23" spans="2:9" ht="12" x14ac:dyDescent="0.25">
      <c r="B23" s="6"/>
      <c r="C23" s="11" t="s">
        <v>73</v>
      </c>
      <c r="D23" s="96">
        <f ca="1">+VLOOKUP($E$11,planilla,13,0)</f>
        <v>255</v>
      </c>
      <c r="E23" s="12"/>
      <c r="G23" s="15" t="s">
        <v>78</v>
      </c>
      <c r="H23" s="93">
        <f ca="1">+VLOOKUP($E$11,planilla,20,0)</f>
        <v>119.00000000000001</v>
      </c>
      <c r="I23" s="7"/>
    </row>
    <row r="24" spans="2:9" ht="12" x14ac:dyDescent="0.25">
      <c r="B24" s="6"/>
      <c r="C24" s="11" t="s">
        <v>74</v>
      </c>
      <c r="D24" s="96">
        <f ca="1">+VLOOKUP($E$11,planilla,15,0)</f>
        <v>96</v>
      </c>
      <c r="E24" s="12"/>
      <c r="G24" s="14"/>
      <c r="H24" s="92"/>
      <c r="I24" s="7"/>
    </row>
    <row r="25" spans="2:9" ht="12" x14ac:dyDescent="0.25">
      <c r="B25" s="6"/>
      <c r="C25" s="11" t="s">
        <v>75</v>
      </c>
      <c r="D25" s="96">
        <f ca="1">+VLOOKUP($E$11,planilla,16,0)</f>
        <v>50</v>
      </c>
      <c r="E25" s="12"/>
      <c r="G25" s="14"/>
      <c r="H25" s="92"/>
      <c r="I25" s="7"/>
    </row>
    <row r="26" spans="2:9" ht="12" x14ac:dyDescent="0.25">
      <c r="B26" s="6"/>
      <c r="C26" s="11" t="s">
        <v>76</v>
      </c>
      <c r="D26" s="96">
        <f ca="1">+VLOOKUP($E$11,planilla,17,0)</f>
        <v>40</v>
      </c>
      <c r="E26" s="12"/>
      <c r="G26" s="14"/>
      <c r="I26" s="7"/>
    </row>
    <row r="27" spans="2:9" ht="12" x14ac:dyDescent="0.25">
      <c r="B27" s="6"/>
      <c r="C27" s="15" t="s">
        <v>77</v>
      </c>
      <c r="D27" s="91">
        <f ca="1">+SUM(D20:D26)</f>
        <v>796</v>
      </c>
      <c r="G27" s="15" t="s">
        <v>77</v>
      </c>
      <c r="H27" s="94">
        <f ca="1">+SUM(H22:H23)</f>
        <v>629</v>
      </c>
      <c r="I27" s="7"/>
    </row>
    <row r="28" spans="2:9" x14ac:dyDescent="0.2">
      <c r="B28" s="6"/>
      <c r="I28" s="7"/>
    </row>
    <row r="29" spans="2:9" x14ac:dyDescent="0.2">
      <c r="B29" s="6"/>
      <c r="I29" s="7"/>
    </row>
    <row r="30" spans="2:9" ht="12" x14ac:dyDescent="0.25">
      <c r="B30" s="6"/>
      <c r="C30" s="110" t="s">
        <v>79</v>
      </c>
      <c r="D30" s="137">
        <f ca="1">D17+D27-H27</f>
        <v>1867</v>
      </c>
      <c r="E30" s="137"/>
      <c r="I30" s="7"/>
    </row>
    <row r="31" spans="2:9" ht="12" x14ac:dyDescent="0.25">
      <c r="B31" s="6"/>
      <c r="C31" s="110" t="s">
        <v>80</v>
      </c>
      <c r="D31" s="138">
        <f ca="1">D30/3.51</f>
        <v>531.90883190883198</v>
      </c>
      <c r="E31" s="138"/>
      <c r="I31" s="7"/>
    </row>
    <row r="32" spans="2:9" ht="12" x14ac:dyDescent="0.25">
      <c r="B32" s="6"/>
      <c r="C32" s="10"/>
      <c r="I32" s="7"/>
    </row>
    <row r="33" spans="2:9" ht="12" thickBot="1" x14ac:dyDescent="0.25">
      <c r="B33" s="16"/>
      <c r="C33" s="17"/>
      <c r="D33" s="17"/>
      <c r="E33" s="17"/>
      <c r="F33" s="17"/>
      <c r="G33" s="17"/>
      <c r="H33" s="17"/>
      <c r="I33" s="18"/>
    </row>
    <row r="34" spans="2:9" ht="12" thickTop="1" x14ac:dyDescent="0.2"/>
  </sheetData>
  <mergeCells count="12">
    <mergeCell ref="D30:E30"/>
    <mergeCell ref="D31:E31"/>
    <mergeCell ref="C7:H7"/>
    <mergeCell ref="D9:G9"/>
    <mergeCell ref="E10:G10"/>
    <mergeCell ref="F15:G15"/>
    <mergeCell ref="C19:D19"/>
    <mergeCell ref="F17:G17"/>
    <mergeCell ref="G19:H19"/>
    <mergeCell ref="C11:D11"/>
    <mergeCell ref="C13:D13"/>
    <mergeCell ref="F16:G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F0000"/>
  </sheetPr>
  <dimension ref="B1:I38"/>
  <sheetViews>
    <sheetView showGridLines="0" topLeftCell="A3" zoomScale="85" zoomScaleNormal="85" workbookViewId="0">
      <selection activeCell="K16" sqref="K16"/>
    </sheetView>
  </sheetViews>
  <sheetFormatPr baseColWidth="10" defaultColWidth="11.44140625" defaultRowHeight="11.4" x14ac:dyDescent="0.2"/>
  <cols>
    <col min="1" max="1" width="6" style="2" customWidth="1"/>
    <col min="2" max="2" width="3.6640625" style="2" customWidth="1"/>
    <col min="3" max="3" width="25.6640625" style="2" customWidth="1"/>
    <col min="4" max="4" width="8.44140625" style="2" customWidth="1"/>
    <col min="5" max="5" width="19.33203125" style="2" bestFit="1" customWidth="1"/>
    <col min="6" max="6" width="11.109375" style="2" bestFit="1" customWidth="1"/>
    <col min="7" max="7" width="9.5546875" style="2" customWidth="1"/>
    <col min="8" max="8" width="12.109375" style="2" bestFit="1" customWidth="1"/>
    <col min="9" max="9" width="2.5546875" style="2" customWidth="1"/>
    <col min="10" max="16384" width="11.44140625" style="2"/>
  </cols>
  <sheetData>
    <row r="1" spans="2:9" ht="12" thickBot="1" x14ac:dyDescent="0.25"/>
    <row r="2" spans="2:9" ht="12" thickTop="1" x14ac:dyDescent="0.2">
      <c r="B2" s="3"/>
      <c r="C2" s="4"/>
      <c r="D2" s="4"/>
      <c r="E2" s="4"/>
      <c r="F2" s="4"/>
      <c r="G2" s="4"/>
      <c r="H2" s="4"/>
      <c r="I2" s="5"/>
    </row>
    <row r="3" spans="2:9" x14ac:dyDescent="0.2">
      <c r="B3" s="6"/>
      <c r="I3" s="7"/>
    </row>
    <row r="4" spans="2:9" x14ac:dyDescent="0.2">
      <c r="B4" s="6"/>
      <c r="I4" s="7"/>
    </row>
    <row r="5" spans="2:9" x14ac:dyDescent="0.2">
      <c r="B5" s="6"/>
      <c r="I5" s="7"/>
    </row>
    <row r="6" spans="2:9" x14ac:dyDescent="0.2">
      <c r="B6" s="6"/>
      <c r="I6" s="7"/>
    </row>
    <row r="7" spans="2:9" x14ac:dyDescent="0.2">
      <c r="B7" s="6"/>
      <c r="I7" s="7"/>
    </row>
    <row r="8" spans="2:9" ht="15" x14ac:dyDescent="0.25">
      <c r="B8" s="8"/>
      <c r="C8" s="139" t="s">
        <v>154</v>
      </c>
      <c r="D8" s="140"/>
      <c r="E8" s="140"/>
      <c r="F8" s="140"/>
      <c r="G8" s="140"/>
      <c r="H8" s="141"/>
      <c r="I8" s="7"/>
    </row>
    <row r="9" spans="2:9" x14ac:dyDescent="0.2">
      <c r="B9" s="6"/>
      <c r="I9" s="7"/>
    </row>
    <row r="10" spans="2:9" ht="13.8" x14ac:dyDescent="0.25">
      <c r="B10" s="6"/>
      <c r="C10" s="9"/>
      <c r="D10" s="142" t="s">
        <v>85</v>
      </c>
      <c r="E10" s="143"/>
      <c r="F10" s="143"/>
      <c r="G10" s="144"/>
      <c r="I10" s="7"/>
    </row>
    <row r="11" spans="2:9" ht="12" x14ac:dyDescent="0.25">
      <c r="B11" s="6"/>
      <c r="C11" s="11"/>
      <c r="D11" s="11"/>
      <c r="E11" s="11"/>
      <c r="F11" s="11"/>
      <c r="G11" s="11"/>
      <c r="H11" s="10"/>
      <c r="I11" s="7"/>
    </row>
    <row r="12" spans="2:9" ht="12" x14ac:dyDescent="0.25">
      <c r="B12" s="6"/>
      <c r="C12" s="147" t="s">
        <v>92</v>
      </c>
      <c r="D12" s="148"/>
      <c r="I12" s="7"/>
    </row>
    <row r="13" spans="2:9" ht="12" x14ac:dyDescent="0.25">
      <c r="B13" s="6"/>
      <c r="C13" s="11" t="s">
        <v>86</v>
      </c>
      <c r="D13" s="12"/>
      <c r="E13" s="106">
        <f ca="1">+COUNTA(CODIGO)</f>
        <v>10</v>
      </c>
      <c r="F13" s="12"/>
      <c r="G13" s="12"/>
      <c r="I13" s="7"/>
    </row>
    <row r="14" spans="2:9" ht="12" x14ac:dyDescent="0.25">
      <c r="B14" s="6"/>
      <c r="C14" s="11" t="s">
        <v>90</v>
      </c>
      <c r="D14" s="12"/>
      <c r="E14" s="106">
        <f>+COUNTIF(PLANILLA!E6:E15,"Permanente")</f>
        <v>4</v>
      </c>
      <c r="F14" s="12"/>
      <c r="G14" s="12"/>
      <c r="I14" s="7"/>
    </row>
    <row r="15" spans="2:9" ht="12" x14ac:dyDescent="0.25">
      <c r="B15" s="6"/>
      <c r="C15" s="47" t="s">
        <v>89</v>
      </c>
      <c r="D15" s="13"/>
      <c r="E15" s="106">
        <f>+COUNTIF(PLANILLA!F6:F15,"S")</f>
        <v>1</v>
      </c>
      <c r="F15" s="12"/>
      <c r="G15" s="12"/>
      <c r="I15" s="7"/>
    </row>
    <row r="16" spans="2:9" ht="12" x14ac:dyDescent="0.25">
      <c r="B16" s="6"/>
      <c r="C16" s="47" t="s">
        <v>94</v>
      </c>
      <c r="D16" s="13"/>
      <c r="E16" s="107">
        <f ca="1">AVERAGE(PLANILLA!J6:J15)</f>
        <v>42.4</v>
      </c>
      <c r="F16" s="12"/>
      <c r="G16" s="12"/>
      <c r="I16" s="7"/>
    </row>
    <row r="17" spans="2:9" ht="12" x14ac:dyDescent="0.25">
      <c r="B17" s="6"/>
      <c r="C17" s="47" t="s">
        <v>87</v>
      </c>
      <c r="D17" s="13"/>
      <c r="E17" s="107">
        <f ca="1">+MAX(PLANILLA!J6:J15)</f>
        <v>49</v>
      </c>
      <c r="F17" s="11"/>
      <c r="G17" s="11"/>
      <c r="H17" s="10"/>
      <c r="I17" s="7"/>
    </row>
    <row r="18" spans="2:9" ht="12" x14ac:dyDescent="0.25">
      <c r="B18" s="6"/>
      <c r="C18" s="47" t="s">
        <v>88</v>
      </c>
      <c r="D18" s="13"/>
      <c r="E18" s="107">
        <f ca="1">+MIN(PLANILLA!J6:J15)</f>
        <v>36</v>
      </c>
      <c r="F18" s="11"/>
      <c r="G18" s="11"/>
      <c r="H18" s="10"/>
      <c r="I18" s="7"/>
    </row>
    <row r="19" spans="2:9" ht="12" x14ac:dyDescent="0.25">
      <c r="B19" s="6"/>
      <c r="C19" s="146" t="s">
        <v>91</v>
      </c>
      <c r="D19" s="146"/>
      <c r="E19" s="106">
        <f>+COUNTIF(PLANILLA!H6:H15,"&gt;=10")</f>
        <v>6</v>
      </c>
      <c r="F19" s="11"/>
      <c r="G19" s="11"/>
      <c r="H19" s="10"/>
      <c r="I19" s="7"/>
    </row>
    <row r="20" spans="2:9" ht="12" x14ac:dyDescent="0.25">
      <c r="B20" s="6"/>
      <c r="C20" s="50"/>
      <c r="D20" s="50"/>
      <c r="F20" s="11"/>
      <c r="G20" s="11"/>
      <c r="H20" s="10"/>
      <c r="I20" s="7"/>
    </row>
    <row r="21" spans="2:9" ht="12" x14ac:dyDescent="0.25">
      <c r="B21" s="6"/>
      <c r="C21" s="147" t="s">
        <v>93</v>
      </c>
      <c r="D21" s="150"/>
      <c r="E21" s="148"/>
      <c r="F21" s="49"/>
      <c r="G21" s="47"/>
      <c r="H21" s="10"/>
      <c r="I21" s="7"/>
    </row>
    <row r="22" spans="2:9" ht="12" x14ac:dyDescent="0.25">
      <c r="B22" s="6"/>
      <c r="C22" s="146" t="s">
        <v>134</v>
      </c>
      <c r="D22" s="146"/>
      <c r="E22" s="146"/>
      <c r="G22" s="111">
        <f>+COUNTIFS(PLANILLA!F6:F15,"C",PLANILLA!G6:G15,"B")</f>
        <v>1</v>
      </c>
      <c r="H22" s="10"/>
      <c r="I22" s="7"/>
    </row>
    <row r="23" spans="2:9" ht="12" x14ac:dyDescent="0.25">
      <c r="B23" s="6"/>
      <c r="C23" s="146" t="s">
        <v>135</v>
      </c>
      <c r="D23" s="146"/>
      <c r="E23" s="146"/>
      <c r="G23" s="109">
        <f>+COUNTIFS(PLANILLA!I6:I15,"M",PLANILLA!G6:G15,"A")</f>
        <v>1</v>
      </c>
      <c r="H23" s="10"/>
      <c r="I23" s="7"/>
    </row>
    <row r="24" spans="2:9" ht="12" x14ac:dyDescent="0.25">
      <c r="B24" s="6"/>
      <c r="C24" s="146" t="s">
        <v>136</v>
      </c>
      <c r="D24" s="146"/>
      <c r="E24" s="146"/>
      <c r="G24" s="109">
        <f>+COUNTIFS(PLANILLA!F6:F15,"V",PLANILLA!G6:G15,"C",PLANILLA!I6:I15,"F")</f>
        <v>1</v>
      </c>
      <c r="H24" s="10"/>
      <c r="I24" s="7"/>
    </row>
    <row r="25" spans="2:9" ht="12" x14ac:dyDescent="0.25">
      <c r="B25" s="6"/>
      <c r="C25" s="146" t="s">
        <v>137</v>
      </c>
      <c r="D25" s="146"/>
      <c r="E25" s="146"/>
      <c r="F25" s="146"/>
      <c r="G25" s="109">
        <f>+COUNTIFS(PLANILLA!I6:I15,"F",PLANILLA!F6:F15,"C",PLANILLA!E6:E15,"Eventual",PLANILLA!H6:H15,"&lt;12")</f>
        <v>1</v>
      </c>
      <c r="H25" s="10"/>
      <c r="I25" s="7"/>
    </row>
    <row r="26" spans="2:9" ht="12" x14ac:dyDescent="0.25">
      <c r="B26" s="6"/>
      <c r="C26" s="50"/>
      <c r="D26" s="50"/>
      <c r="F26" s="11"/>
      <c r="G26" s="11"/>
      <c r="H26" s="10"/>
      <c r="I26" s="7"/>
    </row>
    <row r="27" spans="2:9" ht="12" x14ac:dyDescent="0.25">
      <c r="B27" s="6"/>
      <c r="C27" s="147" t="s">
        <v>95</v>
      </c>
      <c r="D27" s="150"/>
      <c r="E27" s="148"/>
      <c r="F27" s="10"/>
      <c r="G27" s="14"/>
      <c r="I27" s="7"/>
    </row>
    <row r="28" spans="2:9" ht="12" x14ac:dyDescent="0.25">
      <c r="B28" s="6"/>
      <c r="C28" s="151" t="s">
        <v>96</v>
      </c>
      <c r="D28" s="151"/>
      <c r="F28" s="108">
        <f>SUM(PLANILLA!K16:X16)</f>
        <v>57125.441880341888</v>
      </c>
      <c r="G28" s="15"/>
      <c r="H28" s="90"/>
      <c r="I28" s="7"/>
    </row>
    <row r="29" spans="2:9" ht="12" x14ac:dyDescent="0.25">
      <c r="B29" s="6"/>
      <c r="C29" s="146" t="s">
        <v>101</v>
      </c>
      <c r="D29" s="146"/>
      <c r="F29" s="109">
        <f>COUNTIF(Tabla1[CIVIL],"C")</f>
        <v>5</v>
      </c>
      <c r="G29" s="15"/>
      <c r="H29" s="90"/>
      <c r="I29" s="7"/>
    </row>
    <row r="30" spans="2:9" ht="12" x14ac:dyDescent="0.25">
      <c r="B30" s="6"/>
      <c r="C30" s="146" t="s">
        <v>98</v>
      </c>
      <c r="D30" s="146"/>
      <c r="F30" s="109">
        <f>+COUNTIF(Tabla1[SEXO],"F")</f>
        <v>5</v>
      </c>
      <c r="G30" s="15"/>
      <c r="H30" s="90"/>
      <c r="I30" s="7"/>
    </row>
    <row r="31" spans="2:9" ht="12" x14ac:dyDescent="0.25">
      <c r="B31" s="6"/>
      <c r="C31" s="146" t="s">
        <v>97</v>
      </c>
      <c r="D31" s="146"/>
      <c r="E31" s="12"/>
      <c r="F31" s="109">
        <f>+COUNTIF(Tabla1[SEXO],"M")</f>
        <v>5</v>
      </c>
      <c r="G31" s="14"/>
      <c r="H31" s="90"/>
      <c r="I31" s="7"/>
    </row>
    <row r="32" spans="2:9" ht="12" x14ac:dyDescent="0.25">
      <c r="B32" s="6"/>
      <c r="C32" s="146" t="s">
        <v>99</v>
      </c>
      <c r="D32" s="146"/>
      <c r="E32" s="12"/>
      <c r="F32" s="109">
        <f>+COUNTIFS(Tabla1[SEXO],"F",Tabla1[CIVIL],"V")</f>
        <v>3</v>
      </c>
      <c r="G32" s="14"/>
      <c r="H32" s="90"/>
      <c r="I32" s="7"/>
    </row>
    <row r="33" spans="2:9" ht="12" x14ac:dyDescent="0.25">
      <c r="B33" s="6"/>
      <c r="C33" s="146" t="s">
        <v>100</v>
      </c>
      <c r="D33" s="146"/>
      <c r="E33" s="146"/>
      <c r="F33" s="146"/>
      <c r="H33" s="112">
        <f>+COUNTIFS(Tabla1[SEXO],"M",Tabla1[TIPO],"Permanente")</f>
        <v>2</v>
      </c>
      <c r="I33" s="7"/>
    </row>
    <row r="34" spans="2:9" ht="12" x14ac:dyDescent="0.25">
      <c r="B34" s="6"/>
      <c r="C34" s="146" t="s">
        <v>138</v>
      </c>
      <c r="D34" s="146"/>
      <c r="E34" s="146"/>
      <c r="F34" s="146"/>
      <c r="G34" s="146"/>
      <c r="H34" s="112">
        <f>+COUNTIFS(Tabla1[SEXO],"F",Tabla1[CIVIL],"V",Tabla1[T. SERV],"&lt;8")</f>
        <v>0</v>
      </c>
      <c r="I34" s="7"/>
    </row>
    <row r="35" spans="2:9" ht="12" x14ac:dyDescent="0.25">
      <c r="B35" s="6"/>
      <c r="C35" s="146" t="s">
        <v>139</v>
      </c>
      <c r="D35" s="146"/>
      <c r="E35" s="146"/>
      <c r="F35" s="146"/>
      <c r="G35" s="146"/>
      <c r="H35" s="112">
        <f>+COUNTIFS(Tabla1[SEXO],"M",Tabla1[TIPO],"Eventual",Tabla1[T. SERV],"&gt;3")</f>
        <v>2</v>
      </c>
      <c r="I35" s="7"/>
    </row>
    <row r="36" spans="2:9" x14ac:dyDescent="0.2">
      <c r="B36" s="6"/>
      <c r="I36" s="7"/>
    </row>
    <row r="37" spans="2:9" ht="12" thickBot="1" x14ac:dyDescent="0.25">
      <c r="B37" s="16"/>
      <c r="C37" s="17"/>
      <c r="D37" s="17"/>
      <c r="E37" s="17"/>
      <c r="F37" s="17"/>
      <c r="G37" s="17"/>
      <c r="H37" s="17"/>
      <c r="I37" s="18"/>
    </row>
    <row r="38" spans="2:9" ht="12" thickTop="1" x14ac:dyDescent="0.2"/>
  </sheetData>
  <mergeCells count="18">
    <mergeCell ref="C21:E21"/>
    <mergeCell ref="C24:E24"/>
    <mergeCell ref="C8:H8"/>
    <mergeCell ref="D10:G10"/>
    <mergeCell ref="C12:D12"/>
    <mergeCell ref="C19:D19"/>
    <mergeCell ref="C35:G35"/>
    <mergeCell ref="C34:G34"/>
    <mergeCell ref="C31:D31"/>
    <mergeCell ref="C32:D32"/>
    <mergeCell ref="C33:F33"/>
    <mergeCell ref="C30:D30"/>
    <mergeCell ref="C25:F25"/>
    <mergeCell ref="C27:E27"/>
    <mergeCell ref="C22:E22"/>
    <mergeCell ref="C23:E23"/>
    <mergeCell ref="C28:D28"/>
    <mergeCell ref="C29:D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rgb="FFFF0000"/>
  </sheetPr>
  <dimension ref="A1:M21"/>
  <sheetViews>
    <sheetView zoomScale="90" zoomScaleNormal="90" workbookViewId="0">
      <selection activeCell="E5" sqref="E5"/>
    </sheetView>
  </sheetViews>
  <sheetFormatPr baseColWidth="10" defaultColWidth="11.44140625" defaultRowHeight="14.4" x14ac:dyDescent="0.3"/>
  <cols>
    <col min="1" max="1" width="8" customWidth="1"/>
    <col min="2" max="5" width="10.6640625" customWidth="1"/>
    <col min="7" max="12" width="10.6640625" customWidth="1"/>
  </cols>
  <sheetData>
    <row r="1" spans="1:13" ht="15" thickBot="1" x14ac:dyDescent="0.3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.2" thickBot="1" x14ac:dyDescent="0.35">
      <c r="A2" s="62"/>
      <c r="B2" s="152" t="s">
        <v>110</v>
      </c>
      <c r="C2" s="153"/>
      <c r="D2" s="154"/>
      <c r="E2" s="62"/>
      <c r="F2" s="62"/>
      <c r="G2" s="62"/>
      <c r="H2" s="62"/>
      <c r="I2" s="157" t="s">
        <v>111</v>
      </c>
      <c r="J2" s="158"/>
      <c r="K2" s="159"/>
      <c r="L2" s="62"/>
      <c r="M2" s="62"/>
    </row>
    <row r="3" spans="1:13" ht="15" thickBot="1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5" thickBot="1" x14ac:dyDescent="0.35">
      <c r="A4" s="62"/>
      <c r="B4" s="19" t="s">
        <v>102</v>
      </c>
      <c r="C4" s="62"/>
      <c r="D4" s="58" t="s">
        <v>108</v>
      </c>
      <c r="E4" s="63" t="s">
        <v>104</v>
      </c>
      <c r="F4" s="62"/>
      <c r="G4" s="62"/>
      <c r="H4" s="51"/>
      <c r="I4" s="76" t="s">
        <v>112</v>
      </c>
      <c r="J4" s="77" t="s">
        <v>113</v>
      </c>
      <c r="K4" s="77" t="s">
        <v>114</v>
      </c>
      <c r="L4" s="78" t="s">
        <v>115</v>
      </c>
      <c r="M4" s="62"/>
    </row>
    <row r="5" spans="1:13" ht="15" thickBot="1" x14ac:dyDescent="0.35">
      <c r="A5" s="62"/>
      <c r="B5" s="55" t="s">
        <v>103</v>
      </c>
      <c r="C5" s="62"/>
      <c r="D5" s="59" t="s">
        <v>109</v>
      </c>
      <c r="E5" s="20"/>
      <c r="F5" s="62"/>
      <c r="G5" s="62"/>
      <c r="H5" s="52" t="s">
        <v>121</v>
      </c>
      <c r="I5" s="79">
        <v>20</v>
      </c>
      <c r="J5" s="80">
        <v>18</v>
      </c>
      <c r="K5" s="80">
        <v>17</v>
      </c>
      <c r="L5" s="81">
        <v>19</v>
      </c>
      <c r="M5" s="62"/>
    </row>
    <row r="6" spans="1:13" x14ac:dyDescent="0.3">
      <c r="A6" s="62"/>
      <c r="B6" s="56" t="s">
        <v>104</v>
      </c>
      <c r="C6" s="62"/>
      <c r="D6" s="62"/>
      <c r="E6" s="62"/>
      <c r="F6" s="62"/>
      <c r="G6" s="62"/>
      <c r="H6" s="53" t="s">
        <v>122</v>
      </c>
      <c r="I6" s="82">
        <v>17</v>
      </c>
      <c r="J6" s="83">
        <v>19</v>
      </c>
      <c r="K6" s="83">
        <v>14</v>
      </c>
      <c r="L6" s="84">
        <v>18</v>
      </c>
      <c r="M6" s="62"/>
    </row>
    <row r="7" spans="1:13" x14ac:dyDescent="0.3">
      <c r="A7" s="62"/>
      <c r="B7" s="56" t="s">
        <v>105</v>
      </c>
      <c r="C7" s="62"/>
      <c r="D7" s="62"/>
      <c r="E7" s="62"/>
      <c r="F7" s="62"/>
      <c r="G7" s="62"/>
      <c r="H7" s="53" t="s">
        <v>123</v>
      </c>
      <c r="I7" s="82">
        <v>18</v>
      </c>
      <c r="J7" s="83">
        <v>20</v>
      </c>
      <c r="K7" s="83">
        <v>18</v>
      </c>
      <c r="L7" s="84">
        <v>17</v>
      </c>
      <c r="M7" s="62"/>
    </row>
    <row r="8" spans="1:13" x14ac:dyDescent="0.3">
      <c r="A8" s="62"/>
      <c r="B8" s="65" t="s">
        <v>106</v>
      </c>
      <c r="C8" s="62"/>
      <c r="D8" s="62"/>
      <c r="E8" s="62"/>
      <c r="F8" s="62"/>
      <c r="G8" s="62"/>
      <c r="H8" s="66" t="s">
        <v>124</v>
      </c>
      <c r="I8" s="82">
        <v>19</v>
      </c>
      <c r="J8" s="83">
        <v>14</v>
      </c>
      <c r="K8" s="83">
        <v>19</v>
      </c>
      <c r="L8" s="84">
        <v>17</v>
      </c>
      <c r="M8" s="62"/>
    </row>
    <row r="9" spans="1:13" ht="15" thickBot="1" x14ac:dyDescent="0.35">
      <c r="A9" s="62"/>
      <c r="B9" s="67" t="s">
        <v>107</v>
      </c>
      <c r="C9" s="62"/>
      <c r="D9" s="62"/>
      <c r="E9" s="62"/>
      <c r="F9" s="62"/>
      <c r="G9" s="62"/>
      <c r="H9" s="68" t="s">
        <v>125</v>
      </c>
      <c r="I9" s="85">
        <v>17</v>
      </c>
      <c r="J9" s="86">
        <v>17</v>
      </c>
      <c r="K9" s="86">
        <v>18</v>
      </c>
      <c r="L9" s="87">
        <v>19</v>
      </c>
      <c r="M9" s="62"/>
    </row>
    <row r="10" spans="1:13" x14ac:dyDescent="0.3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5" thickBot="1" x14ac:dyDescent="0.35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5" thickBot="1" x14ac:dyDescent="0.35">
      <c r="A12" s="62"/>
      <c r="B12" s="21" t="s">
        <v>102</v>
      </c>
      <c r="C12" s="62"/>
      <c r="D12" s="62"/>
      <c r="E12" s="62"/>
      <c r="F12" s="62"/>
      <c r="G12" s="62"/>
      <c r="H12" s="58" t="s">
        <v>108</v>
      </c>
      <c r="I12" s="69" t="s">
        <v>104</v>
      </c>
      <c r="J12" s="70" t="s">
        <v>116</v>
      </c>
      <c r="K12" s="62"/>
      <c r="L12" s="62"/>
      <c r="M12" s="62"/>
    </row>
    <row r="13" spans="1:13" ht="15" thickBot="1" x14ac:dyDescent="0.35">
      <c r="A13" s="62"/>
      <c r="B13" s="48" t="s">
        <v>103</v>
      </c>
      <c r="C13" s="54" t="s">
        <v>104</v>
      </c>
      <c r="D13" s="54" t="s">
        <v>105</v>
      </c>
      <c r="E13" s="60" t="s">
        <v>106</v>
      </c>
      <c r="F13" s="61" t="s">
        <v>107</v>
      </c>
      <c r="G13" s="62"/>
      <c r="H13" s="59" t="s">
        <v>126</v>
      </c>
      <c r="I13" s="155"/>
      <c r="J13" s="156"/>
      <c r="K13" s="62"/>
      <c r="L13" s="62"/>
      <c r="M13" s="62"/>
    </row>
    <row r="14" spans="1:13" ht="15" thickBot="1" x14ac:dyDescent="0.35">
      <c r="A14" s="62"/>
      <c r="B14" s="2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x14ac:dyDescent="0.3">
      <c r="A15" s="62"/>
      <c r="B15" s="58" t="s">
        <v>108</v>
      </c>
      <c r="C15" s="64" t="s">
        <v>107</v>
      </c>
      <c r="D15" s="62"/>
      <c r="E15" s="62"/>
      <c r="F15" s="62"/>
      <c r="G15" s="62"/>
      <c r="H15" s="62"/>
      <c r="I15" s="62"/>
      <c r="J15" s="62"/>
      <c r="K15" s="62"/>
      <c r="L15" s="71"/>
      <c r="M15" s="62"/>
    </row>
    <row r="16" spans="1:13" ht="15" thickBot="1" x14ac:dyDescent="0.35">
      <c r="A16" s="62"/>
      <c r="B16" s="59" t="s">
        <v>109</v>
      </c>
      <c r="C16" s="57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x14ac:dyDescent="0.3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x14ac:dyDescent="0.3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x14ac:dyDescent="0.3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x14ac:dyDescent="0.3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</row>
    <row r="21" spans="1:13" x14ac:dyDescent="0.3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</row>
  </sheetData>
  <mergeCells count="3">
    <mergeCell ref="B2:D2"/>
    <mergeCell ref="I13:J13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EXPLICACION</vt:lpstr>
      <vt:lpstr>PLANILLA</vt:lpstr>
      <vt:lpstr>BOLETA</vt:lpstr>
      <vt:lpstr>RESUMEN</vt:lpstr>
      <vt:lpstr>BÚSQUEDAS</vt:lpstr>
      <vt:lpstr>CODIGO</vt:lpstr>
      <vt:lpstr>planilla</vt:lpstr>
      <vt:lpstr>tabla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Fabrizio Obregón Romero</cp:lastModifiedBy>
  <dcterms:created xsi:type="dcterms:W3CDTF">2013-04-19T15:14:10Z</dcterms:created>
  <dcterms:modified xsi:type="dcterms:W3CDTF">2024-08-05T01:34:44Z</dcterms:modified>
</cp:coreProperties>
</file>