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00" windowWidth="22692" windowHeight="9012"/>
  </bookViews>
  <sheets>
    <sheet name="TX2 (2)" sheetId="1" r:id="rId1"/>
  </sheets>
  <externalReferences>
    <externalReference r:id="rId2"/>
  </externalReferences>
  <definedNames>
    <definedName name="_xlnm._FilterDatabase" localSheetId="0" hidden="1">'TX2 (2)'!$A$3:$CM$84</definedName>
    <definedName name="Cb">[1]SPT!$C$2</definedName>
    <definedName name="Ce">[1]SPT!$B$2</definedName>
    <definedName name="Cr">[1]SPT!$D$2</definedName>
    <definedName name="Cs">[1]SPT!$E$2</definedName>
    <definedName name="solver_adj" localSheetId="0" hidden="1">'TX2 (2)'!$BV$94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'TX2 (2)'!$CL$94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4" i="1" l="1"/>
  <c r="O4" i="1"/>
  <c r="P4" i="1"/>
  <c r="T6" i="1" s="1"/>
  <c r="Q4" i="1"/>
  <c r="R4" i="1"/>
  <c r="S4" i="1"/>
  <c r="T4" i="1"/>
  <c r="U4" i="1"/>
  <c r="AD4" i="1"/>
  <c r="AJ4" i="1"/>
  <c r="AN4" i="1"/>
  <c r="AP4" i="1"/>
  <c r="AO4" i="1" s="1"/>
  <c r="BB4" i="1"/>
  <c r="BE4" i="1"/>
  <c r="BH4" i="1"/>
  <c r="BI4" i="1"/>
  <c r="BJ4" i="1"/>
  <c r="BM4" i="1"/>
  <c r="BN4" i="1"/>
  <c r="BQ4" i="1"/>
  <c r="CJ4" i="1" s="1"/>
  <c r="BW4" i="1"/>
  <c r="BY4" i="1" s="1"/>
  <c r="BX4" i="1"/>
  <c r="BO4" i="1" s="1"/>
  <c r="CG4" i="1"/>
  <c r="CI4" i="1"/>
  <c r="E5" i="1"/>
  <c r="F5" i="1" s="1"/>
  <c r="A5" i="1" s="1"/>
  <c r="R5" i="1"/>
  <c r="S5" i="1" s="1"/>
  <c r="U5" i="1"/>
  <c r="V5" i="1"/>
  <c r="W5" i="1"/>
  <c r="Y5" i="1"/>
  <c r="BH5" i="1" s="1"/>
  <c r="BS5" i="1" s="1"/>
  <c r="CN5" i="1" s="1"/>
  <c r="CO5" i="1" s="1"/>
  <c r="AD5" i="1"/>
  <c r="AJ5" i="1"/>
  <c r="AN5" i="1"/>
  <c r="AO5" i="1" s="1"/>
  <c r="AP5" i="1"/>
  <c r="BL5" i="1"/>
  <c r="BN5" i="1"/>
  <c r="BO5" i="1"/>
  <c r="BZ5" i="1"/>
  <c r="CA5" i="1" s="1"/>
  <c r="CB5" i="1"/>
  <c r="CC5" i="1"/>
  <c r="CD5" i="1"/>
  <c r="CE5" i="1"/>
  <c r="A6" i="1"/>
  <c r="E6" i="1"/>
  <c r="F6" i="1" s="1"/>
  <c r="R6" i="1"/>
  <c r="S6" i="1" s="1"/>
  <c r="U6" i="1"/>
  <c r="Y6" i="1"/>
  <c r="BI6" i="1" s="1"/>
  <c r="AD6" i="1"/>
  <c r="AJ6" i="1"/>
  <c r="AN6" i="1"/>
  <c r="AP6" i="1"/>
  <c r="BB6" i="1"/>
  <c r="BE6" i="1"/>
  <c r="BJ6" i="1"/>
  <c r="BQ6" i="1"/>
  <c r="BT6" i="1"/>
  <c r="BU6" i="1"/>
  <c r="CI6" i="1"/>
  <c r="F7" i="1"/>
  <c r="A7" i="1" s="1"/>
  <c r="O7" i="1"/>
  <c r="P7" i="1"/>
  <c r="T12" i="1" s="1"/>
  <c r="Q7" i="1"/>
  <c r="R7" i="1"/>
  <c r="S7" i="1" s="1"/>
  <c r="U7" i="1"/>
  <c r="V7" i="1"/>
  <c r="W7" i="1"/>
  <c r="AJ7" i="1"/>
  <c r="BE7" i="1" s="1"/>
  <c r="AN7" i="1"/>
  <c r="AP7" i="1"/>
  <c r="BB7" i="1"/>
  <c r="BH7" i="1"/>
  <c r="BI7" i="1"/>
  <c r="BJ7" i="1"/>
  <c r="BR7" i="1"/>
  <c r="BZ7" i="1" s="1"/>
  <c r="BL7" i="1" s="1"/>
  <c r="BT7" i="1"/>
  <c r="CB7" i="1"/>
  <c r="CC7" i="1"/>
  <c r="CG7" i="1"/>
  <c r="CH7" i="1" s="1"/>
  <c r="A8" i="1"/>
  <c r="F8" i="1"/>
  <c r="R8" i="1"/>
  <c r="S8" i="1" s="1"/>
  <c r="U8" i="1"/>
  <c r="V8" i="1"/>
  <c r="W8" i="1"/>
  <c r="Y8" i="1"/>
  <c r="BH8" i="1" s="1"/>
  <c r="AJ8" i="1"/>
  <c r="AN8" i="1"/>
  <c r="AO8" i="1" s="1"/>
  <c r="AP8" i="1"/>
  <c r="BB8" i="1"/>
  <c r="BE8" i="1"/>
  <c r="BJ8" i="1"/>
  <c r="BQ8" i="1" s="1"/>
  <c r="BR8" i="1"/>
  <c r="BZ8" i="1" s="1"/>
  <c r="BT8" i="1"/>
  <c r="BU8" i="1"/>
  <c r="BU9" i="1" s="1"/>
  <c r="A9" i="1"/>
  <c r="F9" i="1"/>
  <c r="R9" i="1"/>
  <c r="S9" i="1" s="1"/>
  <c r="U9" i="1"/>
  <c r="V9" i="1"/>
  <c r="W9" i="1"/>
  <c r="BR9" i="1" s="1"/>
  <c r="AJ9" i="1"/>
  <c r="BE9" i="1" s="1"/>
  <c r="AN9" i="1"/>
  <c r="AO9" i="1" s="1"/>
  <c r="AP9" i="1"/>
  <c r="BB9" i="1"/>
  <c r="BJ9" i="1"/>
  <c r="BQ9" i="1"/>
  <c r="BT9" i="1"/>
  <c r="A10" i="1"/>
  <c r="E10" i="1"/>
  <c r="F10" i="1" s="1"/>
  <c r="P10" i="1"/>
  <c r="Q10" i="1"/>
  <c r="R10" i="1"/>
  <c r="S10" i="1" s="1"/>
  <c r="T10" i="1"/>
  <c r="U10" i="1"/>
  <c r="AD10" i="1"/>
  <c r="AJ10" i="1"/>
  <c r="BE10" i="1" s="1"/>
  <c r="AN10" i="1"/>
  <c r="AP10" i="1"/>
  <c r="AO10" i="1" s="1"/>
  <c r="BB10" i="1"/>
  <c r="BH10" i="1"/>
  <c r="BI10" i="1"/>
  <c r="BJ10" i="1"/>
  <c r="BQ10" i="1" s="1"/>
  <c r="BM10" i="1"/>
  <c r="BN10" i="1" s="1"/>
  <c r="BX10" i="1"/>
  <c r="BO10" i="1" s="1"/>
  <c r="A11" i="1"/>
  <c r="E11" i="1"/>
  <c r="F11" i="1" s="1"/>
  <c r="R11" i="1"/>
  <c r="S11" i="1"/>
  <c r="T11" i="1"/>
  <c r="U11" i="1"/>
  <c r="V11" i="1"/>
  <c r="W11" i="1"/>
  <c r="BR11" i="1" s="1"/>
  <c r="BS11" i="1" s="1"/>
  <c r="CN11" i="1" s="1"/>
  <c r="Y11" i="1"/>
  <c r="BI11" i="1" s="1"/>
  <c r="AJ11" i="1"/>
  <c r="AN11" i="1"/>
  <c r="AP11" i="1"/>
  <c r="BB11" i="1"/>
  <c r="BE11" i="1"/>
  <c r="BH11" i="1"/>
  <c r="BJ11" i="1"/>
  <c r="BM11" i="1"/>
  <c r="BN11" i="1" s="1"/>
  <c r="BQ11" i="1"/>
  <c r="BT11" i="1"/>
  <c r="BU11" i="1"/>
  <c r="BU12" i="1" s="1"/>
  <c r="CG11" i="1"/>
  <c r="CH11" i="1"/>
  <c r="CI11" i="1"/>
  <c r="A12" i="1"/>
  <c r="E12" i="1"/>
  <c r="F12" i="1"/>
  <c r="R12" i="1"/>
  <c r="S12" i="1" s="1"/>
  <c r="U12" i="1"/>
  <c r="V12" i="1"/>
  <c r="W12" i="1"/>
  <c r="Y12" i="1"/>
  <c r="BH12" i="1" s="1"/>
  <c r="AD12" i="1"/>
  <c r="AJ12" i="1"/>
  <c r="AN12" i="1"/>
  <c r="AP12" i="1"/>
  <c r="AO12" i="1" s="1"/>
  <c r="BB12" i="1"/>
  <c r="BE12" i="1"/>
  <c r="BJ12" i="1"/>
  <c r="BM12" i="1"/>
  <c r="BN12" i="1"/>
  <c r="BO12" i="1"/>
  <c r="BQ12" i="1"/>
  <c r="BR12" i="1"/>
  <c r="BS12" i="1" s="1"/>
  <c r="CN12" i="1" s="1"/>
  <c r="CO12" i="1" s="1"/>
  <c r="CQ12" i="1" s="1"/>
  <c r="BT12" i="1"/>
  <c r="BX12" i="1"/>
  <c r="BZ12" i="1"/>
  <c r="CA12" i="1"/>
  <c r="CG12" i="1"/>
  <c r="CH12" i="1" s="1"/>
  <c r="DE12" i="1" s="1"/>
  <c r="DF12" i="1" s="1"/>
  <c r="DG12" i="1" s="1"/>
  <c r="CI12" i="1"/>
  <c r="CJ12" i="1"/>
  <c r="E13" i="1"/>
  <c r="F13" i="1" s="1"/>
  <c r="A13" i="1" s="1"/>
  <c r="P13" i="1"/>
  <c r="Q13" i="1"/>
  <c r="R13" i="1"/>
  <c r="S13" i="1"/>
  <c r="U13" i="1"/>
  <c r="W13" i="1"/>
  <c r="BT13" i="1" s="1"/>
  <c r="AJ13" i="1"/>
  <c r="AN13" i="1"/>
  <c r="AO13" i="1"/>
  <c r="AP13" i="1"/>
  <c r="BB13" i="1"/>
  <c r="BE13" i="1"/>
  <c r="BH13" i="1"/>
  <c r="BI13" i="1"/>
  <c r="BJ13" i="1"/>
  <c r="BM13" i="1"/>
  <c r="BN13" i="1" s="1"/>
  <c r="BQ13" i="1"/>
  <c r="BR13" i="1"/>
  <c r="BW13" i="1"/>
  <c r="BY13" i="1" s="1"/>
  <c r="CG13" i="1"/>
  <c r="CI13" i="1"/>
  <c r="CJ13" i="1"/>
  <c r="E14" i="1"/>
  <c r="F14" i="1"/>
  <c r="A14" i="1" s="1"/>
  <c r="R14" i="1"/>
  <c r="S14" i="1"/>
  <c r="U14" i="1"/>
  <c r="V14" i="1"/>
  <c r="W14" i="1"/>
  <c r="BR14" i="1" s="1"/>
  <c r="Y14" i="1"/>
  <c r="AJ14" i="1"/>
  <c r="AN14" i="1"/>
  <c r="AP14" i="1"/>
  <c r="BB14" i="1"/>
  <c r="BE14" i="1"/>
  <c r="BH14" i="1"/>
  <c r="BI14" i="1"/>
  <c r="BJ14" i="1"/>
  <c r="BQ14" i="1" s="1"/>
  <c r="BS14" i="1"/>
  <c r="CN14" i="1" s="1"/>
  <c r="CO14" i="1" s="1"/>
  <c r="BT14" i="1"/>
  <c r="BU14" i="1"/>
  <c r="BZ14" i="1"/>
  <c r="CK14" i="1"/>
  <c r="E15" i="1"/>
  <c r="F15" i="1"/>
  <c r="A15" i="1" s="1"/>
  <c r="R15" i="1"/>
  <c r="S15" i="1"/>
  <c r="U15" i="1"/>
  <c r="Y15" i="1"/>
  <c r="BH15" i="1" s="1"/>
  <c r="AJ15" i="1"/>
  <c r="BE15" i="1" s="1"/>
  <c r="AN15" i="1"/>
  <c r="AP15" i="1"/>
  <c r="BB15" i="1"/>
  <c r="BJ15" i="1"/>
  <c r="BQ15" i="1" s="1"/>
  <c r="CI15" i="1" s="1"/>
  <c r="BT15" i="1"/>
  <c r="BU15" i="1"/>
  <c r="BX15" i="1"/>
  <c r="BO15" i="1" s="1"/>
  <c r="CE15" i="1"/>
  <c r="CJ15" i="1"/>
  <c r="CK15" i="1"/>
  <c r="A16" i="1"/>
  <c r="F16" i="1"/>
  <c r="P16" i="1"/>
  <c r="O16" i="1" s="1"/>
  <c r="Q16" i="1"/>
  <c r="R16" i="1"/>
  <c r="S16" i="1"/>
  <c r="U16" i="1"/>
  <c r="V16" i="1"/>
  <c r="W16" i="1"/>
  <c r="AJ16" i="1"/>
  <c r="BE16" i="1" s="1"/>
  <c r="AN16" i="1"/>
  <c r="AP16" i="1"/>
  <c r="BB16" i="1"/>
  <c r="BH16" i="1"/>
  <c r="BS16" i="1" s="1"/>
  <c r="CN16" i="1" s="1"/>
  <c r="CO16" i="1" s="1"/>
  <c r="BI16" i="1"/>
  <c r="BJ16" i="1"/>
  <c r="BM16" i="1"/>
  <c r="BN16" i="1"/>
  <c r="BQ16" i="1"/>
  <c r="BR16" i="1"/>
  <c r="BZ16" i="1"/>
  <c r="CB16" i="1"/>
  <c r="CG16" i="1"/>
  <c r="CH16" i="1"/>
  <c r="CI16" i="1"/>
  <c r="A17" i="1"/>
  <c r="F17" i="1"/>
  <c r="R17" i="1"/>
  <c r="S17" i="1"/>
  <c r="U17" i="1"/>
  <c r="V17" i="1"/>
  <c r="W17" i="1"/>
  <c r="Y17" i="1"/>
  <c r="BH17" i="1" s="1"/>
  <c r="AJ17" i="1"/>
  <c r="BE17" i="1" s="1"/>
  <c r="AN17" i="1"/>
  <c r="AO17" i="1"/>
  <c r="AP17" i="1"/>
  <c r="BB17" i="1"/>
  <c r="BI17" i="1"/>
  <c r="BJ17" i="1"/>
  <c r="BM17" i="1"/>
  <c r="BN17" i="1" s="1"/>
  <c r="BQ17" i="1"/>
  <c r="BR17" i="1"/>
  <c r="BU17" i="1"/>
  <c r="BY17" i="1" s="1"/>
  <c r="BW17" i="1"/>
  <c r="CG17" i="1"/>
  <c r="CH17" i="1" s="1"/>
  <c r="DD17" i="1" s="1"/>
  <c r="CJ17" i="1"/>
  <c r="F18" i="1"/>
  <c r="A18" i="1" s="1"/>
  <c r="R18" i="1"/>
  <c r="S18" i="1"/>
  <c r="U18" i="1"/>
  <c r="V18" i="1"/>
  <c r="W18" i="1"/>
  <c r="Y18" i="1"/>
  <c r="AJ18" i="1"/>
  <c r="AN18" i="1"/>
  <c r="AO18" i="1"/>
  <c r="AP18" i="1"/>
  <c r="BB18" i="1"/>
  <c r="BE18" i="1"/>
  <c r="BJ18" i="1"/>
  <c r="BQ18" i="1" s="1"/>
  <c r="BM18" i="1"/>
  <c r="BN18" i="1" s="1"/>
  <c r="BR18" i="1"/>
  <c r="BU18" i="1"/>
  <c r="BZ18" i="1"/>
  <c r="CG18" i="1"/>
  <c r="CH18" i="1" s="1"/>
  <c r="DD18" i="1" s="1"/>
  <c r="A19" i="1"/>
  <c r="F19" i="1"/>
  <c r="P19" i="1"/>
  <c r="O19" i="1" s="1"/>
  <c r="Q19" i="1"/>
  <c r="R19" i="1"/>
  <c r="S19" i="1" s="1"/>
  <c r="U19" i="1"/>
  <c r="V19" i="1"/>
  <c r="W19" i="1"/>
  <c r="CH19" i="1" s="1"/>
  <c r="AJ19" i="1"/>
  <c r="BE19" i="1" s="1"/>
  <c r="AN19" i="1"/>
  <c r="AP19" i="1"/>
  <c r="AO19" i="1" s="1"/>
  <c r="BB19" i="1"/>
  <c r="BH19" i="1"/>
  <c r="BS19" i="1" s="1"/>
  <c r="CN19" i="1" s="1"/>
  <c r="BI19" i="1"/>
  <c r="BO19" i="1"/>
  <c r="CA19" i="1"/>
  <c r="CB19" i="1"/>
  <c r="CC19" i="1"/>
  <c r="CE19" i="1"/>
  <c r="CG19" i="1"/>
  <c r="CL19" i="1"/>
  <c r="CO19" i="1"/>
  <c r="CQ19" i="1" s="1"/>
  <c r="CP19" i="1"/>
  <c r="A20" i="1"/>
  <c r="F20" i="1"/>
  <c r="R20" i="1"/>
  <c r="S20" i="1" s="1"/>
  <c r="U20" i="1"/>
  <c r="V20" i="1"/>
  <c r="W20" i="1"/>
  <c r="Y20" i="1"/>
  <c r="AJ20" i="1"/>
  <c r="BE20" i="1" s="1"/>
  <c r="AN20" i="1"/>
  <c r="AP20" i="1"/>
  <c r="BB20" i="1"/>
  <c r="BH20" i="1"/>
  <c r="BS20" i="1" s="1"/>
  <c r="CN20" i="1" s="1"/>
  <c r="CO20" i="1" s="1"/>
  <c r="BI20" i="1"/>
  <c r="BO20" i="1"/>
  <c r="CA20" i="1"/>
  <c r="CB20" i="1"/>
  <c r="CC20" i="1"/>
  <c r="CE20" i="1"/>
  <c r="CG20" i="1"/>
  <c r="CH20" i="1" s="1"/>
  <c r="CQ20" i="1"/>
  <c r="F21" i="1"/>
  <c r="A21" i="1" s="1"/>
  <c r="R21" i="1"/>
  <c r="S21" i="1"/>
  <c r="U21" i="1"/>
  <c r="V21" i="1"/>
  <c r="W21" i="1"/>
  <c r="Y21" i="1"/>
  <c r="BH21" i="1" s="1"/>
  <c r="BS21" i="1" s="1"/>
  <c r="CN21" i="1" s="1"/>
  <c r="AJ21" i="1"/>
  <c r="BE21" i="1" s="1"/>
  <c r="AN21" i="1"/>
  <c r="AO21" i="1"/>
  <c r="AP21" i="1"/>
  <c r="BB21" i="1"/>
  <c r="BI21" i="1"/>
  <c r="BO21" i="1"/>
  <c r="CA21" i="1"/>
  <c r="CB21" i="1"/>
  <c r="CC21" i="1"/>
  <c r="CE21" i="1"/>
  <c r="CO21" i="1"/>
  <c r="F22" i="1"/>
  <c r="A22" i="1" s="1"/>
  <c r="O22" i="1"/>
  <c r="P22" i="1"/>
  <c r="Q22" i="1"/>
  <c r="R22" i="1"/>
  <c r="S22" i="1" s="1"/>
  <c r="U22" i="1"/>
  <c r="V22" i="1"/>
  <c r="W22" i="1"/>
  <c r="DD22" i="1" s="1"/>
  <c r="AJ22" i="1"/>
  <c r="AN22" i="1"/>
  <c r="BM22" i="1" s="1"/>
  <c r="AP22" i="1"/>
  <c r="BB22" i="1"/>
  <c r="BE22" i="1"/>
  <c r="BH22" i="1"/>
  <c r="BI22" i="1"/>
  <c r="BJ22" i="1"/>
  <c r="BN22" i="1"/>
  <c r="BO22" i="1"/>
  <c r="BQ22" i="1"/>
  <c r="CI22" i="1" s="1"/>
  <c r="BW22" i="1"/>
  <c r="BY22" i="1" s="1"/>
  <c r="DE22" i="1"/>
  <c r="DF22" i="1" s="1"/>
  <c r="DG22" i="1" s="1"/>
  <c r="A23" i="1"/>
  <c r="F23" i="1"/>
  <c r="R23" i="1"/>
  <c r="S23" i="1" s="1"/>
  <c r="U23" i="1"/>
  <c r="V23" i="1"/>
  <c r="W23" i="1"/>
  <c r="DE23" i="1" s="1"/>
  <c r="AJ23" i="1"/>
  <c r="BE23" i="1" s="1"/>
  <c r="AN23" i="1"/>
  <c r="AO23" i="1"/>
  <c r="AP23" i="1"/>
  <c r="BB23" i="1"/>
  <c r="BH23" i="1"/>
  <c r="BI23" i="1"/>
  <c r="BJ23" i="1"/>
  <c r="BQ23" i="1" s="1"/>
  <c r="BM23" i="1"/>
  <c r="BN23" i="1"/>
  <c r="BO23" i="1"/>
  <c r="BU23" i="1"/>
  <c r="DD23" i="1"/>
  <c r="DF23" i="1"/>
  <c r="DG23" i="1" s="1"/>
  <c r="A24" i="1"/>
  <c r="F24" i="1"/>
  <c r="R24" i="1"/>
  <c r="S24" i="1"/>
  <c r="U24" i="1"/>
  <c r="V24" i="1"/>
  <c r="W24" i="1"/>
  <c r="AJ24" i="1"/>
  <c r="BE24" i="1" s="1"/>
  <c r="AN24" i="1"/>
  <c r="AP24" i="1"/>
  <c r="BB24" i="1"/>
  <c r="BH24" i="1"/>
  <c r="BI24" i="1"/>
  <c r="BJ24" i="1"/>
  <c r="BQ24" i="1" s="1"/>
  <c r="CJ24" i="1" s="1"/>
  <c r="BO24" i="1"/>
  <c r="BR24" i="1"/>
  <c r="BS24" i="1" s="1"/>
  <c r="CN24" i="1" s="1"/>
  <c r="CO24" i="1" s="1"/>
  <c r="BU24" i="1"/>
  <c r="BW24" i="1" s="1"/>
  <c r="CE24" i="1"/>
  <c r="CL24" i="1" s="1"/>
  <c r="CI24" i="1"/>
  <c r="CQ24" i="1"/>
  <c r="DD24" i="1"/>
  <c r="DE24" i="1"/>
  <c r="DF24" i="1" s="1"/>
  <c r="DG24" i="1"/>
  <c r="F25" i="1"/>
  <c r="A25" i="1" s="1"/>
  <c r="P25" i="1"/>
  <c r="O25" i="1" s="1"/>
  <c r="Q25" i="1"/>
  <c r="R25" i="1"/>
  <c r="S25" i="1" s="1"/>
  <c r="U25" i="1"/>
  <c r="V25" i="1"/>
  <c r="W25" i="1"/>
  <c r="AJ25" i="1"/>
  <c r="AN25" i="1"/>
  <c r="AO25" i="1" s="1"/>
  <c r="AP25" i="1"/>
  <c r="BB25" i="1"/>
  <c r="BE25" i="1"/>
  <c r="BH25" i="1"/>
  <c r="BS25" i="1" s="1"/>
  <c r="CN25" i="1" s="1"/>
  <c r="CO25" i="1" s="1"/>
  <c r="BI25" i="1"/>
  <c r="BO25" i="1"/>
  <c r="CA25" i="1"/>
  <c r="CB25" i="1"/>
  <c r="CC25" i="1"/>
  <c r="CE25" i="1"/>
  <c r="CL25" i="1" s="1"/>
  <c r="CG25" i="1"/>
  <c r="CH25" i="1"/>
  <c r="DD25" i="1" s="1"/>
  <c r="CQ25" i="1"/>
  <c r="A26" i="1"/>
  <c r="F26" i="1"/>
  <c r="R26" i="1"/>
  <c r="S26" i="1" s="1"/>
  <c r="U26" i="1"/>
  <c r="V26" i="1"/>
  <c r="W26" i="1"/>
  <c r="AJ26" i="1"/>
  <c r="AN26" i="1"/>
  <c r="AO26" i="1"/>
  <c r="AP26" i="1"/>
  <c r="BB26" i="1"/>
  <c r="BE26" i="1"/>
  <c r="BH26" i="1"/>
  <c r="BS26" i="1" s="1"/>
  <c r="CN26" i="1" s="1"/>
  <c r="BI26" i="1"/>
  <c r="BO26" i="1"/>
  <c r="CA26" i="1"/>
  <c r="CB26" i="1"/>
  <c r="CC26" i="1"/>
  <c r="CE26" i="1"/>
  <c r="CL26" i="1" s="1"/>
  <c r="CG26" i="1"/>
  <c r="CH26" i="1" s="1"/>
  <c r="CO26" i="1"/>
  <c r="F27" i="1"/>
  <c r="A27" i="1" s="1"/>
  <c r="R27" i="1"/>
  <c r="S27" i="1"/>
  <c r="U27" i="1"/>
  <c r="V27" i="1"/>
  <c r="W27" i="1"/>
  <c r="AJ27" i="1"/>
  <c r="AN27" i="1"/>
  <c r="AO27" i="1" s="1"/>
  <c r="AP27" i="1"/>
  <c r="BB27" i="1"/>
  <c r="BE27" i="1"/>
  <c r="BH27" i="1"/>
  <c r="BS27" i="1" s="1"/>
  <c r="CN27" i="1" s="1"/>
  <c r="CO27" i="1" s="1"/>
  <c r="BI27" i="1"/>
  <c r="BO27" i="1"/>
  <c r="CA27" i="1"/>
  <c r="CB27" i="1"/>
  <c r="CC27" i="1"/>
  <c r="CE27" i="1"/>
  <c r="CL27" i="1" s="1"/>
  <c r="CG27" i="1"/>
  <c r="CH27" i="1"/>
  <c r="DE27" i="1" s="1"/>
  <c r="DF27" i="1" s="1"/>
  <c r="DG27" i="1" s="1"/>
  <c r="E28" i="1"/>
  <c r="F28" i="1" s="1"/>
  <c r="A28" i="1" s="1"/>
  <c r="O28" i="1"/>
  <c r="P28" i="1"/>
  <c r="Q28" i="1"/>
  <c r="R28" i="1"/>
  <c r="S28" i="1" s="1"/>
  <c r="T28" i="1"/>
  <c r="U28" i="1"/>
  <c r="W28" i="1"/>
  <c r="AD28" i="1"/>
  <c r="AJ28" i="1"/>
  <c r="AN28" i="1"/>
  <c r="AO28" i="1" s="1"/>
  <c r="AP28" i="1"/>
  <c r="BB28" i="1"/>
  <c r="BE28" i="1"/>
  <c r="BH28" i="1"/>
  <c r="BI28" i="1"/>
  <c r="BJ28" i="1"/>
  <c r="BM28" i="1"/>
  <c r="BN28" i="1" s="1"/>
  <c r="BQ28" i="1"/>
  <c r="CG28" i="1"/>
  <c r="CH28" i="1" s="1"/>
  <c r="CI28" i="1"/>
  <c r="CJ28" i="1"/>
  <c r="E29" i="1"/>
  <c r="F29" i="1" s="1"/>
  <c r="A29" i="1" s="1"/>
  <c r="R29" i="1"/>
  <c r="S29" i="1" s="1"/>
  <c r="T29" i="1"/>
  <c r="U29" i="1"/>
  <c r="V29" i="1"/>
  <c r="W29" i="1"/>
  <c r="BR29" i="1" s="1"/>
  <c r="Y29" i="1"/>
  <c r="BI29" i="1" s="1"/>
  <c r="AJ29" i="1"/>
  <c r="BE29" i="1" s="1"/>
  <c r="AN29" i="1"/>
  <c r="AP29" i="1"/>
  <c r="BB29" i="1"/>
  <c r="BH29" i="1"/>
  <c r="BJ29" i="1"/>
  <c r="BQ29" i="1" s="1"/>
  <c r="BT29" i="1"/>
  <c r="BU29" i="1"/>
  <c r="CG29" i="1"/>
  <c r="CH29" i="1" s="1"/>
  <c r="DD29" i="1" s="1"/>
  <c r="DE29" i="1"/>
  <c r="DF29" i="1"/>
  <c r="DG29" i="1" s="1"/>
  <c r="E30" i="1"/>
  <c r="V30" i="1" s="1"/>
  <c r="F30" i="1"/>
  <c r="A30" i="1" s="1"/>
  <c r="R30" i="1"/>
  <c r="S30" i="1" s="1"/>
  <c r="T30" i="1"/>
  <c r="U30" i="1"/>
  <c r="W30" i="1"/>
  <c r="BR30" i="1" s="1"/>
  <c r="BZ30" i="1" s="1"/>
  <c r="Y30" i="1"/>
  <c r="AJ30" i="1"/>
  <c r="AN30" i="1"/>
  <c r="AP30" i="1"/>
  <c r="AO30" i="1" s="1"/>
  <c r="BB30" i="1"/>
  <c r="BE30" i="1"/>
  <c r="BH30" i="1"/>
  <c r="BI30" i="1"/>
  <c r="BJ30" i="1"/>
  <c r="BM30" i="1"/>
  <c r="BN30" i="1" s="1"/>
  <c r="BQ30" i="1"/>
  <c r="CJ30" i="1" s="1"/>
  <c r="BT30" i="1"/>
  <c r="BX30" i="1"/>
  <c r="BO30" i="1" s="1"/>
  <c r="CE30" i="1"/>
  <c r="CL30" i="1" s="1"/>
  <c r="CG30" i="1"/>
  <c r="CH30" i="1" s="1"/>
  <c r="DE30" i="1" s="1"/>
  <c r="DF30" i="1" s="1"/>
  <c r="CI30" i="1"/>
  <c r="CK30" i="1"/>
  <c r="DD30" i="1"/>
  <c r="DG30" i="1"/>
  <c r="A31" i="1"/>
  <c r="E31" i="1"/>
  <c r="F31" i="1"/>
  <c r="P31" i="1"/>
  <c r="Q31" i="1"/>
  <c r="R31" i="1"/>
  <c r="S31" i="1"/>
  <c r="T31" i="1"/>
  <c r="U31" i="1"/>
  <c r="V31" i="1"/>
  <c r="W31" i="1"/>
  <c r="AD31" i="1"/>
  <c r="AJ31" i="1"/>
  <c r="AN31" i="1"/>
  <c r="AP31" i="1"/>
  <c r="AO31" i="1" s="1"/>
  <c r="BB31" i="1"/>
  <c r="BE31" i="1"/>
  <c r="BH31" i="1"/>
  <c r="BI31" i="1"/>
  <c r="BJ31" i="1"/>
  <c r="BK31" i="1" s="1"/>
  <c r="BM31" i="1"/>
  <c r="BN31" i="1" s="1"/>
  <c r="BQ31" i="1"/>
  <c r="CE31" i="1" s="1"/>
  <c r="CL31" i="1" s="1"/>
  <c r="BR31" i="1"/>
  <c r="BT31" i="1"/>
  <c r="BW31" i="1"/>
  <c r="BY31" i="1" s="1"/>
  <c r="BX31" i="1"/>
  <c r="BO31" i="1" s="1"/>
  <c r="CG31" i="1"/>
  <c r="CH31" i="1" s="1"/>
  <c r="DD31" i="1" s="1"/>
  <c r="CI31" i="1"/>
  <c r="CJ31" i="1"/>
  <c r="DE31" i="1"/>
  <c r="DF31" i="1" s="1"/>
  <c r="DG31" i="1" s="1"/>
  <c r="E32" i="1"/>
  <c r="R32" i="1"/>
  <c r="S32" i="1" s="1"/>
  <c r="T32" i="1"/>
  <c r="U32" i="1"/>
  <c r="AJ32" i="1"/>
  <c r="AN32" i="1"/>
  <c r="AP32" i="1"/>
  <c r="BB32" i="1"/>
  <c r="BE32" i="1"/>
  <c r="BH32" i="1"/>
  <c r="BI32" i="1"/>
  <c r="BJ32" i="1"/>
  <c r="BQ32" i="1"/>
  <c r="BT32" i="1"/>
  <c r="BU32" i="1"/>
  <c r="BX32" i="1"/>
  <c r="CG32" i="1"/>
  <c r="CI32" i="1"/>
  <c r="CJ32" i="1"/>
  <c r="CK32" i="1"/>
  <c r="A33" i="1"/>
  <c r="E33" i="1"/>
  <c r="F33" i="1" s="1"/>
  <c r="R33" i="1"/>
  <c r="S33" i="1" s="1"/>
  <c r="T33" i="1"/>
  <c r="U33" i="1"/>
  <c r="V33" i="1"/>
  <c r="W33" i="1"/>
  <c r="AJ33" i="1"/>
  <c r="AN33" i="1"/>
  <c r="AO33" i="1"/>
  <c r="AP33" i="1"/>
  <c r="BB33" i="1"/>
  <c r="BE33" i="1"/>
  <c r="BH33" i="1"/>
  <c r="BI33" i="1"/>
  <c r="BJ33" i="1"/>
  <c r="BM33" i="1"/>
  <c r="BN33" i="1" s="1"/>
  <c r="BQ33" i="1"/>
  <c r="BX33" i="1" s="1"/>
  <c r="BO33" i="1" s="1"/>
  <c r="BR33" i="1"/>
  <c r="BT33" i="1"/>
  <c r="CE33" i="1"/>
  <c r="CI33" i="1"/>
  <c r="CJ33" i="1"/>
  <c r="E34" i="1"/>
  <c r="O34" i="1"/>
  <c r="P34" i="1"/>
  <c r="Q34" i="1"/>
  <c r="R34" i="1"/>
  <c r="S34" i="1" s="1"/>
  <c r="T34" i="1"/>
  <c r="U34" i="1"/>
  <c r="V34" i="1"/>
  <c r="AD34" i="1"/>
  <c r="AJ34" i="1"/>
  <c r="AN34" i="1"/>
  <c r="AP34" i="1"/>
  <c r="BB34" i="1"/>
  <c r="BE34" i="1"/>
  <c r="BH34" i="1"/>
  <c r="BI34" i="1"/>
  <c r="BJ34" i="1"/>
  <c r="BQ34" i="1"/>
  <c r="BT34" i="1"/>
  <c r="CG34" i="1"/>
  <c r="CJ34" i="1"/>
  <c r="E35" i="1"/>
  <c r="F35" i="1"/>
  <c r="A35" i="1" s="1"/>
  <c r="R35" i="1"/>
  <c r="S35" i="1"/>
  <c r="T35" i="1"/>
  <c r="U35" i="1"/>
  <c r="V35" i="1"/>
  <c r="W35" i="1"/>
  <c r="AD35" i="1"/>
  <c r="AJ35" i="1"/>
  <c r="AN35" i="1"/>
  <c r="AO35" i="1"/>
  <c r="AP35" i="1"/>
  <c r="BB35" i="1"/>
  <c r="BE35" i="1"/>
  <c r="BH35" i="1"/>
  <c r="BI35" i="1"/>
  <c r="BJ35" i="1"/>
  <c r="BQ35" i="1" s="1"/>
  <c r="BM35" i="1"/>
  <c r="BN35" i="1"/>
  <c r="BR35" i="1"/>
  <c r="BS35" i="1" s="1"/>
  <c r="CN35" i="1" s="1"/>
  <c r="CO35" i="1" s="1"/>
  <c r="BT35" i="1"/>
  <c r="BU35" i="1"/>
  <c r="CG35" i="1"/>
  <c r="CH35" i="1"/>
  <c r="DE35" i="1" s="1"/>
  <c r="DF35" i="1" s="1"/>
  <c r="DD35" i="1"/>
  <c r="DG35" i="1"/>
  <c r="E36" i="1"/>
  <c r="F36" i="1"/>
  <c r="A36" i="1" s="1"/>
  <c r="R36" i="1"/>
  <c r="S36" i="1"/>
  <c r="T36" i="1"/>
  <c r="U36" i="1"/>
  <c r="V36" i="1"/>
  <c r="W36" i="1"/>
  <c r="AD36" i="1"/>
  <c r="AJ36" i="1"/>
  <c r="AN36" i="1"/>
  <c r="AO36" i="1"/>
  <c r="AP36" i="1"/>
  <c r="BB36" i="1"/>
  <c r="BE36" i="1"/>
  <c r="BH36" i="1"/>
  <c r="BI36" i="1"/>
  <c r="BJ36" i="1"/>
  <c r="BM36" i="1"/>
  <c r="BN36" i="1" s="1"/>
  <c r="BQ36" i="1"/>
  <c r="BT36" i="1"/>
  <c r="CG36" i="1"/>
  <c r="F37" i="1"/>
  <c r="A37" i="1" s="1"/>
  <c r="O37" i="1"/>
  <c r="P37" i="1"/>
  <c r="Q37" i="1"/>
  <c r="R37" i="1"/>
  <c r="S37" i="1" s="1"/>
  <c r="T37" i="1"/>
  <c r="U37" i="1"/>
  <c r="V37" i="1"/>
  <c r="W37" i="1"/>
  <c r="AJ37" i="1"/>
  <c r="BE37" i="1" s="1"/>
  <c r="AN37" i="1"/>
  <c r="AO37" i="1"/>
  <c r="AP37" i="1"/>
  <c r="BB37" i="1"/>
  <c r="BH37" i="1"/>
  <c r="BS37" i="1" s="1"/>
  <c r="CN37" i="1" s="1"/>
  <c r="CO37" i="1" s="1"/>
  <c r="CP37" i="1" s="1"/>
  <c r="BI37" i="1"/>
  <c r="BO37" i="1"/>
  <c r="BZ37" i="1"/>
  <c r="CE37" i="1"/>
  <c r="CH37" i="1"/>
  <c r="CL37" i="1"/>
  <c r="CU37" i="1"/>
  <c r="DD37" i="1"/>
  <c r="DE37" i="1"/>
  <c r="DF37" i="1" s="1"/>
  <c r="DG37" i="1"/>
  <c r="F38" i="1"/>
  <c r="A38" i="1" s="1"/>
  <c r="R38" i="1"/>
  <c r="S38" i="1"/>
  <c r="T38" i="1"/>
  <c r="U38" i="1"/>
  <c r="V38" i="1"/>
  <c r="W38" i="1"/>
  <c r="Y38" i="1"/>
  <c r="AJ38" i="1"/>
  <c r="BE38" i="1" s="1"/>
  <c r="AN38" i="1"/>
  <c r="AP38" i="1"/>
  <c r="AO38" i="1" s="1"/>
  <c r="BB38" i="1"/>
  <c r="BH38" i="1"/>
  <c r="BS38" i="1" s="1"/>
  <c r="CN38" i="1" s="1"/>
  <c r="CO38" i="1" s="1"/>
  <c r="BI38" i="1"/>
  <c r="BO38" i="1"/>
  <c r="BZ38" i="1"/>
  <c r="CC38" i="1" s="1"/>
  <c r="CA38" i="1"/>
  <c r="CB38" i="1"/>
  <c r="CE38" i="1"/>
  <c r="CL38" i="1" s="1"/>
  <c r="CG38" i="1"/>
  <c r="CH38" i="1"/>
  <c r="DE38" i="1" s="1"/>
  <c r="DF38" i="1" s="1"/>
  <c r="DG38" i="1" s="1"/>
  <c r="DD38" i="1"/>
  <c r="A39" i="1"/>
  <c r="F39" i="1"/>
  <c r="R39" i="1"/>
  <c r="S39" i="1" s="1"/>
  <c r="T39" i="1"/>
  <c r="U39" i="1"/>
  <c r="V39" i="1"/>
  <c r="W39" i="1"/>
  <c r="Y39" i="1"/>
  <c r="AJ39" i="1"/>
  <c r="AN39" i="1"/>
  <c r="AP39" i="1"/>
  <c r="BB39" i="1"/>
  <c r="BE39" i="1"/>
  <c r="BH39" i="1"/>
  <c r="BI39" i="1"/>
  <c r="BO39" i="1"/>
  <c r="BS39" i="1"/>
  <c r="CN39" i="1" s="1"/>
  <c r="BZ39" i="1"/>
  <c r="CA39" i="1"/>
  <c r="CB39" i="1"/>
  <c r="CC39" i="1"/>
  <c r="CE39" i="1"/>
  <c r="CG39" i="1"/>
  <c r="CH39" i="1" s="1"/>
  <c r="CO39" i="1"/>
  <c r="F40" i="1"/>
  <c r="A40" i="1" s="1"/>
  <c r="O40" i="1"/>
  <c r="P40" i="1"/>
  <c r="Q40" i="1"/>
  <c r="R40" i="1"/>
  <c r="S40" i="1" s="1"/>
  <c r="T40" i="1"/>
  <c r="U40" i="1"/>
  <c r="V40" i="1"/>
  <c r="W40" i="1"/>
  <c r="AJ40" i="1"/>
  <c r="BE40" i="1" s="1"/>
  <c r="AN40" i="1"/>
  <c r="BM40" i="1" s="1"/>
  <c r="AO40" i="1"/>
  <c r="AP40" i="1"/>
  <c r="BB40" i="1"/>
  <c r="BH40" i="1"/>
  <c r="BI40" i="1"/>
  <c r="BJ40" i="1"/>
  <c r="BQ40" i="1" s="1"/>
  <c r="BN40" i="1"/>
  <c r="A41" i="1"/>
  <c r="F41" i="1"/>
  <c r="R41" i="1"/>
  <c r="S41" i="1" s="1"/>
  <c r="T41" i="1"/>
  <c r="U41" i="1"/>
  <c r="V41" i="1"/>
  <c r="W41" i="1"/>
  <c r="BR41" i="1" s="1"/>
  <c r="BZ41" i="1" s="1"/>
  <c r="Y41" i="1"/>
  <c r="AJ41" i="1"/>
  <c r="AN41" i="1"/>
  <c r="AP41" i="1"/>
  <c r="BB41" i="1"/>
  <c r="BE41" i="1"/>
  <c r="BJ41" i="1"/>
  <c r="BQ41" i="1"/>
  <c r="BU41" i="1"/>
  <c r="BU42" i="1" s="1"/>
  <c r="BW41" i="1"/>
  <c r="BY41" i="1"/>
  <c r="CB41" i="1"/>
  <c r="CG41" i="1"/>
  <c r="CI41" i="1"/>
  <c r="A42" i="1"/>
  <c r="F42" i="1"/>
  <c r="R42" i="1"/>
  <c r="S42" i="1" s="1"/>
  <c r="T42" i="1"/>
  <c r="U42" i="1"/>
  <c r="V42" i="1"/>
  <c r="W42" i="1"/>
  <c r="AJ42" i="1"/>
  <c r="AN42" i="1"/>
  <c r="AP42" i="1"/>
  <c r="BB42" i="1"/>
  <c r="BE42" i="1"/>
  <c r="BJ42" i="1"/>
  <c r="BQ42" i="1"/>
  <c r="BR42" i="1"/>
  <c r="BZ42" i="1"/>
  <c r="E43" i="1"/>
  <c r="W43" i="1" s="1"/>
  <c r="F43" i="1"/>
  <c r="A43" i="1" s="1"/>
  <c r="O43" i="1"/>
  <c r="P43" i="1"/>
  <c r="Q43" i="1"/>
  <c r="R43" i="1"/>
  <c r="S43" i="1"/>
  <c r="T43" i="1"/>
  <c r="U43" i="1"/>
  <c r="V43" i="1"/>
  <c r="AD43" i="1"/>
  <c r="AJ43" i="1"/>
  <c r="AN43" i="1"/>
  <c r="AO43" i="1"/>
  <c r="AP43" i="1"/>
  <c r="BB43" i="1"/>
  <c r="BE43" i="1"/>
  <c r="BH43" i="1"/>
  <c r="BI43" i="1"/>
  <c r="BJ43" i="1"/>
  <c r="BM43" i="1"/>
  <c r="BN43" i="1"/>
  <c r="BQ43" i="1"/>
  <c r="CJ43" i="1" s="1"/>
  <c r="CI43" i="1"/>
  <c r="E44" i="1"/>
  <c r="R44" i="1"/>
  <c r="S44" i="1"/>
  <c r="T44" i="1"/>
  <c r="U44" i="1"/>
  <c r="Y44" i="1"/>
  <c r="AD44" i="1"/>
  <c r="AJ44" i="1"/>
  <c r="BE44" i="1" s="1"/>
  <c r="AN44" i="1"/>
  <c r="AP44" i="1"/>
  <c r="BB44" i="1"/>
  <c r="BJ44" i="1"/>
  <c r="BQ44" i="1" s="1"/>
  <c r="BT44" i="1"/>
  <c r="BU44" i="1"/>
  <c r="BX44" i="1"/>
  <c r="CG44" i="1"/>
  <c r="E45" i="1"/>
  <c r="R45" i="1"/>
  <c r="S45" i="1"/>
  <c r="T45" i="1"/>
  <c r="U45" i="1"/>
  <c r="Y45" i="1"/>
  <c r="AD45" i="1"/>
  <c r="AJ45" i="1"/>
  <c r="AN45" i="1"/>
  <c r="AP45" i="1"/>
  <c r="BB45" i="1"/>
  <c r="BE45" i="1"/>
  <c r="BJ45" i="1"/>
  <c r="BQ45" i="1"/>
  <c r="BT45" i="1"/>
  <c r="CG45" i="1"/>
  <c r="CI45" i="1"/>
  <c r="CJ45" i="1"/>
  <c r="E46" i="1"/>
  <c r="F46" i="1"/>
  <c r="A46" i="1" s="1"/>
  <c r="O46" i="1"/>
  <c r="P46" i="1"/>
  <c r="Q46" i="1"/>
  <c r="R46" i="1"/>
  <c r="S46" i="1"/>
  <c r="T46" i="1"/>
  <c r="U46" i="1"/>
  <c r="V46" i="1"/>
  <c r="W46" i="1"/>
  <c r="AD46" i="1"/>
  <c r="AJ46" i="1"/>
  <c r="AN46" i="1"/>
  <c r="AP46" i="1"/>
  <c r="AO46" i="1" s="1"/>
  <c r="BB46" i="1"/>
  <c r="BE46" i="1"/>
  <c r="BH46" i="1"/>
  <c r="BI46" i="1"/>
  <c r="BJ46" i="1"/>
  <c r="BM46" i="1"/>
  <c r="BN46" i="1"/>
  <c r="BQ46" i="1"/>
  <c r="BT46" i="1"/>
  <c r="BX46" i="1"/>
  <c r="BO46" i="1" s="1"/>
  <c r="CI46" i="1"/>
  <c r="CJ46" i="1"/>
  <c r="E47" i="1"/>
  <c r="V47" i="1" s="1"/>
  <c r="F47" i="1"/>
  <c r="A47" i="1" s="1"/>
  <c r="R47" i="1"/>
  <c r="S47" i="1"/>
  <c r="T47" i="1"/>
  <c r="U47" i="1"/>
  <c r="Y47" i="1"/>
  <c r="AD47" i="1"/>
  <c r="AJ47" i="1"/>
  <c r="BE47" i="1" s="1"/>
  <c r="AN47" i="1"/>
  <c r="AO47" i="1"/>
  <c r="AP47" i="1"/>
  <c r="BB47" i="1"/>
  <c r="BH47" i="1"/>
  <c r="BI47" i="1"/>
  <c r="BJ47" i="1"/>
  <c r="BM47" i="1"/>
  <c r="BN47" i="1" s="1"/>
  <c r="BQ47" i="1"/>
  <c r="BT47" i="1"/>
  <c r="BU47" i="1"/>
  <c r="CG47" i="1"/>
  <c r="E48" i="1"/>
  <c r="R48" i="1"/>
  <c r="S48" i="1"/>
  <c r="T48" i="1"/>
  <c r="U48" i="1"/>
  <c r="W48" i="1"/>
  <c r="BR48" i="1" s="1"/>
  <c r="Y48" i="1"/>
  <c r="AD48" i="1"/>
  <c r="AJ48" i="1"/>
  <c r="AN48" i="1"/>
  <c r="AP48" i="1"/>
  <c r="BB48" i="1"/>
  <c r="BE48" i="1"/>
  <c r="BH48" i="1"/>
  <c r="BI48" i="1"/>
  <c r="BJ48" i="1"/>
  <c r="BQ48" i="1"/>
  <c r="BT48" i="1"/>
  <c r="BU48" i="1"/>
  <c r="CG48" i="1"/>
  <c r="CI48" i="1"/>
  <c r="CK48" i="1"/>
  <c r="A49" i="1"/>
  <c r="E49" i="1"/>
  <c r="F49" i="1"/>
  <c r="P49" i="1"/>
  <c r="O49" i="1" s="1"/>
  <c r="Q49" i="1"/>
  <c r="R49" i="1"/>
  <c r="S49" i="1" s="1"/>
  <c r="T49" i="1"/>
  <c r="U49" i="1"/>
  <c r="V49" i="1"/>
  <c r="W49" i="1"/>
  <c r="AD49" i="1"/>
  <c r="AJ49" i="1"/>
  <c r="BE49" i="1" s="1"/>
  <c r="AN49" i="1"/>
  <c r="AP49" i="1"/>
  <c r="BB49" i="1"/>
  <c r="BH49" i="1"/>
  <c r="BI49" i="1"/>
  <c r="BJ49" i="1"/>
  <c r="BK49" i="1"/>
  <c r="BQ49" i="1"/>
  <c r="BR49" i="1"/>
  <c r="BS49" i="1"/>
  <c r="BT49" i="1"/>
  <c r="BZ49" i="1"/>
  <c r="BL49" i="1" s="1"/>
  <c r="CB49" i="1"/>
  <c r="CC49" i="1"/>
  <c r="CH49" i="1"/>
  <c r="CN49" i="1"/>
  <c r="CO49" i="1" s="1"/>
  <c r="DD49" i="1"/>
  <c r="DE49" i="1"/>
  <c r="DF49" i="1" s="1"/>
  <c r="DG49" i="1" s="1"/>
  <c r="E50" i="1"/>
  <c r="F50" i="1"/>
  <c r="A50" i="1" s="1"/>
  <c r="R50" i="1"/>
  <c r="S50" i="1"/>
  <c r="T50" i="1"/>
  <c r="U50" i="1"/>
  <c r="V50" i="1"/>
  <c r="W50" i="1"/>
  <c r="BR50" i="1" s="1"/>
  <c r="Y50" i="1"/>
  <c r="AD50" i="1"/>
  <c r="AJ50" i="1"/>
  <c r="AN50" i="1"/>
  <c r="AO50" i="1"/>
  <c r="AP50" i="1"/>
  <c r="BB50" i="1"/>
  <c r="BE50" i="1"/>
  <c r="BH50" i="1"/>
  <c r="BI50" i="1"/>
  <c r="BJ50" i="1"/>
  <c r="BM50" i="1"/>
  <c r="BN50" i="1" s="1"/>
  <c r="BQ50" i="1"/>
  <c r="BS50" i="1"/>
  <c r="CN50" i="1" s="1"/>
  <c r="BT50" i="1"/>
  <c r="BU50" i="1"/>
  <c r="BW50" i="1" s="1"/>
  <c r="BX50" i="1"/>
  <c r="BZ50" i="1"/>
  <c r="CG50" i="1"/>
  <c r="CG51" i="1" s="1"/>
  <c r="CH50" i="1"/>
  <c r="DD50" i="1" s="1"/>
  <c r="CI50" i="1"/>
  <c r="CJ50" i="1"/>
  <c r="CO50" i="1"/>
  <c r="CU50" i="1"/>
  <c r="A51" i="1"/>
  <c r="E51" i="1"/>
  <c r="F51" i="1" s="1"/>
  <c r="R51" i="1"/>
  <c r="S51" i="1" s="1"/>
  <c r="T51" i="1"/>
  <c r="U51" i="1"/>
  <c r="V51" i="1"/>
  <c r="W51" i="1"/>
  <c r="BR51" i="1" s="1"/>
  <c r="Y51" i="1"/>
  <c r="AD51" i="1"/>
  <c r="AJ51" i="1"/>
  <c r="AN51" i="1"/>
  <c r="AO51" i="1"/>
  <c r="AP51" i="1"/>
  <c r="BB51" i="1"/>
  <c r="BE51" i="1"/>
  <c r="BH51" i="1"/>
  <c r="BI51" i="1"/>
  <c r="BJ51" i="1"/>
  <c r="BM51" i="1"/>
  <c r="BN51" i="1" s="1"/>
  <c r="BQ51" i="1"/>
  <c r="BT51" i="1"/>
  <c r="CH51" i="1"/>
  <c r="CI51" i="1"/>
  <c r="CK51" i="1"/>
  <c r="E52" i="1"/>
  <c r="W52" i="1" s="1"/>
  <c r="F52" i="1"/>
  <c r="A52" i="1" s="1"/>
  <c r="P52" i="1"/>
  <c r="O52" i="1" s="1"/>
  <c r="Q52" i="1"/>
  <c r="R52" i="1"/>
  <c r="S52" i="1"/>
  <c r="T52" i="1"/>
  <c r="U52" i="1"/>
  <c r="V52" i="1"/>
  <c r="AD52" i="1"/>
  <c r="AJ52" i="1"/>
  <c r="AN52" i="1"/>
  <c r="BM52" i="1" s="1"/>
  <c r="AO52" i="1"/>
  <c r="AP52" i="1"/>
  <c r="BB52" i="1"/>
  <c r="BE52" i="1"/>
  <c r="BH52" i="1"/>
  <c r="BI52" i="1"/>
  <c r="BJ52" i="1"/>
  <c r="BN52" i="1"/>
  <c r="E53" i="1"/>
  <c r="R53" i="1"/>
  <c r="S53" i="1"/>
  <c r="T53" i="1"/>
  <c r="U53" i="1"/>
  <c r="Y53" i="1"/>
  <c r="AD53" i="1"/>
  <c r="AJ53" i="1"/>
  <c r="BE53" i="1" s="1"/>
  <c r="AN53" i="1"/>
  <c r="BM53" i="1" s="1"/>
  <c r="AP53" i="1"/>
  <c r="BB53" i="1"/>
  <c r="BJ53" i="1"/>
  <c r="BQ53" i="1" s="1"/>
  <c r="BN53" i="1"/>
  <c r="BT53" i="1"/>
  <c r="BU53" i="1"/>
  <c r="BW53" i="1"/>
  <c r="BY53" i="1" s="1"/>
  <c r="CD53" i="1"/>
  <c r="CG53" i="1"/>
  <c r="E54" i="1"/>
  <c r="F54" i="1" s="1"/>
  <c r="A54" i="1" s="1"/>
  <c r="R54" i="1"/>
  <c r="S54" i="1" s="1"/>
  <c r="T54" i="1"/>
  <c r="U54" i="1"/>
  <c r="V54" i="1"/>
  <c r="AD54" i="1"/>
  <c r="AJ54" i="1"/>
  <c r="BE54" i="1" s="1"/>
  <c r="AN54" i="1"/>
  <c r="BM54" i="1" s="1"/>
  <c r="BN54" i="1" s="1"/>
  <c r="AP54" i="1"/>
  <c r="BB54" i="1"/>
  <c r="BJ54" i="1"/>
  <c r="BQ54" i="1" s="1"/>
  <c r="BX54" i="1" s="1"/>
  <c r="BO54" i="1" s="1"/>
  <c r="BT54" i="1"/>
  <c r="BU54" i="1"/>
  <c r="BW54" i="1"/>
  <c r="BY54" i="1"/>
  <c r="CE54" i="1"/>
  <c r="CL54" i="1" s="1"/>
  <c r="CG54" i="1"/>
  <c r="CJ54" i="1"/>
  <c r="E55" i="1"/>
  <c r="O55" i="1"/>
  <c r="P55" i="1"/>
  <c r="Q55" i="1"/>
  <c r="R55" i="1"/>
  <c r="S55" i="1"/>
  <c r="T55" i="1"/>
  <c r="U55" i="1"/>
  <c r="W55" i="1"/>
  <c r="BK55" i="1" s="1"/>
  <c r="AJ55" i="1"/>
  <c r="AN55" i="1"/>
  <c r="AP55" i="1"/>
  <c r="AO55" i="1" s="1"/>
  <c r="BB55" i="1"/>
  <c r="BE55" i="1"/>
  <c r="BH55" i="1"/>
  <c r="BI55" i="1"/>
  <c r="BJ55" i="1"/>
  <c r="BM55" i="1"/>
  <c r="BN55" i="1"/>
  <c r="BO55" i="1"/>
  <c r="BQ55" i="1"/>
  <c r="BR55" i="1"/>
  <c r="BT55" i="1"/>
  <c r="BW55" i="1"/>
  <c r="BY55" i="1" s="1"/>
  <c r="BX55" i="1"/>
  <c r="CE55" i="1" s="1"/>
  <c r="CL55" i="1" s="1"/>
  <c r="CI55" i="1"/>
  <c r="CJ55" i="1"/>
  <c r="A56" i="1"/>
  <c r="E56" i="1"/>
  <c r="V56" i="1" s="1"/>
  <c r="F56" i="1"/>
  <c r="R56" i="1"/>
  <c r="S56" i="1"/>
  <c r="T56" i="1"/>
  <c r="U56" i="1"/>
  <c r="W56" i="1"/>
  <c r="BR56" i="1" s="1"/>
  <c r="Y56" i="1"/>
  <c r="Y57" i="1" s="1"/>
  <c r="AJ56" i="1"/>
  <c r="BE56" i="1" s="1"/>
  <c r="AN56" i="1"/>
  <c r="AO56" i="1" s="1"/>
  <c r="AP56" i="1"/>
  <c r="BB56" i="1"/>
  <c r="BJ56" i="1"/>
  <c r="BQ56" i="1" s="1"/>
  <c r="BM56" i="1"/>
  <c r="BN56" i="1" s="1"/>
  <c r="BT56" i="1"/>
  <c r="BU56" i="1"/>
  <c r="BW56" i="1"/>
  <c r="CD56" i="1" s="1"/>
  <c r="CG56" i="1"/>
  <c r="E57" i="1"/>
  <c r="R57" i="1"/>
  <c r="S57" i="1"/>
  <c r="T57" i="1"/>
  <c r="U57" i="1"/>
  <c r="V57" i="1"/>
  <c r="AJ57" i="1"/>
  <c r="AN57" i="1"/>
  <c r="AP57" i="1"/>
  <c r="BB57" i="1"/>
  <c r="BE57" i="1"/>
  <c r="BJ57" i="1"/>
  <c r="BM57" i="1"/>
  <c r="BN57" i="1" s="1"/>
  <c r="BQ57" i="1"/>
  <c r="BT57" i="1"/>
  <c r="BU57" i="1"/>
  <c r="CG57" i="1"/>
  <c r="E58" i="1"/>
  <c r="W58" i="1" s="1"/>
  <c r="F58" i="1"/>
  <c r="A58" i="1" s="1"/>
  <c r="P58" i="1"/>
  <c r="O58" i="1" s="1"/>
  <c r="Q58" i="1"/>
  <c r="R58" i="1"/>
  <c r="S58" i="1" s="1"/>
  <c r="T58" i="1"/>
  <c r="U58" i="1"/>
  <c r="V58" i="1"/>
  <c r="AJ58" i="1"/>
  <c r="BE58" i="1" s="1"/>
  <c r="AN58" i="1"/>
  <c r="AP58" i="1"/>
  <c r="AO58" i="1" s="1"/>
  <c r="BB58" i="1"/>
  <c r="BH58" i="1"/>
  <c r="BI58" i="1"/>
  <c r="BJ58" i="1"/>
  <c r="BM58" i="1"/>
  <c r="BN58" i="1"/>
  <c r="CH58" i="1"/>
  <c r="DD58" i="1"/>
  <c r="DE58" i="1"/>
  <c r="DF58" i="1" s="1"/>
  <c r="DG58" i="1" s="1"/>
  <c r="E59" i="1"/>
  <c r="W59" i="1" s="1"/>
  <c r="BR59" i="1" s="1"/>
  <c r="F59" i="1"/>
  <c r="A59" i="1" s="1"/>
  <c r="R59" i="1"/>
  <c r="S59" i="1"/>
  <c r="T59" i="1"/>
  <c r="U59" i="1"/>
  <c r="V59" i="1"/>
  <c r="Y59" i="1"/>
  <c r="AJ59" i="1"/>
  <c r="BE59" i="1" s="1"/>
  <c r="AN59" i="1"/>
  <c r="AO59" i="1"/>
  <c r="AP59" i="1"/>
  <c r="BB59" i="1"/>
  <c r="BI59" i="1"/>
  <c r="BJ59" i="1"/>
  <c r="BM59" i="1"/>
  <c r="BN59" i="1" s="1"/>
  <c r="BQ59" i="1"/>
  <c r="BT59" i="1"/>
  <c r="BU59" i="1"/>
  <c r="BZ59" i="1"/>
  <c r="CB59" i="1"/>
  <c r="CC59" i="1"/>
  <c r="CG59" i="1"/>
  <c r="CH59" i="1" s="1"/>
  <c r="DD59" i="1" s="1"/>
  <c r="DE59" i="1"/>
  <c r="DF59" i="1"/>
  <c r="DG59" i="1" s="1"/>
  <c r="A60" i="1"/>
  <c r="E60" i="1"/>
  <c r="F60" i="1"/>
  <c r="R60" i="1"/>
  <c r="S60" i="1" s="1"/>
  <c r="T60" i="1"/>
  <c r="U60" i="1"/>
  <c r="V60" i="1"/>
  <c r="W60" i="1"/>
  <c r="AJ60" i="1"/>
  <c r="BE60" i="1" s="1"/>
  <c r="AN60" i="1"/>
  <c r="AP60" i="1"/>
  <c r="BB60" i="1"/>
  <c r="BJ60" i="1"/>
  <c r="BQ60" i="1" s="1"/>
  <c r="BO60" i="1"/>
  <c r="BT60" i="1"/>
  <c r="BU60" i="1"/>
  <c r="BX60" i="1"/>
  <c r="CG60" i="1"/>
  <c r="E61" i="1"/>
  <c r="O61" i="1"/>
  <c r="P61" i="1"/>
  <c r="Q61" i="1"/>
  <c r="R61" i="1"/>
  <c r="S61" i="1" s="1"/>
  <c r="T61" i="1"/>
  <c r="U61" i="1"/>
  <c r="W61" i="1"/>
  <c r="BR61" i="1" s="1"/>
  <c r="AJ61" i="1"/>
  <c r="AN61" i="1"/>
  <c r="BM61" i="1" s="1"/>
  <c r="BN61" i="1" s="1"/>
  <c r="AP61" i="1"/>
  <c r="BB61" i="1"/>
  <c r="BE61" i="1"/>
  <c r="BH61" i="1"/>
  <c r="BI61" i="1"/>
  <c r="BJ61" i="1"/>
  <c r="BQ61" i="1"/>
  <c r="BX61" i="1" s="1"/>
  <c r="BO61" i="1" s="1"/>
  <c r="BT61" i="1"/>
  <c r="BW61" i="1"/>
  <c r="BY61" i="1"/>
  <c r="CI61" i="1"/>
  <c r="CJ61" i="1"/>
  <c r="E62" i="1"/>
  <c r="R62" i="1"/>
  <c r="S62" i="1"/>
  <c r="T62" i="1"/>
  <c r="U62" i="1"/>
  <c r="W62" i="1"/>
  <c r="BR62" i="1" s="1"/>
  <c r="Y62" i="1"/>
  <c r="Y63" i="1" s="1"/>
  <c r="BI63" i="1" s="1"/>
  <c r="AJ62" i="1"/>
  <c r="AN62" i="1"/>
  <c r="AO62" i="1"/>
  <c r="AP62" i="1"/>
  <c r="BB62" i="1"/>
  <c r="BE62" i="1"/>
  <c r="BH62" i="1"/>
  <c r="BI62" i="1"/>
  <c r="BJ62" i="1"/>
  <c r="BM62" i="1"/>
  <c r="BN62" i="1" s="1"/>
  <c r="BO62" i="1"/>
  <c r="BQ62" i="1"/>
  <c r="BT62" i="1"/>
  <c r="BU62" i="1"/>
  <c r="BU63" i="1" s="1"/>
  <c r="BX62" i="1"/>
  <c r="CE62" i="1"/>
  <c r="CG62" i="1"/>
  <c r="CI62" i="1"/>
  <c r="CJ62" i="1"/>
  <c r="CK62" i="1"/>
  <c r="CL62" i="1"/>
  <c r="E63" i="1"/>
  <c r="F63" i="1"/>
  <c r="A63" i="1" s="1"/>
  <c r="R63" i="1"/>
  <c r="S63" i="1"/>
  <c r="T63" i="1"/>
  <c r="U63" i="1"/>
  <c r="V63" i="1"/>
  <c r="W63" i="1"/>
  <c r="AJ63" i="1"/>
  <c r="BE63" i="1" s="1"/>
  <c r="AN63" i="1"/>
  <c r="AP63" i="1"/>
  <c r="AO63" i="1" s="1"/>
  <c r="BB63" i="1"/>
  <c r="BH63" i="1"/>
  <c r="BJ63" i="1"/>
  <c r="BM63" i="1"/>
  <c r="BN63" i="1" s="1"/>
  <c r="BQ63" i="1"/>
  <c r="BR63" i="1"/>
  <c r="BT63" i="1"/>
  <c r="BX63" i="1"/>
  <c r="BO63" i="1" s="1"/>
  <c r="CG63" i="1"/>
  <c r="CH63" i="1" s="1"/>
  <c r="CI63" i="1"/>
  <c r="E64" i="1"/>
  <c r="F64" i="1"/>
  <c r="A64" i="1" s="1"/>
  <c r="O64" i="1"/>
  <c r="P64" i="1"/>
  <c r="Q64" i="1"/>
  <c r="R64" i="1"/>
  <c r="S64" i="1"/>
  <c r="T64" i="1"/>
  <c r="U64" i="1"/>
  <c r="V64" i="1"/>
  <c r="W64" i="1"/>
  <c r="AJ64" i="1"/>
  <c r="BE64" i="1" s="1"/>
  <c r="AN64" i="1"/>
  <c r="AP64" i="1"/>
  <c r="BB64" i="1"/>
  <c r="BH64" i="1"/>
  <c r="BI64" i="1"/>
  <c r="BJ64" i="1"/>
  <c r="BM64" i="1"/>
  <c r="BN64" i="1" s="1"/>
  <c r="BQ64" i="1"/>
  <c r="CI64" i="1" s="1"/>
  <c r="BR64" i="1"/>
  <c r="BT64" i="1"/>
  <c r="BX64" i="1"/>
  <c r="BO64" i="1" s="1"/>
  <c r="CH64" i="1"/>
  <c r="DD64" i="1" s="1"/>
  <c r="DE64" i="1"/>
  <c r="DF64" i="1" s="1"/>
  <c r="DG64" i="1" s="1"/>
  <c r="E65" i="1"/>
  <c r="F65" i="1"/>
  <c r="A65" i="1" s="1"/>
  <c r="R65" i="1"/>
  <c r="S65" i="1" s="1"/>
  <c r="T65" i="1"/>
  <c r="U65" i="1"/>
  <c r="V65" i="1"/>
  <c r="W65" i="1"/>
  <c r="CH65" i="1" s="1"/>
  <c r="DD65" i="1" s="1"/>
  <c r="Y65" i="1"/>
  <c r="AJ65" i="1"/>
  <c r="AN65" i="1"/>
  <c r="AP65" i="1"/>
  <c r="BB65" i="1"/>
  <c r="BE65" i="1"/>
  <c r="BH65" i="1"/>
  <c r="BI65" i="1"/>
  <c r="BJ65" i="1"/>
  <c r="BK64" i="1" s="1"/>
  <c r="BO65" i="1"/>
  <c r="BQ65" i="1"/>
  <c r="BR65" i="1"/>
  <c r="BS65" i="1" s="1"/>
  <c r="CN65" i="1" s="1"/>
  <c r="CO65" i="1" s="1"/>
  <c r="BT65" i="1"/>
  <c r="BU65" i="1"/>
  <c r="BX65" i="1"/>
  <c r="BZ65" i="1"/>
  <c r="CE65" i="1"/>
  <c r="CG65" i="1"/>
  <c r="CI65" i="1"/>
  <c r="CJ65" i="1"/>
  <c r="CL65" i="1"/>
  <c r="E66" i="1"/>
  <c r="W66" i="1" s="1"/>
  <c r="BR66" i="1" s="1"/>
  <c r="R66" i="1"/>
  <c r="S66" i="1"/>
  <c r="T66" i="1"/>
  <c r="U66" i="1"/>
  <c r="V66" i="1"/>
  <c r="Y66" i="1"/>
  <c r="BH66" i="1" s="1"/>
  <c r="AJ66" i="1"/>
  <c r="AN66" i="1"/>
  <c r="AO66" i="1"/>
  <c r="AP66" i="1"/>
  <c r="BB66" i="1"/>
  <c r="BE66" i="1"/>
  <c r="BI66" i="1"/>
  <c r="BJ66" i="1"/>
  <c r="BM66" i="1"/>
  <c r="BN66" i="1" s="1"/>
  <c r="BQ66" i="1"/>
  <c r="CJ66" i="1" s="1"/>
  <c r="BT66" i="1"/>
  <c r="BU66" i="1"/>
  <c r="BW66" i="1"/>
  <c r="BX66" i="1"/>
  <c r="BO66" i="1" s="1"/>
  <c r="CG66" i="1"/>
  <c r="CH66" i="1" s="1"/>
  <c r="CI66" i="1"/>
  <c r="A67" i="1"/>
  <c r="E67" i="1"/>
  <c r="W67" i="1" s="1"/>
  <c r="F67" i="1"/>
  <c r="P67" i="1"/>
  <c r="O67" i="1" s="1"/>
  <c r="Q67" i="1"/>
  <c r="R67" i="1"/>
  <c r="S67" i="1"/>
  <c r="T67" i="1"/>
  <c r="U67" i="1"/>
  <c r="V67" i="1"/>
  <c r="AJ67" i="1"/>
  <c r="BE67" i="1" s="1"/>
  <c r="AN67" i="1"/>
  <c r="AP67" i="1"/>
  <c r="AO67" i="1" s="1"/>
  <c r="BB67" i="1"/>
  <c r="BH67" i="1"/>
  <c r="BI67" i="1"/>
  <c r="BJ67" i="1"/>
  <c r="BM67" i="1"/>
  <c r="BN67" i="1" s="1"/>
  <c r="BQ67" i="1"/>
  <c r="CI67" i="1"/>
  <c r="CJ67" i="1"/>
  <c r="A68" i="1"/>
  <c r="E68" i="1"/>
  <c r="V68" i="1" s="1"/>
  <c r="F68" i="1"/>
  <c r="R68" i="1"/>
  <c r="S68" i="1" s="1"/>
  <c r="T68" i="1"/>
  <c r="U68" i="1"/>
  <c r="W68" i="1"/>
  <c r="Y68" i="1"/>
  <c r="Y69" i="1" s="1"/>
  <c r="BI69" i="1" s="1"/>
  <c r="AJ68" i="1"/>
  <c r="BE68" i="1" s="1"/>
  <c r="AN68" i="1"/>
  <c r="AO68" i="1"/>
  <c r="AP68" i="1"/>
  <c r="BB68" i="1"/>
  <c r="BH68" i="1"/>
  <c r="BI68" i="1"/>
  <c r="BJ68" i="1"/>
  <c r="BQ68" i="1" s="1"/>
  <c r="BL68" i="1"/>
  <c r="BM68" i="1"/>
  <c r="BN68" i="1" s="1"/>
  <c r="BR68" i="1"/>
  <c r="BS68" i="1" s="1"/>
  <c r="CN68" i="1" s="1"/>
  <c r="CO68" i="1" s="1"/>
  <c r="BU68" i="1"/>
  <c r="BZ68" i="1"/>
  <c r="CA68" i="1" s="1"/>
  <c r="CG68" i="1"/>
  <c r="A69" i="1"/>
  <c r="E69" i="1"/>
  <c r="F69" i="1"/>
  <c r="R69" i="1"/>
  <c r="S69" i="1"/>
  <c r="T69" i="1"/>
  <c r="U69" i="1"/>
  <c r="V69" i="1"/>
  <c r="W69" i="1"/>
  <c r="AJ69" i="1"/>
  <c r="AN69" i="1"/>
  <c r="AO69" i="1"/>
  <c r="AP69" i="1"/>
  <c r="BB69" i="1"/>
  <c r="BE69" i="1"/>
  <c r="BJ69" i="1"/>
  <c r="BM69" i="1"/>
  <c r="BN69" i="1" s="1"/>
  <c r="BQ69" i="1"/>
  <c r="BR69" i="1"/>
  <c r="BU69" i="1"/>
  <c r="CK69" i="1"/>
  <c r="E70" i="1"/>
  <c r="F70" i="1" s="1"/>
  <c r="A70" i="1" s="1"/>
  <c r="O70" i="1"/>
  <c r="P70" i="1"/>
  <c r="Q70" i="1"/>
  <c r="R70" i="1"/>
  <c r="S70" i="1" s="1"/>
  <c r="T70" i="1"/>
  <c r="U70" i="1"/>
  <c r="W70" i="1"/>
  <c r="CH70" i="1" s="1"/>
  <c r="AJ70" i="1"/>
  <c r="BE70" i="1" s="1"/>
  <c r="AN70" i="1"/>
  <c r="BM70" i="1" s="1"/>
  <c r="BN70" i="1" s="1"/>
  <c r="AO70" i="1"/>
  <c r="AP70" i="1"/>
  <c r="BB70" i="1"/>
  <c r="BH70" i="1"/>
  <c r="BI70" i="1"/>
  <c r="BJ70" i="1"/>
  <c r="A71" i="1"/>
  <c r="E71" i="1"/>
  <c r="F71" i="1"/>
  <c r="R71" i="1"/>
  <c r="S71" i="1"/>
  <c r="T71" i="1"/>
  <c r="U71" i="1"/>
  <c r="V71" i="1"/>
  <c r="W71" i="1"/>
  <c r="Y71" i="1"/>
  <c r="AJ71" i="1"/>
  <c r="AN71" i="1"/>
  <c r="AO71" i="1"/>
  <c r="AP71" i="1"/>
  <c r="BB71" i="1"/>
  <c r="BE71" i="1"/>
  <c r="BH71" i="1"/>
  <c r="BI71" i="1"/>
  <c r="BJ71" i="1"/>
  <c r="BM71" i="1"/>
  <c r="BN71" i="1" s="1"/>
  <c r="BQ71" i="1"/>
  <c r="BR71" i="1"/>
  <c r="BU71" i="1"/>
  <c r="CG71" i="1"/>
  <c r="CJ71" i="1"/>
  <c r="E72" i="1"/>
  <c r="V72" i="1" s="1"/>
  <c r="R72" i="1"/>
  <c r="S72" i="1"/>
  <c r="T72" i="1"/>
  <c r="U72" i="1"/>
  <c r="W72" i="1"/>
  <c r="Y72" i="1"/>
  <c r="AJ72" i="1"/>
  <c r="BE72" i="1" s="1"/>
  <c r="AN72" i="1"/>
  <c r="AO72" i="1" s="1"/>
  <c r="AP72" i="1"/>
  <c r="BB72" i="1"/>
  <c r="BH72" i="1"/>
  <c r="BI72" i="1"/>
  <c r="BJ72" i="1"/>
  <c r="BQ72" i="1" s="1"/>
  <c r="BL72" i="1"/>
  <c r="BM72" i="1"/>
  <c r="BN72" i="1" s="1"/>
  <c r="BR72" i="1"/>
  <c r="BZ72" i="1" s="1"/>
  <c r="CG72" i="1"/>
  <c r="CH72" i="1" s="1"/>
  <c r="A73" i="1"/>
  <c r="F73" i="1"/>
  <c r="O73" i="1"/>
  <c r="P73" i="1"/>
  <c r="Q73" i="1"/>
  <c r="R73" i="1"/>
  <c r="S73" i="1" s="1"/>
  <c r="T73" i="1"/>
  <c r="U73" i="1"/>
  <c r="V73" i="1"/>
  <c r="W73" i="1"/>
  <c r="CH73" i="1" s="1"/>
  <c r="AJ73" i="1"/>
  <c r="AN73" i="1"/>
  <c r="AO73" i="1" s="1"/>
  <c r="AP73" i="1"/>
  <c r="BB73" i="1"/>
  <c r="BE73" i="1"/>
  <c r="BH73" i="1"/>
  <c r="BI73" i="1"/>
  <c r="BJ73" i="1"/>
  <c r="BO73" i="1"/>
  <c r="BQ73" i="1"/>
  <c r="CE73" i="1" s="1"/>
  <c r="BR73" i="1"/>
  <c r="BS73" i="1" s="1"/>
  <c r="CN73" i="1" s="1"/>
  <c r="CO73" i="1" s="1"/>
  <c r="CU73" i="1" s="1"/>
  <c r="BW73" i="1"/>
  <c r="BY73" i="1" s="1"/>
  <c r="BX73" i="1"/>
  <c r="BZ73" i="1"/>
  <c r="CA73" i="1" s="1"/>
  <c r="CI73" i="1"/>
  <c r="CJ73" i="1"/>
  <c r="CL73" i="1"/>
  <c r="DD73" i="1"/>
  <c r="DE73" i="1"/>
  <c r="DF73" i="1" s="1"/>
  <c r="DG73" i="1" s="1"/>
  <c r="F74" i="1"/>
  <c r="A74" i="1" s="1"/>
  <c r="R74" i="1"/>
  <c r="S74" i="1" s="1"/>
  <c r="T74" i="1"/>
  <c r="U74" i="1"/>
  <c r="V74" i="1"/>
  <c r="W74" i="1"/>
  <c r="Y74" i="1"/>
  <c r="AJ74" i="1"/>
  <c r="BE74" i="1" s="1"/>
  <c r="AN74" i="1"/>
  <c r="AP74" i="1"/>
  <c r="BB74" i="1"/>
  <c r="BH74" i="1"/>
  <c r="BI74" i="1"/>
  <c r="BJ74" i="1"/>
  <c r="BQ74" i="1" s="1"/>
  <c r="BR74" i="1"/>
  <c r="BS74" i="1" s="1"/>
  <c r="CN74" i="1" s="1"/>
  <c r="CO74" i="1" s="1"/>
  <c r="BU74" i="1"/>
  <c r="BU75" i="1" s="1"/>
  <c r="BZ74" i="1"/>
  <c r="CG74" i="1"/>
  <c r="CH74" i="1" s="1"/>
  <c r="CI74" i="1"/>
  <c r="CJ74" i="1"/>
  <c r="A75" i="1"/>
  <c r="F75" i="1"/>
  <c r="R75" i="1"/>
  <c r="S75" i="1"/>
  <c r="T75" i="1"/>
  <c r="U75" i="1"/>
  <c r="V75" i="1"/>
  <c r="W75" i="1"/>
  <c r="BR75" i="1" s="1"/>
  <c r="Y75" i="1"/>
  <c r="AJ75" i="1"/>
  <c r="BE75" i="1" s="1"/>
  <c r="AN75" i="1"/>
  <c r="AO75" i="1"/>
  <c r="AP75" i="1"/>
  <c r="BB75" i="1"/>
  <c r="BH75" i="1"/>
  <c r="BI75" i="1"/>
  <c r="BJ75" i="1"/>
  <c r="BQ75" i="1" s="1"/>
  <c r="CE75" i="1" s="1"/>
  <c r="CL75" i="1" s="1"/>
  <c r="BM75" i="1"/>
  <c r="BN75" i="1" s="1"/>
  <c r="BX75" i="1"/>
  <c r="BO75" i="1" s="1"/>
  <c r="CG75" i="1"/>
  <c r="CH75" i="1" s="1"/>
  <c r="A76" i="1"/>
  <c r="F76" i="1"/>
  <c r="O76" i="1"/>
  <c r="P76" i="1"/>
  <c r="Q76" i="1"/>
  <c r="R76" i="1"/>
  <c r="S76" i="1" s="1"/>
  <c r="T76" i="1"/>
  <c r="U76" i="1"/>
  <c r="V76" i="1"/>
  <c r="W76" i="1"/>
  <c r="BK76" i="1" s="1"/>
  <c r="AJ76" i="1"/>
  <c r="AN76" i="1"/>
  <c r="AO76" i="1" s="1"/>
  <c r="AP76" i="1"/>
  <c r="BB76" i="1"/>
  <c r="BE76" i="1"/>
  <c r="BH76" i="1"/>
  <c r="BI76" i="1"/>
  <c r="BJ76" i="1"/>
  <c r="BO76" i="1"/>
  <c r="BQ76" i="1"/>
  <c r="BR76" i="1"/>
  <c r="BS76" i="1" s="1"/>
  <c r="BW76" i="1"/>
  <c r="BY76" i="1" s="1"/>
  <c r="CE76" i="1"/>
  <c r="CI76" i="1"/>
  <c r="CJ76" i="1"/>
  <c r="CL76" i="1"/>
  <c r="CN76" i="1"/>
  <c r="CO76" i="1" s="1"/>
  <c r="CU76" i="1" s="1"/>
  <c r="A77" i="1"/>
  <c r="F77" i="1"/>
  <c r="R77" i="1"/>
  <c r="S77" i="1" s="1"/>
  <c r="T77" i="1"/>
  <c r="U77" i="1"/>
  <c r="V77" i="1"/>
  <c r="W77" i="1"/>
  <c r="Y77" i="1"/>
  <c r="BH77" i="1" s="1"/>
  <c r="BS77" i="1" s="1"/>
  <c r="CN77" i="1" s="1"/>
  <c r="CO77" i="1" s="1"/>
  <c r="AJ77" i="1"/>
  <c r="AN77" i="1"/>
  <c r="AO77" i="1" s="1"/>
  <c r="AP77" i="1"/>
  <c r="BB77" i="1"/>
  <c r="BE77" i="1"/>
  <c r="BI77" i="1"/>
  <c r="BJ77" i="1"/>
  <c r="BQ77" i="1"/>
  <c r="CJ77" i="1" s="1"/>
  <c r="BR77" i="1"/>
  <c r="BU77" i="1"/>
  <c r="BZ77" i="1"/>
  <c r="CA77" i="1" s="1"/>
  <c r="CG77" i="1"/>
  <c r="CH77" i="1" s="1"/>
  <c r="DE77" i="1" s="1"/>
  <c r="DF77" i="1" s="1"/>
  <c r="DG77" i="1" s="1"/>
  <c r="DD77" i="1"/>
  <c r="A78" i="1"/>
  <c r="F78" i="1"/>
  <c r="R78" i="1"/>
  <c r="S78" i="1"/>
  <c r="T78" i="1"/>
  <c r="U78" i="1"/>
  <c r="V78" i="1"/>
  <c r="W78" i="1"/>
  <c r="AJ78" i="1"/>
  <c r="AN78" i="1"/>
  <c r="AO78" i="1"/>
  <c r="AP78" i="1"/>
  <c r="BB78" i="1"/>
  <c r="BE78" i="1"/>
  <c r="BJ78" i="1"/>
  <c r="BM78" i="1"/>
  <c r="BN78" i="1" s="1"/>
  <c r="BQ78" i="1"/>
  <c r="CI78" i="1" s="1"/>
  <c r="BR78" i="1"/>
  <c r="BU78" i="1"/>
  <c r="BX78" i="1"/>
  <c r="BO78" i="1" s="1"/>
  <c r="BZ78" i="1"/>
  <c r="CA78" i="1"/>
  <c r="CC78" i="1" s="1"/>
  <c r="CG78" i="1"/>
  <c r="CH78" i="1"/>
  <c r="CJ78" i="1"/>
  <c r="A79" i="1"/>
  <c r="F79" i="1"/>
  <c r="P79" i="1"/>
  <c r="O79" i="1" s="1"/>
  <c r="Q79" i="1"/>
  <c r="R79" i="1"/>
  <c r="S79" i="1" s="1"/>
  <c r="T79" i="1"/>
  <c r="U79" i="1"/>
  <c r="V79" i="1"/>
  <c r="W79" i="1"/>
  <c r="AJ79" i="1"/>
  <c r="AN79" i="1"/>
  <c r="AO79" i="1"/>
  <c r="AP79" i="1"/>
  <c r="BB79" i="1"/>
  <c r="BE79" i="1"/>
  <c r="BH79" i="1"/>
  <c r="BS79" i="1" s="1"/>
  <c r="BI79" i="1"/>
  <c r="BJ79" i="1"/>
  <c r="BK79" i="1" s="1"/>
  <c r="BM79" i="1"/>
  <c r="BN79" i="1" s="1"/>
  <c r="BQ79" i="1"/>
  <c r="BR79" i="1"/>
  <c r="BZ79" i="1" s="1"/>
  <c r="CA79" i="1"/>
  <c r="CH79" i="1"/>
  <c r="DD79" i="1" s="1"/>
  <c r="CN79" i="1"/>
  <c r="CO79" i="1" s="1"/>
  <c r="CU79" i="1"/>
  <c r="DE79" i="1"/>
  <c r="DF79" i="1"/>
  <c r="DG79" i="1" s="1"/>
  <c r="A80" i="1"/>
  <c r="F80" i="1"/>
  <c r="R80" i="1"/>
  <c r="S80" i="1" s="1"/>
  <c r="T80" i="1"/>
  <c r="U80" i="1"/>
  <c r="V80" i="1"/>
  <c r="W80" i="1"/>
  <c r="Y80" i="1"/>
  <c r="BH80" i="1" s="1"/>
  <c r="BS80" i="1" s="1"/>
  <c r="CN80" i="1" s="1"/>
  <c r="CO80" i="1" s="1"/>
  <c r="AJ80" i="1"/>
  <c r="AN80" i="1"/>
  <c r="AO80" i="1" s="1"/>
  <c r="AP80" i="1"/>
  <c r="BB80" i="1"/>
  <c r="BE80" i="1"/>
  <c r="BI80" i="1"/>
  <c r="BJ80" i="1"/>
  <c r="BQ80" i="1"/>
  <c r="BR80" i="1"/>
  <c r="BU80" i="1"/>
  <c r="BZ80" i="1"/>
  <c r="CA80" i="1" s="1"/>
  <c r="CC80" i="1"/>
  <c r="CG80" i="1"/>
  <c r="CH80" i="1" s="1"/>
  <c r="DE80" i="1" s="1"/>
  <c r="DF80" i="1" s="1"/>
  <c r="DG80" i="1" s="1"/>
  <c r="CJ80" i="1"/>
  <c r="CK80" i="1"/>
  <c r="DD80" i="1"/>
  <c r="A81" i="1"/>
  <c r="F81" i="1"/>
  <c r="R81" i="1"/>
  <c r="S81" i="1"/>
  <c r="T81" i="1"/>
  <c r="U81" i="1"/>
  <c r="V81" i="1"/>
  <c r="W81" i="1"/>
  <c r="AJ81" i="1"/>
  <c r="AN81" i="1"/>
  <c r="AP81" i="1"/>
  <c r="AO81" i="1" s="1"/>
  <c r="BB81" i="1"/>
  <c r="BE81" i="1"/>
  <c r="BJ81" i="1"/>
  <c r="BM81" i="1"/>
  <c r="BN81" i="1"/>
  <c r="BQ81" i="1"/>
  <c r="BR81" i="1"/>
  <c r="BU81" i="1"/>
  <c r="BX81" i="1"/>
  <c r="BO81" i="1" s="1"/>
  <c r="BZ81" i="1"/>
  <c r="CA81" i="1"/>
  <c r="CC81" i="1" s="1"/>
  <c r="CG81" i="1"/>
  <c r="CH81" i="1" s="1"/>
  <c r="CJ81" i="1"/>
  <c r="F82" i="1"/>
  <c r="A82" i="1" s="1"/>
  <c r="P82" i="1"/>
  <c r="O82" i="1" s="1"/>
  <c r="Q82" i="1"/>
  <c r="R82" i="1"/>
  <c r="S82" i="1" s="1"/>
  <c r="T82" i="1"/>
  <c r="U82" i="1"/>
  <c r="V82" i="1"/>
  <c r="W82" i="1"/>
  <c r="AJ82" i="1"/>
  <c r="BE82" i="1" s="1"/>
  <c r="AN82" i="1"/>
  <c r="AO82" i="1"/>
  <c r="AP82" i="1"/>
  <c r="BB82" i="1"/>
  <c r="BH82" i="1"/>
  <c r="BS82" i="1" s="1"/>
  <c r="CN82" i="1" s="1"/>
  <c r="CO82" i="1" s="1"/>
  <c r="BI82" i="1"/>
  <c r="BJ82" i="1"/>
  <c r="BK82" i="1" s="1"/>
  <c r="BM82" i="1"/>
  <c r="BN82" i="1" s="1"/>
  <c r="BQ82" i="1"/>
  <c r="BX82" i="1" s="1"/>
  <c r="BO82" i="1" s="1"/>
  <c r="BR82" i="1"/>
  <c r="BZ82" i="1" s="1"/>
  <c r="CH82" i="1"/>
  <c r="DD82" i="1" s="1"/>
  <c r="DE82" i="1"/>
  <c r="DF82" i="1"/>
  <c r="DG82" i="1" s="1"/>
  <c r="A83" i="1"/>
  <c r="F83" i="1"/>
  <c r="R83" i="1"/>
  <c r="S83" i="1" s="1"/>
  <c r="T83" i="1"/>
  <c r="U83" i="1"/>
  <c r="V83" i="1"/>
  <c r="W83" i="1"/>
  <c r="Y83" i="1"/>
  <c r="BH83" i="1" s="1"/>
  <c r="BS83" i="1" s="1"/>
  <c r="CN83" i="1" s="1"/>
  <c r="CO83" i="1" s="1"/>
  <c r="AJ83" i="1"/>
  <c r="AN83" i="1"/>
  <c r="AP83" i="1"/>
  <c r="BB83" i="1"/>
  <c r="BE83" i="1"/>
  <c r="BJ83" i="1"/>
  <c r="BL83" i="1"/>
  <c r="BQ83" i="1"/>
  <c r="CJ83" i="1" s="1"/>
  <c r="BR83" i="1"/>
  <c r="BU83" i="1"/>
  <c r="BZ83" i="1"/>
  <c r="CB83" i="1" s="1"/>
  <c r="CA83" i="1"/>
  <c r="CG83" i="1"/>
  <c r="CH83" i="1" s="1"/>
  <c r="DE83" i="1" s="1"/>
  <c r="DF83" i="1"/>
  <c r="DG83" i="1" s="1"/>
  <c r="A84" i="1"/>
  <c r="F84" i="1"/>
  <c r="R84" i="1"/>
  <c r="S84" i="1"/>
  <c r="T84" i="1"/>
  <c r="U84" i="1"/>
  <c r="V84" i="1"/>
  <c r="W84" i="1"/>
  <c r="AJ84" i="1"/>
  <c r="AN84" i="1"/>
  <c r="AP84" i="1"/>
  <c r="AO84" i="1" s="1"/>
  <c r="BB84" i="1"/>
  <c r="BE84" i="1"/>
  <c r="BJ84" i="1"/>
  <c r="BM84" i="1"/>
  <c r="BN84" i="1"/>
  <c r="BQ84" i="1"/>
  <c r="BR84" i="1"/>
  <c r="BU84" i="1"/>
  <c r="BX84" i="1"/>
  <c r="BO84" i="1" s="1"/>
  <c r="BZ84" i="1"/>
  <c r="CA84" i="1"/>
  <c r="CC84" i="1" s="1"/>
  <c r="CG84" i="1"/>
  <c r="CH84" i="1" s="1"/>
  <c r="CJ84" i="1"/>
  <c r="P85" i="1"/>
  <c r="R85" i="1"/>
  <c r="S85" i="1" s="1"/>
  <c r="T85" i="1"/>
  <c r="P86" i="1"/>
  <c r="R86" i="1"/>
  <c r="S86" i="1" s="1"/>
  <c r="T86" i="1"/>
  <c r="P87" i="1"/>
  <c r="R87" i="1"/>
  <c r="S87" i="1" s="1"/>
  <c r="T87" i="1"/>
  <c r="P88" i="1"/>
  <c r="R88" i="1"/>
  <c r="S88" i="1" s="1"/>
  <c r="T88" i="1"/>
  <c r="P89" i="1"/>
  <c r="R89" i="1"/>
  <c r="S89" i="1" s="1"/>
  <c r="T89" i="1"/>
  <c r="L90" i="1"/>
  <c r="P90" i="1"/>
  <c r="R90" i="1"/>
  <c r="S90" i="1" s="1"/>
  <c r="T90" i="1"/>
  <c r="L91" i="1"/>
  <c r="P91" i="1"/>
  <c r="L92" i="1"/>
  <c r="P92" i="1"/>
  <c r="L93" i="1"/>
  <c r="P93" i="1"/>
  <c r="L94" i="1"/>
  <c r="P94" i="1"/>
  <c r="CU83" i="1" l="1"/>
  <c r="CQ83" i="1"/>
  <c r="CP83" i="1"/>
  <c r="CW73" i="1"/>
  <c r="CR73" i="1"/>
  <c r="CQ68" i="1"/>
  <c r="CU68" i="1"/>
  <c r="CP68" i="1"/>
  <c r="BH57" i="1"/>
  <c r="BI57" i="1"/>
  <c r="CW76" i="1"/>
  <c r="CR76" i="1"/>
  <c r="CQ82" i="1"/>
  <c r="CP82" i="1"/>
  <c r="CU82" i="1"/>
  <c r="BZ56" i="1"/>
  <c r="DD84" i="1"/>
  <c r="DE84" i="1"/>
  <c r="DF84" i="1" s="1"/>
  <c r="DG84" i="1" s="1"/>
  <c r="BS61" i="1"/>
  <c r="CN61" i="1" s="1"/>
  <c r="CO61" i="1" s="1"/>
  <c r="BZ61" i="1"/>
  <c r="CU80" i="1"/>
  <c r="CP80" i="1"/>
  <c r="CQ80" i="1"/>
  <c r="DD81" i="1"/>
  <c r="DE81" i="1"/>
  <c r="DF81" i="1" s="1"/>
  <c r="DG81" i="1" s="1"/>
  <c r="DD70" i="1"/>
  <c r="DE70" i="1"/>
  <c r="DF70" i="1" s="1"/>
  <c r="DG70" i="1" s="1"/>
  <c r="CW50" i="1"/>
  <c r="CR50" i="1"/>
  <c r="DD75" i="1"/>
  <c r="DE75" i="1"/>
  <c r="DF75" i="1" s="1"/>
  <c r="DG75" i="1" s="1"/>
  <c r="DD63" i="1"/>
  <c r="DE63" i="1"/>
  <c r="DF63" i="1" s="1"/>
  <c r="DG63" i="1" s="1"/>
  <c r="Y84" i="1"/>
  <c r="BW83" i="1"/>
  <c r="BY83" i="1" s="1"/>
  <c r="BI83" i="1"/>
  <c r="CE79" i="1"/>
  <c r="CL79" i="1" s="1"/>
  <c r="BW79" i="1"/>
  <c r="BY79" i="1" s="1"/>
  <c r="BX79" i="1"/>
  <c r="BO79" i="1" s="1"/>
  <c r="CI79" i="1"/>
  <c r="CJ79" i="1"/>
  <c r="CK77" i="1"/>
  <c r="CU77" i="1"/>
  <c r="CP77" i="1"/>
  <c r="CQ77" i="1"/>
  <c r="CU74" i="1"/>
  <c r="CP74" i="1"/>
  <c r="CQ74" i="1"/>
  <c r="AO74" i="1"/>
  <c r="CE72" i="1"/>
  <c r="CL72" i="1" s="1"/>
  <c r="BW71" i="1"/>
  <c r="CD71" i="1" s="1"/>
  <c r="CE71" i="1"/>
  <c r="CL71" i="1" s="1"/>
  <c r="BX71" i="1"/>
  <c r="BO71" i="1" s="1"/>
  <c r="CI71" i="1"/>
  <c r="BW69" i="1"/>
  <c r="CD69" i="1" s="1"/>
  <c r="CE69" i="1"/>
  <c r="CL69" i="1" s="1"/>
  <c r="BX69" i="1"/>
  <c r="BO69" i="1" s="1"/>
  <c r="CI69" i="1"/>
  <c r="CH68" i="1"/>
  <c r="CG69" i="1"/>
  <c r="CH69" i="1" s="1"/>
  <c r="BY66" i="1"/>
  <c r="BX59" i="1"/>
  <c r="BO59" i="1" s="1"/>
  <c r="CK59" i="1"/>
  <c r="CI59" i="1"/>
  <c r="CJ59" i="1"/>
  <c r="BW59" i="1"/>
  <c r="BY59" i="1" s="1"/>
  <c r="AO49" i="1"/>
  <c r="BM49" i="1"/>
  <c r="BN49" i="1" s="1"/>
  <c r="CB80" i="1"/>
  <c r="BL80" i="1"/>
  <c r="CW79" i="1"/>
  <c r="CR79" i="1"/>
  <c r="CB73" i="1"/>
  <c r="CC73" i="1"/>
  <c r="BL73" i="1"/>
  <c r="BX72" i="1"/>
  <c r="BO72" i="1" s="1"/>
  <c r="CI68" i="1"/>
  <c r="CJ68" i="1"/>
  <c r="CK68" i="1"/>
  <c r="CH56" i="1"/>
  <c r="BZ62" i="1"/>
  <c r="BS62" i="1"/>
  <c r="CN62" i="1" s="1"/>
  <c r="CO62" i="1" s="1"/>
  <c r="CE82" i="1"/>
  <c r="CL82" i="1" s="1"/>
  <c r="DD78" i="1"/>
  <c r="DE78" i="1"/>
  <c r="DF78" i="1" s="1"/>
  <c r="DG78" i="1" s="1"/>
  <c r="BW75" i="1"/>
  <c r="BY75" i="1" s="1"/>
  <c r="CP65" i="1"/>
  <c r="CU65" i="1"/>
  <c r="CQ65" i="1"/>
  <c r="BS63" i="1"/>
  <c r="CN63" i="1" s="1"/>
  <c r="CO63" i="1" s="1"/>
  <c r="BZ63" i="1"/>
  <c r="CC82" i="1"/>
  <c r="BL82" i="1"/>
  <c r="BZ75" i="1"/>
  <c r="BS75" i="1"/>
  <c r="CN75" i="1" s="1"/>
  <c r="CO75" i="1" s="1"/>
  <c r="BS69" i="1"/>
  <c r="CN69" i="1" s="1"/>
  <c r="CO69" i="1" s="1"/>
  <c r="BZ69" i="1"/>
  <c r="DD83" i="1"/>
  <c r="CK83" i="1"/>
  <c r="CB82" i="1"/>
  <c r="CP79" i="1"/>
  <c r="CQ79" i="1"/>
  <c r="CA82" i="1"/>
  <c r="CI81" i="1"/>
  <c r="CK81" i="1"/>
  <c r="BW81" i="1"/>
  <c r="BY81" i="1" s="1"/>
  <c r="CE81" i="1"/>
  <c r="CL81" i="1" s="1"/>
  <c r="CK74" i="1"/>
  <c r="BW74" i="1"/>
  <c r="BY74" i="1" s="1"/>
  <c r="BX74" i="1"/>
  <c r="BO74" i="1" s="1"/>
  <c r="CA72" i="1"/>
  <c r="CC72" i="1"/>
  <c r="CH71" i="1"/>
  <c r="CJ69" i="1"/>
  <c r="BH69" i="1"/>
  <c r="BX68" i="1"/>
  <c r="BZ66" i="1"/>
  <c r="BS66" i="1"/>
  <c r="CN66" i="1" s="1"/>
  <c r="CO66" i="1" s="1"/>
  <c r="BK58" i="1"/>
  <c r="BQ58" i="1"/>
  <c r="CF55" i="1"/>
  <c r="BR60" i="1"/>
  <c r="CH60" i="1"/>
  <c r="CE77" i="1"/>
  <c r="CL77" i="1" s="1"/>
  <c r="BW77" i="1"/>
  <c r="BY77" i="1" s="1"/>
  <c r="BX77" i="1"/>
  <c r="BO77" i="1" s="1"/>
  <c r="CI77" i="1"/>
  <c r="AO83" i="1"/>
  <c r="BM83" i="1"/>
  <c r="BN83" i="1" s="1"/>
  <c r="CB77" i="1"/>
  <c r="CC77" i="1"/>
  <c r="BL77" i="1"/>
  <c r="CP76" i="1"/>
  <c r="CQ76" i="1"/>
  <c r="DD74" i="1"/>
  <c r="DE74" i="1"/>
  <c r="DF74" i="1" s="1"/>
  <c r="DG74" i="1" s="1"/>
  <c r="CP73" i="1"/>
  <c r="CQ73" i="1"/>
  <c r="BW68" i="1"/>
  <c r="CD68" i="1" s="1"/>
  <c r="CF67" i="1" s="1"/>
  <c r="CB68" i="1" s="1"/>
  <c r="BR67" i="1"/>
  <c r="CH67" i="1"/>
  <c r="DD66" i="1"/>
  <c r="DE66" i="1"/>
  <c r="DF66" i="1" s="1"/>
  <c r="DG66" i="1" s="1"/>
  <c r="DE65" i="1"/>
  <c r="DF65" i="1" s="1"/>
  <c r="DG65" i="1" s="1"/>
  <c r="AO65" i="1"/>
  <c r="BM65" i="1"/>
  <c r="BN65" i="1" s="1"/>
  <c r="BS55" i="1"/>
  <c r="CN55" i="1" s="1"/>
  <c r="CO55" i="1" s="1"/>
  <c r="BZ55" i="1"/>
  <c r="CA50" i="1"/>
  <c r="CC50" i="1"/>
  <c r="CB50" i="1"/>
  <c r="BL50" i="1"/>
  <c r="CI72" i="1"/>
  <c r="CJ72" i="1"/>
  <c r="CK72" i="1"/>
  <c r="BY71" i="1"/>
  <c r="BK70" i="1"/>
  <c r="BQ70" i="1"/>
  <c r="BY69" i="1"/>
  <c r="BW82" i="1"/>
  <c r="BY82" i="1" s="1"/>
  <c r="CI82" i="1"/>
  <c r="CJ82" i="1"/>
  <c r="CC79" i="1"/>
  <c r="BL79" i="1"/>
  <c r="DD72" i="1"/>
  <c r="DE72" i="1"/>
  <c r="DF72" i="1" s="1"/>
  <c r="DG72" i="1" s="1"/>
  <c r="BS71" i="1"/>
  <c r="CN71" i="1" s="1"/>
  <c r="CO71" i="1" s="1"/>
  <c r="BZ71" i="1"/>
  <c r="CE83" i="1"/>
  <c r="CL83" i="1" s="1"/>
  <c r="BX83" i="1"/>
  <c r="BO83" i="1" s="1"/>
  <c r="CI83" i="1"/>
  <c r="CI84" i="1"/>
  <c r="CK84" i="1"/>
  <c r="CD84" i="1"/>
  <c r="CF82" i="1" s="1"/>
  <c r="CB84" i="1" s="1"/>
  <c r="BW84" i="1"/>
  <c r="BY84" i="1" s="1"/>
  <c r="CE84" i="1"/>
  <c r="CL84" i="1" s="1"/>
  <c r="CC83" i="1"/>
  <c r="CE80" i="1"/>
  <c r="CL80" i="1" s="1"/>
  <c r="BW80" i="1"/>
  <c r="BY80" i="1" s="1"/>
  <c r="BX80" i="1"/>
  <c r="BO80" i="1" s="1"/>
  <c r="CI80" i="1"/>
  <c r="CB79" i="1"/>
  <c r="CI75" i="1"/>
  <c r="CJ75" i="1"/>
  <c r="CK75" i="1"/>
  <c r="CD75" i="1"/>
  <c r="CF73" i="1" s="1"/>
  <c r="CA74" i="1"/>
  <c r="CB74" i="1"/>
  <c r="CC74" i="1"/>
  <c r="BL74" i="1"/>
  <c r="BR70" i="1"/>
  <c r="BY68" i="1"/>
  <c r="BK67" i="1"/>
  <c r="CE66" i="1"/>
  <c r="CL66" i="1" s="1"/>
  <c r="CA65" i="1"/>
  <c r="CB65" i="1"/>
  <c r="CC65" i="1"/>
  <c r="BL65" i="1"/>
  <c r="CH61" i="1"/>
  <c r="BK61" i="1"/>
  <c r="BH56" i="1"/>
  <c r="BS56" i="1" s="1"/>
  <c r="CN56" i="1" s="1"/>
  <c r="CO56" i="1" s="1"/>
  <c r="BI56" i="1"/>
  <c r="CE50" i="1"/>
  <c r="CL50" i="1" s="1"/>
  <c r="BO50" i="1"/>
  <c r="BS48" i="1"/>
  <c r="CN48" i="1" s="1"/>
  <c r="CO48" i="1" s="1"/>
  <c r="BZ48" i="1"/>
  <c r="BK40" i="1"/>
  <c r="BR40" i="1"/>
  <c r="CH40" i="1"/>
  <c r="AO39" i="1"/>
  <c r="BL84" i="1"/>
  <c r="BL81" i="1"/>
  <c r="CE78" i="1"/>
  <c r="CL78" i="1" s="1"/>
  <c r="BW78" i="1"/>
  <c r="BY78" i="1" s="1"/>
  <c r="BL78" i="1"/>
  <c r="BZ76" i="1"/>
  <c r="BM76" i="1"/>
  <c r="BN76" i="1" s="1"/>
  <c r="BM74" i="1"/>
  <c r="BN74" i="1" s="1"/>
  <c r="BM73" i="1"/>
  <c r="BN73" i="1" s="1"/>
  <c r="BU72" i="1"/>
  <c r="F72" i="1"/>
  <c r="A72" i="1" s="1"/>
  <c r="V70" i="1"/>
  <c r="BX67" i="1"/>
  <c r="BO67" i="1" s="1"/>
  <c r="CD66" i="1"/>
  <c r="CF64" i="1" s="1"/>
  <c r="CE63" i="1"/>
  <c r="CL63" i="1" s="1"/>
  <c r="CK63" i="1"/>
  <c r="BL59" i="1"/>
  <c r="CA59" i="1"/>
  <c r="BX56" i="1"/>
  <c r="BO56" i="1" s="1"/>
  <c r="CI56" i="1"/>
  <c r="CJ56" i="1"/>
  <c r="CK56" i="1"/>
  <c r="CE56" i="1"/>
  <c r="CL56" i="1" s="1"/>
  <c r="CH55" i="1"/>
  <c r="DD51" i="1"/>
  <c r="DE51" i="1"/>
  <c r="DF51" i="1" s="1"/>
  <c r="DG51" i="1" s="1"/>
  <c r="BS51" i="1"/>
  <c r="CN51" i="1" s="1"/>
  <c r="CO51" i="1" s="1"/>
  <c r="BZ51" i="1"/>
  <c r="CE44" i="1"/>
  <c r="CL44" i="1" s="1"/>
  <c r="BO44" i="1"/>
  <c r="BW40" i="1"/>
  <c r="BY40" i="1" s="1"/>
  <c r="CI40" i="1"/>
  <c r="CJ40" i="1"/>
  <c r="CK41" i="1"/>
  <c r="BX40" i="1"/>
  <c r="BO40" i="1" s="1"/>
  <c r="CE40" i="1"/>
  <c r="CL40" i="1" s="1"/>
  <c r="CU12" i="1"/>
  <c r="CP12" i="1"/>
  <c r="BM80" i="1"/>
  <c r="BN80" i="1" s="1"/>
  <c r="CD78" i="1"/>
  <c r="CF76" i="1" s="1"/>
  <c r="CB78" i="1" s="1"/>
  <c r="BM77" i="1"/>
  <c r="BN77" i="1" s="1"/>
  <c r="BS72" i="1"/>
  <c r="CN72" i="1" s="1"/>
  <c r="CO72" i="1" s="1"/>
  <c r="CC68" i="1"/>
  <c r="BW67" i="1"/>
  <c r="BY67" i="1" s="1"/>
  <c r="F66" i="1"/>
  <c r="A66" i="1" s="1"/>
  <c r="BS64" i="1"/>
  <c r="CN64" i="1" s="1"/>
  <c r="CO64" i="1" s="1"/>
  <c r="BZ64" i="1"/>
  <c r="BW62" i="1"/>
  <c r="BY62" i="1" s="1"/>
  <c r="V62" i="1"/>
  <c r="F62" i="1"/>
  <c r="A62" i="1" s="1"/>
  <c r="CE61" i="1"/>
  <c r="CL61" i="1" s="1"/>
  <c r="CI60" i="1"/>
  <c r="CK60" i="1"/>
  <c r="BW60" i="1"/>
  <c r="CE60" i="1"/>
  <c r="CL60" i="1" s="1"/>
  <c r="Y60" i="1"/>
  <c r="BH59" i="1"/>
  <c r="BS59" i="1" s="1"/>
  <c r="CN59" i="1" s="1"/>
  <c r="CO59" i="1" s="1"/>
  <c r="BY48" i="1"/>
  <c r="Y81" i="1"/>
  <c r="BK73" i="1"/>
  <c r="CK66" i="1"/>
  <c r="BW64" i="1"/>
  <c r="BY64" i="1" s="1"/>
  <c r="CJ64" i="1"/>
  <c r="Y78" i="1"/>
  <c r="CH76" i="1"/>
  <c r="CK78" i="1"/>
  <c r="T14" i="1"/>
  <c r="T13" i="1"/>
  <c r="T15" i="1"/>
  <c r="CE64" i="1"/>
  <c r="CL64" i="1" s="1"/>
  <c r="AO64" i="1"/>
  <c r="CH62" i="1"/>
  <c r="AO61" i="1"/>
  <c r="CJ60" i="1"/>
  <c r="BY57" i="1"/>
  <c r="BY56" i="1"/>
  <c r="F55" i="1"/>
  <c r="A55" i="1" s="1"/>
  <c r="V55" i="1"/>
  <c r="CK65" i="1"/>
  <c r="BW65" i="1"/>
  <c r="BY65" i="1" s="1"/>
  <c r="CJ63" i="1"/>
  <c r="BW63" i="1"/>
  <c r="CD63" i="1" s="1"/>
  <c r="CF61" i="1" s="1"/>
  <c r="F61" i="1"/>
  <c r="A61" i="1" s="1"/>
  <c r="V61" i="1"/>
  <c r="AO60" i="1"/>
  <c r="BM60" i="1"/>
  <c r="BN60" i="1" s="1"/>
  <c r="CJ57" i="1"/>
  <c r="BW57" i="1"/>
  <c r="BX57" i="1"/>
  <c r="CI57" i="1"/>
  <c r="CK57" i="1"/>
  <c r="CD57" i="1"/>
  <c r="AO57" i="1"/>
  <c r="BI53" i="1"/>
  <c r="BH53" i="1"/>
  <c r="Y54" i="1"/>
  <c r="CQ49" i="1"/>
  <c r="CP49" i="1"/>
  <c r="CU49" i="1"/>
  <c r="CD54" i="1"/>
  <c r="CF52" i="1" s="1"/>
  <c r="AO54" i="1"/>
  <c r="CI53" i="1"/>
  <c r="CK53" i="1"/>
  <c r="BX53" i="1"/>
  <c r="CJ53" i="1"/>
  <c r="BK52" i="1"/>
  <c r="BQ52" i="1"/>
  <c r="CA49" i="1"/>
  <c r="BR43" i="1"/>
  <c r="BT43" i="1"/>
  <c r="CH43" i="1"/>
  <c r="CK42" i="1"/>
  <c r="CD42" i="1"/>
  <c r="CF40" i="1" s="1"/>
  <c r="BX42" i="1"/>
  <c r="BO42" i="1" s="1"/>
  <c r="CI42" i="1"/>
  <c r="BW42" i="1"/>
  <c r="CP50" i="1"/>
  <c r="CQ50" i="1"/>
  <c r="BU51" i="1"/>
  <c r="BY50" i="1"/>
  <c r="BH45" i="1"/>
  <c r="BI45" i="1"/>
  <c r="Y42" i="1"/>
  <c r="BH41" i="1"/>
  <c r="BS41" i="1" s="1"/>
  <c r="CN41" i="1" s="1"/>
  <c r="CO41" i="1" s="1"/>
  <c r="BI41" i="1"/>
  <c r="CQ35" i="1"/>
  <c r="CU35" i="1"/>
  <c r="CP35" i="1"/>
  <c r="BT52" i="1"/>
  <c r="CH52" i="1"/>
  <c r="CI47" i="1"/>
  <c r="BW47" i="1"/>
  <c r="CK47" i="1"/>
  <c r="CE47" i="1"/>
  <c r="CL47" i="1" s="1"/>
  <c r="CJ47" i="1"/>
  <c r="BX47" i="1"/>
  <c r="BO47" i="1" s="1"/>
  <c r="BX43" i="1"/>
  <c r="BO43" i="1" s="1"/>
  <c r="BW43" i="1"/>
  <c r="BY43" i="1" s="1"/>
  <c r="CR37" i="1"/>
  <c r="CW37" i="1"/>
  <c r="AO29" i="1"/>
  <c r="BM29" i="1"/>
  <c r="BN29" i="1" s="1"/>
  <c r="BR58" i="1"/>
  <c r="BT58" i="1"/>
  <c r="AO53" i="1"/>
  <c r="DE50" i="1"/>
  <c r="DF50" i="1" s="1"/>
  <c r="DG50" i="1" s="1"/>
  <c r="F48" i="1"/>
  <c r="A48" i="1" s="1"/>
  <c r="V48" i="1"/>
  <c r="CK44" i="1"/>
  <c r="CJ42" i="1"/>
  <c r="CQ37" i="1"/>
  <c r="W57" i="1"/>
  <c r="BR57" i="1" s="1"/>
  <c r="F57" i="1"/>
  <c r="A57" i="1" s="1"/>
  <c r="CI54" i="1"/>
  <c r="CK54" i="1"/>
  <c r="BR52" i="1"/>
  <c r="CH48" i="1"/>
  <c r="BR46" i="1"/>
  <c r="BK46" i="1"/>
  <c r="CH46" i="1"/>
  <c r="BW49" i="1"/>
  <c r="BY49" i="1" s="1"/>
  <c r="CI49" i="1"/>
  <c r="CJ49" i="1"/>
  <c r="BX49" i="1"/>
  <c r="BO49" i="1" s="1"/>
  <c r="AO44" i="1"/>
  <c r="BM44" i="1"/>
  <c r="BN44" i="1" s="1"/>
  <c r="CE42" i="1"/>
  <c r="CL42" i="1" s="1"/>
  <c r="CE46" i="1"/>
  <c r="CL46" i="1" s="1"/>
  <c r="BW46" i="1"/>
  <c r="BY46" i="1" s="1"/>
  <c r="CH45" i="1"/>
  <c r="CB42" i="1"/>
  <c r="CA42" i="1"/>
  <c r="CC42" i="1" s="1"/>
  <c r="BL41" i="1"/>
  <c r="CA41" i="1"/>
  <c r="CC41" i="1"/>
  <c r="F32" i="1"/>
  <c r="A32" i="1" s="1"/>
  <c r="V32" i="1"/>
  <c r="W32" i="1"/>
  <c r="BR32" i="1" s="1"/>
  <c r="DE16" i="1"/>
  <c r="DF16" i="1" s="1"/>
  <c r="DG16" i="1" s="1"/>
  <c r="DD16" i="1"/>
  <c r="AO45" i="1"/>
  <c r="BM45" i="1"/>
  <c r="BN45" i="1" s="1"/>
  <c r="BI44" i="1"/>
  <c r="BH44" i="1"/>
  <c r="CK36" i="1"/>
  <c r="BX36" i="1"/>
  <c r="BO36" i="1" s="1"/>
  <c r="CI36" i="1"/>
  <c r="CJ36" i="1"/>
  <c r="CP25" i="1"/>
  <c r="CU25" i="1"/>
  <c r="W53" i="1"/>
  <c r="F53" i="1"/>
  <c r="A53" i="1" s="1"/>
  <c r="BX51" i="1"/>
  <c r="BW48" i="1"/>
  <c r="CD48" i="1" s="1"/>
  <c r="CF46" i="1" s="1"/>
  <c r="CE48" i="1"/>
  <c r="CL48" i="1" s="1"/>
  <c r="BY47" i="1"/>
  <c r="W45" i="1"/>
  <c r="BR45" i="1" s="1"/>
  <c r="F45" i="1"/>
  <c r="A45" i="1" s="1"/>
  <c r="CJ44" i="1"/>
  <c r="BW44" i="1"/>
  <c r="BY44" i="1" s="1"/>
  <c r="CI44" i="1"/>
  <c r="DD39" i="1"/>
  <c r="DE39" i="1"/>
  <c r="DF39" i="1" s="1"/>
  <c r="DG39" i="1" s="1"/>
  <c r="BW32" i="1"/>
  <c r="CD32" i="1" s="1"/>
  <c r="BU33" i="1"/>
  <c r="BH18" i="1"/>
  <c r="BS18" i="1" s="1"/>
  <c r="CN18" i="1" s="1"/>
  <c r="CO18" i="1" s="1"/>
  <c r="BI18" i="1"/>
  <c r="CK50" i="1"/>
  <c r="AO48" i="1"/>
  <c r="BM48" i="1"/>
  <c r="BN48" i="1" s="1"/>
  <c r="W47" i="1"/>
  <c r="BR47" i="1" s="1"/>
  <c r="BY42" i="1"/>
  <c r="CL39" i="1"/>
  <c r="CA37" i="1"/>
  <c r="CC37" i="1"/>
  <c r="CB37" i="1"/>
  <c r="W54" i="1"/>
  <c r="BR54" i="1" s="1"/>
  <c r="V53" i="1"/>
  <c r="CJ51" i="1"/>
  <c r="CJ48" i="1"/>
  <c r="BX48" i="1"/>
  <c r="BO48" i="1" s="1"/>
  <c r="CK45" i="1"/>
  <c r="BX45" i="1"/>
  <c r="BO45" i="1" s="1"/>
  <c r="V45" i="1"/>
  <c r="BU45" i="1"/>
  <c r="BL42" i="1"/>
  <c r="AO41" i="1"/>
  <c r="BM41" i="1"/>
  <c r="BN41" i="1" s="1"/>
  <c r="CQ38" i="1"/>
  <c r="CU38" i="1"/>
  <c r="CP38" i="1"/>
  <c r="CH36" i="1"/>
  <c r="BR36" i="1"/>
  <c r="BZ35" i="1"/>
  <c r="W44" i="1"/>
  <c r="F44" i="1"/>
  <c r="A44" i="1" s="1"/>
  <c r="AO42" i="1"/>
  <c r="BM42" i="1"/>
  <c r="BN42" i="1" s="1"/>
  <c r="CH41" i="1"/>
  <c r="CG42" i="1"/>
  <c r="CH42" i="1" s="1"/>
  <c r="CP39" i="1"/>
  <c r="CQ39" i="1"/>
  <c r="BX34" i="1"/>
  <c r="BW34" i="1"/>
  <c r="BY34" i="1" s="1"/>
  <c r="CI34" i="1"/>
  <c r="BZ33" i="1"/>
  <c r="BS33" i="1"/>
  <c r="CN33" i="1" s="1"/>
  <c r="CO33" i="1" s="1"/>
  <c r="CU16" i="1"/>
  <c r="CP16" i="1"/>
  <c r="CQ16" i="1"/>
  <c r="AO15" i="1"/>
  <c r="BM15" i="1"/>
  <c r="BN15" i="1" s="1"/>
  <c r="CE41" i="1"/>
  <c r="CL41" i="1" s="1"/>
  <c r="BX41" i="1"/>
  <c r="BO41" i="1" s="1"/>
  <c r="CJ41" i="1"/>
  <c r="BM34" i="1"/>
  <c r="BN34" i="1" s="1"/>
  <c r="AO34" i="1"/>
  <c r="BZ29" i="1"/>
  <c r="BS29" i="1"/>
  <c r="CN29" i="1" s="1"/>
  <c r="CO29" i="1" s="1"/>
  <c r="BK28" i="1"/>
  <c r="BT28" i="1"/>
  <c r="DD27" i="1"/>
  <c r="CQ21" i="1"/>
  <c r="CP21" i="1"/>
  <c r="CU21" i="1"/>
  <c r="DD19" i="1"/>
  <c r="DE19" i="1"/>
  <c r="DF19" i="1" s="1"/>
  <c r="DG19" i="1" s="1"/>
  <c r="CI35" i="1"/>
  <c r="BW35" i="1"/>
  <c r="CJ35" i="1"/>
  <c r="BX35" i="1"/>
  <c r="CK35" i="1"/>
  <c r="V44" i="1"/>
  <c r="BK43" i="1"/>
  <c r="F34" i="1"/>
  <c r="A34" i="1" s="1"/>
  <c r="W34" i="1"/>
  <c r="CU27" i="1"/>
  <c r="CP27" i="1"/>
  <c r="CQ27" i="1"/>
  <c r="BL18" i="1"/>
  <c r="CA18" i="1"/>
  <c r="CC18" i="1"/>
  <c r="DE28" i="1"/>
  <c r="DF28" i="1" s="1"/>
  <c r="DG28" i="1" s="1"/>
  <c r="DD28" i="1"/>
  <c r="CU24" i="1"/>
  <c r="CP24" i="1"/>
  <c r="CU39" i="1"/>
  <c r="BY35" i="1"/>
  <c r="BU36" i="1"/>
  <c r="BR28" i="1"/>
  <c r="BW23" i="1"/>
  <c r="BY23" i="1" s="1"/>
  <c r="CI23" i="1"/>
  <c r="CK23" i="1"/>
  <c r="CK24" i="1"/>
  <c r="CE23" i="1"/>
  <c r="CL23" i="1" s="1"/>
  <c r="CJ23" i="1"/>
  <c r="O31" i="1"/>
  <c r="AD33" i="1"/>
  <c r="BU30" i="1"/>
  <c r="CP26" i="1"/>
  <c r="CQ26" i="1"/>
  <c r="CU26" i="1"/>
  <c r="CU20" i="1"/>
  <c r="CP20" i="1"/>
  <c r="CA14" i="1"/>
  <c r="CC14" i="1" s="1"/>
  <c r="BL14" i="1"/>
  <c r="CU5" i="1"/>
  <c r="CP5" i="1"/>
  <c r="CQ5" i="1"/>
  <c r="CG33" i="1"/>
  <c r="CH33" i="1" s="1"/>
  <c r="CH32" i="1"/>
  <c r="CA30" i="1"/>
  <c r="CC30" i="1" s="1"/>
  <c r="BL30" i="1"/>
  <c r="DD26" i="1"/>
  <c r="DE26" i="1"/>
  <c r="DF26" i="1" s="1"/>
  <c r="DG26" i="1" s="1"/>
  <c r="DE20" i="1"/>
  <c r="DF20" i="1" s="1"/>
  <c r="DG20" i="1" s="1"/>
  <c r="DD20" i="1"/>
  <c r="BY15" i="1"/>
  <c r="BW15" i="1"/>
  <c r="CD15" i="1" s="1"/>
  <c r="BS13" i="1"/>
  <c r="CN13" i="1" s="1"/>
  <c r="CO13" i="1" s="1"/>
  <c r="BZ13" i="1"/>
  <c r="AO32" i="1"/>
  <c r="BM32" i="1"/>
  <c r="BN32" i="1" s="1"/>
  <c r="BZ31" i="1"/>
  <c r="BS31" i="1"/>
  <c r="CN31" i="1" s="1"/>
  <c r="CO31" i="1" s="1"/>
  <c r="BS30" i="1"/>
  <c r="CN30" i="1" s="1"/>
  <c r="CO30" i="1" s="1"/>
  <c r="BW29" i="1"/>
  <c r="CD29" i="1" s="1"/>
  <c r="BX29" i="1"/>
  <c r="BO29" i="1" s="1"/>
  <c r="CI29" i="1"/>
  <c r="CJ29" i="1"/>
  <c r="CK29" i="1"/>
  <c r="CD28" i="1"/>
  <c r="BW28" i="1"/>
  <c r="BY28" i="1" s="1"/>
  <c r="BX28" i="1"/>
  <c r="BO28" i="1" s="1"/>
  <c r="T7" i="1"/>
  <c r="T8" i="1"/>
  <c r="T9" i="1"/>
  <c r="T23" i="1"/>
  <c r="T19" i="1"/>
  <c r="T17" i="1"/>
  <c r="T18" i="1"/>
  <c r="T22" i="1"/>
  <c r="T25" i="1"/>
  <c r="T26" i="1"/>
  <c r="T20" i="1"/>
  <c r="T16" i="1"/>
  <c r="T24" i="1"/>
  <c r="AD30" i="1"/>
  <c r="T21" i="1"/>
  <c r="T27" i="1"/>
  <c r="AD29" i="1"/>
  <c r="CK18" i="1"/>
  <c r="BW18" i="1"/>
  <c r="CE18" i="1"/>
  <c r="CL18" i="1" s="1"/>
  <c r="CD18" i="1"/>
  <c r="CI18" i="1"/>
  <c r="CJ18" i="1"/>
  <c r="BX18" i="1"/>
  <c r="BO18" i="1" s="1"/>
  <c r="CD9" i="1"/>
  <c r="BW9" i="1"/>
  <c r="BY9" i="1" s="1"/>
  <c r="BX9" i="1"/>
  <c r="BO9" i="1" s="1"/>
  <c r="CE32" i="1"/>
  <c r="CL32" i="1" s="1"/>
  <c r="BO32" i="1"/>
  <c r="AD32" i="1"/>
  <c r="BR23" i="1"/>
  <c r="AO22" i="1"/>
  <c r="DE17" i="1"/>
  <c r="DF17" i="1" s="1"/>
  <c r="DG17" i="1" s="1"/>
  <c r="CJ11" i="1"/>
  <c r="CK11" i="1"/>
  <c r="BX11" i="1"/>
  <c r="BO11" i="1" s="1"/>
  <c r="AO11" i="1"/>
  <c r="V28" i="1"/>
  <c r="BZ24" i="1"/>
  <c r="BK22" i="1"/>
  <c r="BY18" i="1"/>
  <c r="AD15" i="1"/>
  <c r="AD14" i="1"/>
  <c r="BL8" i="1"/>
  <c r="CA8" i="1"/>
  <c r="CC8" i="1"/>
  <c r="CK33" i="1"/>
  <c r="CP14" i="1"/>
  <c r="CU14" i="1"/>
  <c r="CQ14" i="1"/>
  <c r="O13" i="1"/>
  <c r="BW8" i="1"/>
  <c r="CD8" i="1" s="1"/>
  <c r="CF7" i="1" s="1"/>
  <c r="CB8" i="1" s="1"/>
  <c r="CE8" i="1"/>
  <c r="BX8" i="1"/>
  <c r="BO8" i="1" s="1"/>
  <c r="BY24" i="1"/>
  <c r="CL20" i="1"/>
  <c r="CG21" i="1"/>
  <c r="CH21" i="1" s="1"/>
  <c r="BZ17" i="1"/>
  <c r="BS17" i="1"/>
  <c r="CN17" i="1" s="1"/>
  <c r="CO17" i="1" s="1"/>
  <c r="CC16" i="1"/>
  <c r="CA16" i="1"/>
  <c r="BL16" i="1"/>
  <c r="BI15" i="1"/>
  <c r="CG14" i="1"/>
  <c r="CH13" i="1"/>
  <c r="AD13" i="1"/>
  <c r="CO11" i="1"/>
  <c r="CI10" i="1"/>
  <c r="CJ10" i="1"/>
  <c r="CD10" i="1"/>
  <c r="CE10" i="1"/>
  <c r="CL10" i="1" s="1"/>
  <c r="CK10" i="1"/>
  <c r="BW10" i="1"/>
  <c r="BY10" i="1" s="1"/>
  <c r="DE25" i="1"/>
  <c r="DF25" i="1" s="1"/>
  <c r="DG25" i="1" s="1"/>
  <c r="BR22" i="1"/>
  <c r="CI17" i="1"/>
  <c r="CD17" i="1"/>
  <c r="BX17" i="1"/>
  <c r="CK17" i="1"/>
  <c r="BW14" i="1"/>
  <c r="BY14" i="1" s="1"/>
  <c r="BX14" i="1"/>
  <c r="BO14" i="1" s="1"/>
  <c r="CI14" i="1"/>
  <c r="CJ14" i="1"/>
  <c r="DD12" i="1"/>
  <c r="CD11" i="1"/>
  <c r="CJ22" i="1"/>
  <c r="CE22" i="1"/>
  <c r="CL22" i="1" s="1"/>
  <c r="BI12" i="1"/>
  <c r="BW11" i="1"/>
  <c r="BY11" i="1" s="1"/>
  <c r="CD24" i="1"/>
  <c r="AO24" i="1"/>
  <c r="BM24" i="1"/>
  <c r="BN24" i="1" s="1"/>
  <c r="CD22" i="1"/>
  <c r="AO20" i="1"/>
  <c r="CU19" i="1"/>
  <c r="DE18" i="1"/>
  <c r="DF18" i="1" s="1"/>
  <c r="DG18" i="1" s="1"/>
  <c r="BK16" i="1"/>
  <c r="CJ16" i="1"/>
  <c r="BW16" i="1"/>
  <c r="BX16" i="1"/>
  <c r="BO16" i="1" s="1"/>
  <c r="AO16" i="1"/>
  <c r="BZ9" i="1"/>
  <c r="BK7" i="1"/>
  <c r="BQ7" i="1"/>
  <c r="CD13" i="1"/>
  <c r="V13" i="1"/>
  <c r="BZ11" i="1"/>
  <c r="Y9" i="1"/>
  <c r="BS8" i="1"/>
  <c r="CN8" i="1" s="1"/>
  <c r="CO8" i="1" s="1"/>
  <c r="CA7" i="1"/>
  <c r="BW6" i="1"/>
  <c r="BY6" i="1" s="1"/>
  <c r="CE6" i="1"/>
  <c r="AO6" i="1"/>
  <c r="AO14" i="1"/>
  <c r="BM14" i="1"/>
  <c r="BN14" i="1" s="1"/>
  <c r="CD12" i="1"/>
  <c r="BW12" i="1"/>
  <c r="BY12" i="1" s="1"/>
  <c r="CE12" i="1"/>
  <c r="CL12" i="1" s="1"/>
  <c r="BS7" i="1"/>
  <c r="CN7" i="1" s="1"/>
  <c r="CO7" i="1" s="1"/>
  <c r="CG5" i="1"/>
  <c r="AO7" i="1"/>
  <c r="BM7" i="1"/>
  <c r="BN7" i="1" s="1"/>
  <c r="V15" i="1"/>
  <c r="W15" i="1"/>
  <c r="BR15" i="1" s="1"/>
  <c r="CC12" i="1"/>
  <c r="BL12" i="1"/>
  <c r="DD11" i="1"/>
  <c r="DE11" i="1"/>
  <c r="DF11" i="1" s="1"/>
  <c r="DG11" i="1" s="1"/>
  <c r="BI8" i="1"/>
  <c r="DD7" i="1"/>
  <c r="DE7" i="1"/>
  <c r="DF7" i="1" s="1"/>
  <c r="DG7" i="1" s="1"/>
  <c r="BX6" i="1"/>
  <c r="BO6" i="1" s="1"/>
  <c r="BH6" i="1"/>
  <c r="W6" i="1"/>
  <c r="BR6" i="1" s="1"/>
  <c r="CL5" i="1"/>
  <c r="BI5" i="1"/>
  <c r="CE4" i="1"/>
  <c r="CL4" i="1" s="1"/>
  <c r="BX13" i="1"/>
  <c r="BK13" i="1"/>
  <c r="CK12" i="1"/>
  <c r="AD11" i="1"/>
  <c r="O10" i="1"/>
  <c r="CJ6" i="1"/>
  <c r="V6" i="1"/>
  <c r="F4" i="1"/>
  <c r="V4" i="1"/>
  <c r="W4" i="1"/>
  <c r="W10" i="1"/>
  <c r="BM6" i="1"/>
  <c r="BN6" i="1" s="1"/>
  <c r="CD4" i="1"/>
  <c r="V10" i="1"/>
  <c r="BM9" i="1"/>
  <c r="BN9" i="1" s="1"/>
  <c r="CG8" i="1"/>
  <c r="CK5" i="1"/>
  <c r="CK4" i="1"/>
  <c r="BM8" i="1"/>
  <c r="BN8" i="1" s="1"/>
  <c r="CP56" i="1" l="1"/>
  <c r="CU56" i="1"/>
  <c r="CQ56" i="1"/>
  <c r="CU7" i="1"/>
  <c r="CP7" i="1"/>
  <c r="CQ7" i="1"/>
  <c r="CW14" i="1"/>
  <c r="CR14" i="1"/>
  <c r="BS67" i="1"/>
  <c r="CN67" i="1" s="1"/>
  <c r="CO67" i="1" s="1"/>
  <c r="BZ67" i="1"/>
  <c r="DD56" i="1"/>
  <c r="DE56" i="1"/>
  <c r="DF56" i="1" s="1"/>
  <c r="DG56" i="1" s="1"/>
  <c r="BY8" i="1"/>
  <c r="BW7" i="1"/>
  <c r="BY7" i="1" s="1"/>
  <c r="BX7" i="1"/>
  <c r="BO7" i="1" s="1"/>
  <c r="CE7" i="1"/>
  <c r="CL7" i="1" s="1"/>
  <c r="BY16" i="1"/>
  <c r="CD16" i="1"/>
  <c r="CF16" i="1" s="1"/>
  <c r="CB18" i="1" s="1"/>
  <c r="BO17" i="1"/>
  <c r="CE17" i="1"/>
  <c r="CL17" i="1" s="1"/>
  <c r="CF10" i="1"/>
  <c r="CB12" i="1" s="1"/>
  <c r="CA31" i="1"/>
  <c r="CC31" i="1"/>
  <c r="BL31" i="1"/>
  <c r="CB31" i="1"/>
  <c r="CR20" i="1"/>
  <c r="CW20" i="1"/>
  <c r="CL33" i="1"/>
  <c r="BS28" i="1"/>
  <c r="CN28" i="1" s="1"/>
  <c r="CO28" i="1" s="1"/>
  <c r="BZ28" i="1"/>
  <c r="BW33" i="1"/>
  <c r="CD33" i="1" s="1"/>
  <c r="CF31" i="1" s="1"/>
  <c r="CB33" i="1" s="1"/>
  <c r="BR53" i="1"/>
  <c r="CH53" i="1"/>
  <c r="BZ32" i="1"/>
  <c r="BS32" i="1"/>
  <c r="CN32" i="1" s="1"/>
  <c r="CO32" i="1" s="1"/>
  <c r="CE43" i="1"/>
  <c r="CL43" i="1" s="1"/>
  <c r="CE57" i="1"/>
  <c r="CL57" i="1" s="1"/>
  <c r="BO57" i="1"/>
  <c r="BL51" i="1"/>
  <c r="CA51" i="1"/>
  <c r="CC51" i="1"/>
  <c r="DE61" i="1"/>
  <c r="DF61" i="1" s="1"/>
  <c r="DG61" i="1" s="1"/>
  <c r="DD61" i="1"/>
  <c r="BZ70" i="1"/>
  <c r="BS70" i="1"/>
  <c r="CN70" i="1" s="1"/>
  <c r="CO70" i="1" s="1"/>
  <c r="CC71" i="1"/>
  <c r="BL71" i="1"/>
  <c r="CA71" i="1"/>
  <c r="CB71" i="1"/>
  <c r="CH57" i="1"/>
  <c r="DD60" i="1"/>
  <c r="DE60" i="1"/>
  <c r="DF60" i="1" s="1"/>
  <c r="DG60" i="1" s="1"/>
  <c r="CE74" i="1"/>
  <c r="CL74" i="1" s="1"/>
  <c r="CA75" i="1"/>
  <c r="CC75" i="1" s="1"/>
  <c r="CB75" i="1"/>
  <c r="BL75" i="1"/>
  <c r="CE67" i="1"/>
  <c r="CL67" i="1" s="1"/>
  <c r="CS79" i="1"/>
  <c r="CT79" i="1" s="1"/>
  <c r="CV79" i="1"/>
  <c r="CV50" i="1"/>
  <c r="CY50" i="1" s="1"/>
  <c r="CS50" i="1"/>
  <c r="CT50" i="1" s="1"/>
  <c r="CW80" i="1"/>
  <c r="CR80" i="1"/>
  <c r="CR68" i="1"/>
  <c r="CW68" i="1"/>
  <c r="DD33" i="1"/>
  <c r="DE33" i="1"/>
  <c r="DF33" i="1" s="1"/>
  <c r="DG33" i="1" s="1"/>
  <c r="CQ18" i="1"/>
  <c r="CP18" i="1"/>
  <c r="CU18" i="1"/>
  <c r="BS57" i="1"/>
  <c r="CN57" i="1" s="1"/>
  <c r="CO57" i="1" s="1"/>
  <c r="BZ57" i="1"/>
  <c r="DE52" i="1"/>
  <c r="DF52" i="1" s="1"/>
  <c r="DG52" i="1" s="1"/>
  <c r="DD52" i="1"/>
  <c r="CW82" i="1"/>
  <c r="CR82" i="1"/>
  <c r="CH10" i="1"/>
  <c r="BR10" i="1"/>
  <c r="BT10" i="1"/>
  <c r="BK10" i="1"/>
  <c r="BZ15" i="1"/>
  <c r="BS15" i="1"/>
  <c r="CN15" i="1" s="1"/>
  <c r="CO15" i="1" s="1"/>
  <c r="CD6" i="1"/>
  <c r="CE16" i="1"/>
  <c r="CL16" i="1" s="1"/>
  <c r="CE9" i="1"/>
  <c r="CL9" i="1" s="1"/>
  <c r="CR26" i="1"/>
  <c r="CW26" i="1"/>
  <c r="BY36" i="1"/>
  <c r="BW36" i="1"/>
  <c r="CD36" i="1" s="1"/>
  <c r="CF34" i="1" s="1"/>
  <c r="CP29" i="1"/>
  <c r="CQ29" i="1"/>
  <c r="CU29" i="1"/>
  <c r="BO34" i="1"/>
  <c r="CE34" i="1"/>
  <c r="CL34" i="1" s="1"/>
  <c r="CH44" i="1"/>
  <c r="BR44" i="1"/>
  <c r="BY32" i="1"/>
  <c r="BS45" i="1"/>
  <c r="CN45" i="1" s="1"/>
  <c r="CO45" i="1" s="1"/>
  <c r="BZ45" i="1"/>
  <c r="CR25" i="1"/>
  <c r="CW25" i="1"/>
  <c r="BS46" i="1"/>
  <c r="CN46" i="1" s="1"/>
  <c r="CO46" i="1" s="1"/>
  <c r="BZ46" i="1"/>
  <c r="BS58" i="1"/>
  <c r="CN58" i="1" s="1"/>
  <c r="CO58" i="1" s="1"/>
  <c r="BZ58" i="1"/>
  <c r="BO53" i="1"/>
  <c r="CE53" i="1"/>
  <c r="CL53" i="1" s="1"/>
  <c r="BI54" i="1"/>
  <c r="BH54" i="1"/>
  <c r="BS54" i="1" s="1"/>
  <c r="CN54" i="1" s="1"/>
  <c r="CO54" i="1" s="1"/>
  <c r="DD76" i="1"/>
  <c r="DE76" i="1"/>
  <c r="DF76" i="1" s="1"/>
  <c r="DG76" i="1" s="1"/>
  <c r="BH81" i="1"/>
  <c r="BS81" i="1" s="1"/>
  <c r="CN81" i="1" s="1"/>
  <c r="CO81" i="1" s="1"/>
  <c r="BI81" i="1"/>
  <c r="CP51" i="1"/>
  <c r="CU51" i="1"/>
  <c r="CQ51" i="1"/>
  <c r="CA48" i="1"/>
  <c r="CC48" i="1" s="1"/>
  <c r="CB48" i="1"/>
  <c r="BL48" i="1"/>
  <c r="CU71" i="1"/>
  <c r="CP71" i="1"/>
  <c r="CQ71" i="1"/>
  <c r="BZ60" i="1"/>
  <c r="CY79" i="1"/>
  <c r="DB79" i="1"/>
  <c r="CW77" i="1"/>
  <c r="CR77" i="1"/>
  <c r="DB50" i="1"/>
  <c r="CA61" i="1"/>
  <c r="CC61" i="1"/>
  <c r="BL61" i="1"/>
  <c r="CB61" i="1"/>
  <c r="BR4" i="1"/>
  <c r="BK4" i="1"/>
  <c r="BT4" i="1"/>
  <c r="BL9" i="1"/>
  <c r="CA9" i="1"/>
  <c r="CB9" i="1"/>
  <c r="CC9" i="1"/>
  <c r="CL8" i="1"/>
  <c r="BL24" i="1"/>
  <c r="CA24" i="1"/>
  <c r="CC24" i="1"/>
  <c r="CR5" i="1"/>
  <c r="CW5" i="1"/>
  <c r="CA29" i="1"/>
  <c r="CB29" i="1"/>
  <c r="BL29" i="1"/>
  <c r="CC29" i="1"/>
  <c r="CB35" i="1"/>
  <c r="CC35" i="1"/>
  <c r="BL35" i="1"/>
  <c r="CA35" i="1"/>
  <c r="BZ47" i="1"/>
  <c r="BS47" i="1"/>
  <c r="CN47" i="1" s="1"/>
  <c r="CO47" i="1" s="1"/>
  <c r="CE45" i="1"/>
  <c r="CL45" i="1" s="1"/>
  <c r="DD48" i="1"/>
  <c r="DE48" i="1"/>
  <c r="DF48" i="1" s="1"/>
  <c r="DG48" i="1" s="1"/>
  <c r="CR35" i="1"/>
  <c r="CW35" i="1"/>
  <c r="BY51" i="1"/>
  <c r="BW51" i="1"/>
  <c r="CD51" i="1" s="1"/>
  <c r="CF49" i="1" s="1"/>
  <c r="CB51" i="1" s="1"/>
  <c r="DD43" i="1"/>
  <c r="DE43" i="1"/>
  <c r="DF43" i="1" s="1"/>
  <c r="DG43" i="1" s="1"/>
  <c r="DE62" i="1"/>
  <c r="DF62" i="1" s="1"/>
  <c r="DG62" i="1" s="1"/>
  <c r="DD62" i="1"/>
  <c r="BH78" i="1"/>
  <c r="BS78" i="1" s="1"/>
  <c r="CN78" i="1" s="1"/>
  <c r="CO78" i="1" s="1"/>
  <c r="BI78" i="1"/>
  <c r="CQ72" i="1"/>
  <c r="CU72" i="1"/>
  <c r="CP72" i="1"/>
  <c r="CQ48" i="1"/>
  <c r="CU48" i="1"/>
  <c r="CP48" i="1"/>
  <c r="DE71" i="1"/>
  <c r="DF71" i="1" s="1"/>
  <c r="DG71" i="1" s="1"/>
  <c r="DD71" i="1"/>
  <c r="BH84" i="1"/>
  <c r="BS84" i="1" s="1"/>
  <c r="CN84" i="1" s="1"/>
  <c r="CO84" i="1" s="1"/>
  <c r="BI84" i="1"/>
  <c r="CU61" i="1"/>
  <c r="CP61" i="1"/>
  <c r="CQ61" i="1"/>
  <c r="CS76" i="1"/>
  <c r="CT76" i="1" s="1"/>
  <c r="CV76" i="1"/>
  <c r="CV73" i="1"/>
  <c r="CS73" i="1"/>
  <c r="CT73" i="1" s="1"/>
  <c r="CH14" i="1"/>
  <c r="CG15" i="1"/>
  <c r="CH8" i="1"/>
  <c r="CG9" i="1"/>
  <c r="CH9" i="1" s="1"/>
  <c r="BO13" i="1"/>
  <c r="CE13" i="1"/>
  <c r="CL13" i="1" s="1"/>
  <c r="CQ8" i="1"/>
  <c r="CU8" i="1"/>
  <c r="CP8" i="1"/>
  <c r="BZ22" i="1"/>
  <c r="BS22" i="1"/>
  <c r="CN22" i="1" s="1"/>
  <c r="CO22" i="1" s="1"/>
  <c r="CU11" i="1"/>
  <c r="CP11" i="1"/>
  <c r="CQ11" i="1"/>
  <c r="BZ23" i="1"/>
  <c r="BS23" i="1"/>
  <c r="CN23" i="1" s="1"/>
  <c r="CO23" i="1" s="1"/>
  <c r="CC13" i="1"/>
  <c r="BL13" i="1"/>
  <c r="CA13" i="1"/>
  <c r="CB13" i="1"/>
  <c r="CD23" i="1"/>
  <c r="CF22" i="1" s="1"/>
  <c r="CB24" i="1" s="1"/>
  <c r="CR39" i="1"/>
  <c r="CW39" i="1"/>
  <c r="CR21" i="1"/>
  <c r="CW21" i="1"/>
  <c r="BS36" i="1"/>
  <c r="CN36" i="1" s="1"/>
  <c r="CO36" i="1" s="1"/>
  <c r="BZ36" i="1"/>
  <c r="BW45" i="1"/>
  <c r="CD45" i="1" s="1"/>
  <c r="CF43" i="1" s="1"/>
  <c r="BS52" i="1"/>
  <c r="CN52" i="1" s="1"/>
  <c r="CO52" i="1" s="1"/>
  <c r="BZ52" i="1"/>
  <c r="CH47" i="1"/>
  <c r="BY63" i="1"/>
  <c r="CQ59" i="1"/>
  <c r="CU59" i="1"/>
  <c r="CP59" i="1"/>
  <c r="BW70" i="1"/>
  <c r="BY70" i="1" s="1"/>
  <c r="BX70" i="1"/>
  <c r="BO70" i="1" s="1"/>
  <c r="CI70" i="1"/>
  <c r="CJ70" i="1"/>
  <c r="CE70" i="1"/>
  <c r="CL70" i="1" s="1"/>
  <c r="CK71" i="1"/>
  <c r="BW58" i="1"/>
  <c r="BY58" i="1" s="1"/>
  <c r="CI58" i="1"/>
  <c r="CJ58" i="1"/>
  <c r="BX58" i="1"/>
  <c r="BO58" i="1" s="1"/>
  <c r="CB63" i="1"/>
  <c r="BL63" i="1"/>
  <c r="CA63" i="1"/>
  <c r="CC63" i="1"/>
  <c r="CY76" i="1"/>
  <c r="DB76" i="1"/>
  <c r="CY73" i="1"/>
  <c r="DB73" i="1"/>
  <c r="BS6" i="1"/>
  <c r="CN6" i="1" s="1"/>
  <c r="CO6" i="1" s="1"/>
  <c r="BZ6" i="1"/>
  <c r="DD46" i="1"/>
  <c r="DE46" i="1"/>
  <c r="DF46" i="1" s="1"/>
  <c r="DG46" i="1" s="1"/>
  <c r="CC76" i="1"/>
  <c r="BL76" i="1"/>
  <c r="CA76" i="1"/>
  <c r="CB76" i="1"/>
  <c r="DD68" i="1"/>
  <c r="DE68" i="1"/>
  <c r="DF68" i="1" s="1"/>
  <c r="DG68" i="1" s="1"/>
  <c r="A2" i="1"/>
  <c r="A4" i="1"/>
  <c r="BH9" i="1"/>
  <c r="BS9" i="1" s="1"/>
  <c r="CN9" i="1" s="1"/>
  <c r="CO9" i="1" s="1"/>
  <c r="BI9" i="1"/>
  <c r="CE11" i="1"/>
  <c r="CL11" i="1" s="1"/>
  <c r="CU17" i="1"/>
  <c r="CP17" i="1"/>
  <c r="CQ17" i="1"/>
  <c r="CL21" i="1"/>
  <c r="CE29" i="1"/>
  <c r="CL29" i="1" s="1"/>
  <c r="CU13" i="1"/>
  <c r="CP13" i="1"/>
  <c r="CQ13" i="1"/>
  <c r="BW30" i="1"/>
  <c r="CD30" i="1" s="1"/>
  <c r="CF28" i="1" s="1"/>
  <c r="CB30" i="1" s="1"/>
  <c r="BO35" i="1"/>
  <c r="CE35" i="1"/>
  <c r="CL35" i="1" s="1"/>
  <c r="CR16" i="1"/>
  <c r="CW16" i="1"/>
  <c r="DD42" i="1"/>
  <c r="DE42" i="1"/>
  <c r="DF42" i="1" s="1"/>
  <c r="DG42" i="1" s="1"/>
  <c r="DD36" i="1"/>
  <c r="DE36" i="1"/>
  <c r="DF36" i="1" s="1"/>
  <c r="DG36" i="1" s="1"/>
  <c r="BZ54" i="1"/>
  <c r="DE45" i="1"/>
  <c r="DF45" i="1" s="1"/>
  <c r="DG45" i="1" s="1"/>
  <c r="DD45" i="1"/>
  <c r="CE49" i="1"/>
  <c r="CL49" i="1" s="1"/>
  <c r="CY37" i="1"/>
  <c r="DB37" i="1"/>
  <c r="BS43" i="1"/>
  <c r="CN43" i="1" s="1"/>
  <c r="CO43" i="1" s="1"/>
  <c r="BZ43" i="1"/>
  <c r="BI60" i="1"/>
  <c r="BH60" i="1"/>
  <c r="BS60" i="1" s="1"/>
  <c r="CN60" i="1" s="1"/>
  <c r="CO60" i="1" s="1"/>
  <c r="DE55" i="1"/>
  <c r="DF55" i="1" s="1"/>
  <c r="DG55" i="1" s="1"/>
  <c r="DD55" i="1"/>
  <c r="CD81" i="1"/>
  <c r="CF79" i="1" s="1"/>
  <c r="CB81" i="1" s="1"/>
  <c r="CQ63" i="1"/>
  <c r="CP63" i="1"/>
  <c r="CU63" i="1"/>
  <c r="CE59" i="1"/>
  <c r="CL59" i="1" s="1"/>
  <c r="BW72" i="1"/>
  <c r="CD72" i="1" s="1"/>
  <c r="CF70" i="1" s="1"/>
  <c r="CB72" i="1" s="1"/>
  <c r="CL6" i="1"/>
  <c r="CW12" i="1"/>
  <c r="CR12" i="1"/>
  <c r="BS40" i="1"/>
  <c r="CN40" i="1" s="1"/>
  <c r="CO40" i="1" s="1"/>
  <c r="BZ40" i="1"/>
  <c r="CQ75" i="1"/>
  <c r="CU75" i="1"/>
  <c r="CP75" i="1"/>
  <c r="CH5" i="1"/>
  <c r="CG6" i="1"/>
  <c r="CH6" i="1" s="1"/>
  <c r="CA11" i="1"/>
  <c r="CC11" i="1" s="1"/>
  <c r="CB11" i="1"/>
  <c r="BL11" i="1"/>
  <c r="CD14" i="1"/>
  <c r="CF13" i="1" s="1"/>
  <c r="CB14" i="1" s="1"/>
  <c r="CW19" i="1"/>
  <c r="CR19" i="1"/>
  <c r="CE14" i="1"/>
  <c r="CL14" i="1" s="1"/>
  <c r="BL17" i="1"/>
  <c r="CA17" i="1"/>
  <c r="CC17" i="1"/>
  <c r="CB17" i="1"/>
  <c r="CE28" i="1"/>
  <c r="CL28" i="1" s="1"/>
  <c r="BY29" i="1"/>
  <c r="CR24" i="1"/>
  <c r="CW24" i="1"/>
  <c r="CP33" i="1"/>
  <c r="CU33" i="1"/>
  <c r="CQ33" i="1"/>
  <c r="DE41" i="1"/>
  <c r="DF41" i="1" s="1"/>
  <c r="DG41" i="1" s="1"/>
  <c r="DD41" i="1"/>
  <c r="BO51" i="1"/>
  <c r="CE51" i="1"/>
  <c r="CL51" i="1" s="1"/>
  <c r="CE36" i="1"/>
  <c r="CL36" i="1" s="1"/>
  <c r="CV37" i="1"/>
  <c r="CS37" i="1"/>
  <c r="CT37" i="1" s="1"/>
  <c r="CQ41" i="1"/>
  <c r="CP41" i="1"/>
  <c r="CU41" i="1"/>
  <c r="CH54" i="1"/>
  <c r="CC64" i="1"/>
  <c r="BL64" i="1"/>
  <c r="CA64" i="1"/>
  <c r="CB64" i="1"/>
  <c r="CQ66" i="1"/>
  <c r="CU66" i="1"/>
  <c r="CP66" i="1"/>
  <c r="CC69" i="1"/>
  <c r="BL69" i="1"/>
  <c r="CA69" i="1"/>
  <c r="CB69" i="1"/>
  <c r="CQ62" i="1"/>
  <c r="CP62" i="1"/>
  <c r="CU62" i="1"/>
  <c r="CP31" i="1"/>
  <c r="CQ31" i="1"/>
  <c r="CU31" i="1"/>
  <c r="BR34" i="1"/>
  <c r="CH34" i="1"/>
  <c r="BK34" i="1"/>
  <c r="CU55" i="1"/>
  <c r="CP55" i="1"/>
  <c r="CQ55" i="1"/>
  <c r="BO68" i="1"/>
  <c r="CE68" i="1"/>
  <c r="CL68" i="1" s="1"/>
  <c r="CF4" i="1"/>
  <c r="CH4" i="1"/>
  <c r="DE13" i="1"/>
  <c r="DF13" i="1" s="1"/>
  <c r="DG13" i="1" s="1"/>
  <c r="DD13" i="1"/>
  <c r="DE21" i="1"/>
  <c r="DF21" i="1" s="1"/>
  <c r="DG21" i="1" s="1"/>
  <c r="DD21" i="1"/>
  <c r="CQ30" i="1"/>
  <c r="CU30" i="1"/>
  <c r="CP30" i="1"/>
  <c r="DE32" i="1"/>
  <c r="DF32" i="1" s="1"/>
  <c r="DG32" i="1" s="1"/>
  <c r="DD32" i="1"/>
  <c r="CW27" i="1"/>
  <c r="CR27" i="1"/>
  <c r="CC33" i="1"/>
  <c r="BL33" i="1"/>
  <c r="CA33" i="1"/>
  <c r="CW38" i="1"/>
  <c r="CR38" i="1"/>
  <c r="BH42" i="1"/>
  <c r="BS42" i="1" s="1"/>
  <c r="CN42" i="1" s="1"/>
  <c r="CO42" i="1" s="1"/>
  <c r="BI42" i="1"/>
  <c r="BX52" i="1"/>
  <c r="BO52" i="1" s="1"/>
  <c r="CI52" i="1"/>
  <c r="BW52" i="1"/>
  <c r="BY52" i="1" s="1"/>
  <c r="CJ52" i="1"/>
  <c r="CW49" i="1"/>
  <c r="CR49" i="1"/>
  <c r="BY60" i="1"/>
  <c r="CD60" i="1"/>
  <c r="CF58" i="1" s="1"/>
  <c r="CQ64" i="1"/>
  <c r="CP64" i="1"/>
  <c r="CU64" i="1"/>
  <c r="DE40" i="1"/>
  <c r="DF40" i="1" s="1"/>
  <c r="DG40" i="1" s="1"/>
  <c r="DD40" i="1"/>
  <c r="CA55" i="1"/>
  <c r="CC55" i="1"/>
  <c r="BL55" i="1"/>
  <c r="CB55" i="1"/>
  <c r="DE67" i="1"/>
  <c r="DF67" i="1" s="1"/>
  <c r="DG67" i="1" s="1"/>
  <c r="DD67" i="1"/>
  <c r="CA66" i="1"/>
  <c r="CC66" i="1" s="1"/>
  <c r="CB66" i="1"/>
  <c r="BL66" i="1"/>
  <c r="CU69" i="1"/>
  <c r="CP69" i="1"/>
  <c r="CQ69" i="1"/>
  <c r="CW65" i="1"/>
  <c r="CR65" i="1"/>
  <c r="CC62" i="1"/>
  <c r="CB62" i="1"/>
  <c r="BL62" i="1"/>
  <c r="CA62" i="1"/>
  <c r="DE69" i="1"/>
  <c r="DF69" i="1" s="1"/>
  <c r="DG69" i="1" s="1"/>
  <c r="DD69" i="1"/>
  <c r="CW74" i="1"/>
  <c r="CR74" i="1"/>
  <c r="BL56" i="1"/>
  <c r="CA56" i="1"/>
  <c r="CB56" i="1"/>
  <c r="CC56" i="1"/>
  <c r="CW83" i="1"/>
  <c r="CR83" i="1"/>
  <c r="CU60" i="1" l="1"/>
  <c r="CP60" i="1"/>
  <c r="CQ60" i="1"/>
  <c r="CU54" i="1"/>
  <c r="CQ54" i="1"/>
  <c r="CP54" i="1"/>
  <c r="DA50" i="1"/>
  <c r="CZ50" i="1"/>
  <c r="DD54" i="1"/>
  <c r="DE54" i="1"/>
  <c r="DF54" i="1" s="1"/>
  <c r="DG54" i="1" s="1"/>
  <c r="BY72" i="1"/>
  <c r="CW69" i="1"/>
  <c r="CR69" i="1"/>
  <c r="CB60" i="1"/>
  <c r="BL60" i="1"/>
  <c r="CA60" i="1"/>
  <c r="CC60" i="1" s="1"/>
  <c r="CS25" i="1"/>
  <c r="CT25" i="1" s="1"/>
  <c r="CV25" i="1"/>
  <c r="CS82" i="1"/>
  <c r="CT82" i="1" s="1"/>
  <c r="CV82" i="1"/>
  <c r="CQ70" i="1"/>
  <c r="CU70" i="1"/>
  <c r="CP70" i="1"/>
  <c r="BY33" i="1"/>
  <c r="DB14" i="1"/>
  <c r="CV27" i="1"/>
  <c r="CS27" i="1"/>
  <c r="CT27" i="1" s="1"/>
  <c r="CR62" i="1"/>
  <c r="CW62" i="1"/>
  <c r="CR66" i="1"/>
  <c r="CW66" i="1"/>
  <c r="CR63" i="1"/>
  <c r="CW63" i="1"/>
  <c r="CB43" i="1"/>
  <c r="CA43" i="1"/>
  <c r="CC43" i="1"/>
  <c r="BL43" i="1"/>
  <c r="CB54" i="1"/>
  <c r="CC54" i="1"/>
  <c r="BL54" i="1"/>
  <c r="CA54" i="1"/>
  <c r="CW59" i="1"/>
  <c r="CR59" i="1"/>
  <c r="CB36" i="1"/>
  <c r="BL36" i="1"/>
  <c r="CA36" i="1"/>
  <c r="CC36" i="1" s="1"/>
  <c r="CQ22" i="1"/>
  <c r="CU22" i="1"/>
  <c r="CP22" i="1"/>
  <c r="DD8" i="1"/>
  <c r="DE8" i="1"/>
  <c r="DF8" i="1" s="1"/>
  <c r="DG8" i="1" s="1"/>
  <c r="CR51" i="1"/>
  <c r="CW51" i="1"/>
  <c r="CC45" i="1"/>
  <c r="BL45" i="1"/>
  <c r="CA45" i="1"/>
  <c r="CB45" i="1"/>
  <c r="DB82" i="1"/>
  <c r="CY82" i="1"/>
  <c r="BL70" i="1"/>
  <c r="CA70" i="1"/>
  <c r="CB70" i="1"/>
  <c r="CC70" i="1"/>
  <c r="CC28" i="1"/>
  <c r="BL28" i="1"/>
  <c r="CA28" i="1"/>
  <c r="CB28" i="1"/>
  <c r="DB19" i="1"/>
  <c r="CY19" i="1"/>
  <c r="CE52" i="1"/>
  <c r="CL52" i="1" s="1"/>
  <c r="CR75" i="1"/>
  <c r="CW75" i="1"/>
  <c r="CE58" i="1"/>
  <c r="CL58" i="1" s="1"/>
  <c r="DD9" i="1"/>
  <c r="DE9" i="1"/>
  <c r="DF9" i="1" s="1"/>
  <c r="DG9" i="1" s="1"/>
  <c r="CW48" i="1"/>
  <c r="CR48" i="1"/>
  <c r="CW29" i="1"/>
  <c r="CR29" i="1"/>
  <c r="CS49" i="1"/>
  <c r="CT49" i="1" s="1"/>
  <c r="CV49" i="1"/>
  <c r="CP42" i="1"/>
  <c r="CQ42" i="1"/>
  <c r="CU42" i="1"/>
  <c r="CY27" i="1"/>
  <c r="DB27" i="1"/>
  <c r="CW55" i="1"/>
  <c r="CR55" i="1"/>
  <c r="CA40" i="1"/>
  <c r="CB40" i="1"/>
  <c r="CC40" i="1"/>
  <c r="BL40" i="1"/>
  <c r="CP43" i="1"/>
  <c r="CU43" i="1"/>
  <c r="CQ43" i="1"/>
  <c r="CB6" i="1"/>
  <c r="BL6" i="1"/>
  <c r="CA6" i="1"/>
  <c r="CC6" i="1" s="1"/>
  <c r="CP36" i="1"/>
  <c r="CQ36" i="1"/>
  <c r="CU36" i="1"/>
  <c r="CA22" i="1"/>
  <c r="BL22" i="1"/>
  <c r="CB22" i="1"/>
  <c r="CC22" i="1"/>
  <c r="CH15" i="1"/>
  <c r="CL15" i="1"/>
  <c r="CW61" i="1"/>
  <c r="CR61" i="1"/>
  <c r="BZ4" i="1"/>
  <c r="BS4" i="1"/>
  <c r="CN4" i="1" s="1"/>
  <c r="CO4" i="1" s="1"/>
  <c r="CU45" i="1"/>
  <c r="CQ45" i="1"/>
  <c r="CP45" i="1"/>
  <c r="CQ15" i="1"/>
  <c r="CU15" i="1"/>
  <c r="CP15" i="1"/>
  <c r="CU28" i="1"/>
  <c r="CP28" i="1"/>
  <c r="CQ28" i="1"/>
  <c r="CV16" i="1"/>
  <c r="CS16" i="1"/>
  <c r="CT16" i="1" s="1"/>
  <c r="CY25" i="1"/>
  <c r="DB25" i="1"/>
  <c r="CW41" i="1"/>
  <c r="CR41" i="1"/>
  <c r="BY45" i="1"/>
  <c r="CW11" i="1"/>
  <c r="CR11" i="1"/>
  <c r="DB49" i="1"/>
  <c r="CY49" i="1"/>
  <c r="CS38" i="1"/>
  <c r="CT38" i="1" s="1"/>
  <c r="CV38" i="1"/>
  <c r="CR33" i="1"/>
  <c r="CW33" i="1"/>
  <c r="CQ40" i="1"/>
  <c r="CU40" i="1"/>
  <c r="CP40" i="1"/>
  <c r="BY30" i="1"/>
  <c r="CW17" i="1"/>
  <c r="CR17" i="1"/>
  <c r="CU6" i="1"/>
  <c r="CP6" i="1"/>
  <c r="CQ6" i="1"/>
  <c r="DB21" i="1"/>
  <c r="CY21" i="1"/>
  <c r="DD14" i="1"/>
  <c r="DE14" i="1"/>
  <c r="DF14" i="1" s="1"/>
  <c r="DG14" i="1" s="1"/>
  <c r="CR72" i="1"/>
  <c r="CW72" i="1"/>
  <c r="CU47" i="1"/>
  <c r="CP47" i="1"/>
  <c r="CQ47" i="1"/>
  <c r="CV77" i="1"/>
  <c r="CS77" i="1"/>
  <c r="CT77" i="1" s="1"/>
  <c r="CW71" i="1"/>
  <c r="CR71" i="1"/>
  <c r="CC58" i="1"/>
  <c r="CA58" i="1"/>
  <c r="BL58" i="1"/>
  <c r="CB58" i="1"/>
  <c r="BL15" i="1"/>
  <c r="CB15" i="1"/>
  <c r="CC15" i="1"/>
  <c r="CA15" i="1"/>
  <c r="DB68" i="1"/>
  <c r="CY68" i="1"/>
  <c r="DE57" i="1"/>
  <c r="DF57" i="1" s="1"/>
  <c r="DG57" i="1" s="1"/>
  <c r="DD57" i="1"/>
  <c r="CU32" i="1"/>
  <c r="CQ32" i="1"/>
  <c r="CP32" i="1"/>
  <c r="CR7" i="1"/>
  <c r="CW7" i="1"/>
  <c r="DB83" i="1"/>
  <c r="CV74" i="1"/>
  <c r="CS74" i="1"/>
  <c r="CT74" i="1" s="1"/>
  <c r="DD4" i="1"/>
  <c r="DE4" i="1"/>
  <c r="DF4" i="1" s="1"/>
  <c r="DG4" i="1" s="1"/>
  <c r="CU23" i="1"/>
  <c r="CP23" i="1"/>
  <c r="CQ23" i="1"/>
  <c r="CR8" i="1"/>
  <c r="CW8" i="1"/>
  <c r="CV65" i="1"/>
  <c r="CS65" i="1"/>
  <c r="CT65" i="1" s="1"/>
  <c r="CV12" i="1"/>
  <c r="CS12" i="1"/>
  <c r="CT12" i="1" s="1"/>
  <c r="DA37" i="1"/>
  <c r="CZ37" i="1"/>
  <c r="DD47" i="1"/>
  <c r="DE47" i="1"/>
  <c r="DF47" i="1" s="1"/>
  <c r="DG47" i="1" s="1"/>
  <c r="CV21" i="1"/>
  <c r="CS21" i="1"/>
  <c r="CT21" i="1" s="1"/>
  <c r="CU84" i="1"/>
  <c r="CQ84" i="1"/>
  <c r="CP84" i="1"/>
  <c r="BL47" i="1"/>
  <c r="CB47" i="1"/>
  <c r="CC47" i="1"/>
  <c r="CA47" i="1"/>
  <c r="CY77" i="1"/>
  <c r="DB77" i="1"/>
  <c r="CU81" i="1"/>
  <c r="CP81" i="1"/>
  <c r="CQ81" i="1"/>
  <c r="CP58" i="1"/>
  <c r="CQ58" i="1"/>
  <c r="CU58" i="1"/>
  <c r="BZ44" i="1"/>
  <c r="BS44" i="1"/>
  <c r="CN44" i="1" s="1"/>
  <c r="CO44" i="1" s="1"/>
  <c r="CA57" i="1"/>
  <c r="CC57" i="1"/>
  <c r="BL57" i="1"/>
  <c r="CB57" i="1"/>
  <c r="CS68" i="1"/>
  <c r="CT68" i="1" s="1"/>
  <c r="CV68" i="1"/>
  <c r="CB32" i="1"/>
  <c r="BL32" i="1"/>
  <c r="CA32" i="1"/>
  <c r="CC32" i="1" s="1"/>
  <c r="CY20" i="1"/>
  <c r="DB20" i="1"/>
  <c r="CY74" i="1"/>
  <c r="DB74" i="1"/>
  <c r="CY65" i="1"/>
  <c r="DB65" i="1"/>
  <c r="CR64" i="1"/>
  <c r="CW64" i="1"/>
  <c r="BS34" i="1"/>
  <c r="CN34" i="1" s="1"/>
  <c r="CO34" i="1" s="1"/>
  <c r="BZ34" i="1"/>
  <c r="DB24" i="1"/>
  <c r="CY24" i="1"/>
  <c r="DE6" i="1"/>
  <c r="DF6" i="1" s="1"/>
  <c r="DG6" i="1" s="1"/>
  <c r="DD6" i="1"/>
  <c r="DB12" i="1"/>
  <c r="CY12" i="1"/>
  <c r="CZ73" i="1"/>
  <c r="DA73" i="1"/>
  <c r="CC52" i="1"/>
  <c r="CA52" i="1"/>
  <c r="CB52" i="1"/>
  <c r="BL52" i="1"/>
  <c r="CY39" i="1"/>
  <c r="DB39" i="1"/>
  <c r="CA23" i="1"/>
  <c r="BL23" i="1"/>
  <c r="CB23" i="1"/>
  <c r="CC23" i="1"/>
  <c r="CY35" i="1"/>
  <c r="DB35" i="1"/>
  <c r="DB5" i="1"/>
  <c r="CY5" i="1"/>
  <c r="CC46" i="1"/>
  <c r="CA46" i="1"/>
  <c r="CB46" i="1"/>
  <c r="BL46" i="1"/>
  <c r="DE44" i="1"/>
  <c r="DF44" i="1" s="1"/>
  <c r="DG44" i="1" s="1"/>
  <c r="DD44" i="1"/>
  <c r="CY26" i="1"/>
  <c r="DB26" i="1"/>
  <c r="CU57" i="1"/>
  <c r="CP57" i="1"/>
  <c r="CQ57" i="1"/>
  <c r="CS80" i="1"/>
  <c r="CT80" i="1" s="1"/>
  <c r="CV80" i="1"/>
  <c r="DD53" i="1"/>
  <c r="DE53" i="1"/>
  <c r="DF53" i="1" s="1"/>
  <c r="DG53" i="1" s="1"/>
  <c r="CS20" i="1"/>
  <c r="CT20" i="1" s="1"/>
  <c r="CV20" i="1"/>
  <c r="CA67" i="1"/>
  <c r="CB67" i="1"/>
  <c r="CC67" i="1"/>
  <c r="BL67" i="1"/>
  <c r="CR56" i="1"/>
  <c r="CW56" i="1"/>
  <c r="DB38" i="1"/>
  <c r="CY38" i="1"/>
  <c r="DE34" i="1"/>
  <c r="DF34" i="1" s="1"/>
  <c r="DG34" i="1" s="1"/>
  <c r="DD34" i="1"/>
  <c r="CV83" i="1"/>
  <c r="CY83" i="1" s="1"/>
  <c r="CS83" i="1"/>
  <c r="CT83" i="1" s="1"/>
  <c r="CR30" i="1"/>
  <c r="CW30" i="1"/>
  <c r="CR31" i="1"/>
  <c r="CW31" i="1"/>
  <c r="CV24" i="1"/>
  <c r="CS24" i="1"/>
  <c r="CT24" i="1" s="1"/>
  <c r="CV19" i="1"/>
  <c r="CS19" i="1"/>
  <c r="CT19" i="1" s="1"/>
  <c r="DD5" i="1"/>
  <c r="DE5" i="1"/>
  <c r="DF5" i="1" s="1"/>
  <c r="DG5" i="1" s="1"/>
  <c r="DB16" i="1"/>
  <c r="CY16" i="1"/>
  <c r="CW13" i="1"/>
  <c r="CR13" i="1"/>
  <c r="CQ9" i="1"/>
  <c r="CP9" i="1"/>
  <c r="CU9" i="1"/>
  <c r="CP52" i="1"/>
  <c r="CU52" i="1"/>
  <c r="CQ52" i="1"/>
  <c r="CV39" i="1"/>
  <c r="CS39" i="1"/>
  <c r="CT39" i="1" s="1"/>
  <c r="CU78" i="1"/>
  <c r="CQ78" i="1"/>
  <c r="CP78" i="1"/>
  <c r="CV35" i="1"/>
  <c r="CS35" i="1"/>
  <c r="CT35" i="1" s="1"/>
  <c r="CS5" i="1"/>
  <c r="CT5" i="1" s="1"/>
  <c r="CV5" i="1"/>
  <c r="CZ79" i="1"/>
  <c r="DA79" i="1"/>
  <c r="CQ46" i="1"/>
  <c r="CU46" i="1"/>
  <c r="CP46" i="1"/>
  <c r="CS26" i="1"/>
  <c r="CT26" i="1" s="1"/>
  <c r="CV26" i="1"/>
  <c r="BZ10" i="1"/>
  <c r="BS10" i="1"/>
  <c r="CN10" i="1" s="1"/>
  <c r="CO10" i="1" s="1"/>
  <c r="CW18" i="1"/>
  <c r="CR18" i="1"/>
  <c r="CY80" i="1"/>
  <c r="DB80" i="1"/>
  <c r="BZ53" i="1"/>
  <c r="BS53" i="1"/>
  <c r="CN53" i="1" s="1"/>
  <c r="CO53" i="1" s="1"/>
  <c r="CU67" i="1"/>
  <c r="CP67" i="1"/>
  <c r="CQ67" i="1"/>
  <c r="CZ76" i="1"/>
  <c r="DA76" i="1"/>
  <c r="DD10" i="1"/>
  <c r="DE10" i="1"/>
  <c r="DF10" i="1" s="1"/>
  <c r="DG10" i="1" s="1"/>
  <c r="CS14" i="1"/>
  <c r="CT14" i="1" s="1"/>
  <c r="CV14" i="1"/>
  <c r="CY14" i="1" s="1"/>
  <c r="CZ83" i="1" l="1"/>
  <c r="DA83" i="1"/>
  <c r="CZ14" i="1"/>
  <c r="DA14" i="1"/>
  <c r="CR52" i="1"/>
  <c r="CW52" i="1"/>
  <c r="CS31" i="1"/>
  <c r="CT31" i="1" s="1"/>
  <c r="CV31" i="1"/>
  <c r="CZ80" i="1"/>
  <c r="DA80" i="1"/>
  <c r="CW46" i="1"/>
  <c r="CR46" i="1"/>
  <c r="CR9" i="1"/>
  <c r="CW9" i="1"/>
  <c r="CS30" i="1"/>
  <c r="CT30" i="1" s="1"/>
  <c r="CV30" i="1"/>
  <c r="CY30" i="1" s="1"/>
  <c r="CV56" i="1"/>
  <c r="CS56" i="1"/>
  <c r="CT56" i="1" s="1"/>
  <c r="CU44" i="1"/>
  <c r="CQ44" i="1"/>
  <c r="CP44" i="1"/>
  <c r="CR84" i="1"/>
  <c r="CW84" i="1"/>
  <c r="CY71" i="1"/>
  <c r="DB71" i="1"/>
  <c r="DB17" i="1"/>
  <c r="CR15" i="1"/>
  <c r="CW15" i="1"/>
  <c r="DB61" i="1"/>
  <c r="CZ27" i="1"/>
  <c r="DA27" i="1"/>
  <c r="CS48" i="1"/>
  <c r="CT48" i="1" s="1"/>
  <c r="CV48" i="1"/>
  <c r="CZ19" i="1"/>
  <c r="DA19" i="1"/>
  <c r="CY51" i="1"/>
  <c r="DB51" i="1"/>
  <c r="CS66" i="1"/>
  <c r="CT66" i="1" s="1"/>
  <c r="CV66" i="1"/>
  <c r="DB18" i="1"/>
  <c r="CW32" i="1"/>
  <c r="CR32" i="1"/>
  <c r="CS18" i="1"/>
  <c r="CT18" i="1" s="1"/>
  <c r="CV18" i="1"/>
  <c r="CY18" i="1" s="1"/>
  <c r="DA35" i="1"/>
  <c r="CZ35" i="1"/>
  <c r="CZ65" i="1"/>
  <c r="DA65" i="1"/>
  <c r="CB44" i="1"/>
  <c r="BL44" i="1"/>
  <c r="CA44" i="1"/>
  <c r="CC44" i="1"/>
  <c r="CZ77" i="1"/>
  <c r="DA77" i="1"/>
  <c r="CZ49" i="1"/>
  <c r="DA49" i="1"/>
  <c r="CZ25" i="1"/>
  <c r="DA25" i="1"/>
  <c r="CR42" i="1"/>
  <c r="CW42" i="1"/>
  <c r="CY48" i="1"/>
  <c r="DB48" i="1"/>
  <c r="CV51" i="1"/>
  <c r="CS51" i="1"/>
  <c r="CT51" i="1" s="1"/>
  <c r="DB62" i="1"/>
  <c r="CY62" i="1"/>
  <c r="CR70" i="1"/>
  <c r="CW70" i="1"/>
  <c r="CR78" i="1"/>
  <c r="CW78" i="1"/>
  <c r="CZ82" i="1"/>
  <c r="DA82" i="1"/>
  <c r="CS11" i="1"/>
  <c r="CT11" i="1" s="1"/>
  <c r="CV11" i="1"/>
  <c r="CY11" i="1" s="1"/>
  <c r="CZ21" i="1"/>
  <c r="DA21" i="1"/>
  <c r="CW40" i="1"/>
  <c r="CR40" i="1"/>
  <c r="CW67" i="1"/>
  <c r="CR67" i="1"/>
  <c r="CA10" i="1"/>
  <c r="BL10" i="1"/>
  <c r="CC10" i="1"/>
  <c r="CB10" i="1"/>
  <c r="DB13" i="1"/>
  <c r="CY13" i="1"/>
  <c r="CB34" i="1"/>
  <c r="CC34" i="1"/>
  <c r="BL34" i="1"/>
  <c r="CA34" i="1"/>
  <c r="CS8" i="1"/>
  <c r="CT8" i="1" s="1"/>
  <c r="CV8" i="1"/>
  <c r="DB11" i="1"/>
  <c r="CW45" i="1"/>
  <c r="CR45" i="1"/>
  <c r="CY59" i="1"/>
  <c r="DB59" i="1"/>
  <c r="DB69" i="1"/>
  <c r="CR54" i="1"/>
  <c r="CW54" i="1"/>
  <c r="CS62" i="1"/>
  <c r="CT62" i="1" s="1"/>
  <c r="CV62" i="1"/>
  <c r="CV59" i="1"/>
  <c r="CS59" i="1"/>
  <c r="CT59" i="1" s="1"/>
  <c r="CV69" i="1"/>
  <c r="CY69" i="1" s="1"/>
  <c r="CS69" i="1"/>
  <c r="CT69" i="1" s="1"/>
  <c r="CP53" i="1"/>
  <c r="CQ53" i="1"/>
  <c r="CU53" i="1"/>
  <c r="CZ16" i="1"/>
  <c r="DA16" i="1"/>
  <c r="DB31" i="1"/>
  <c r="CY31" i="1"/>
  <c r="CZ38" i="1"/>
  <c r="DA38" i="1"/>
  <c r="CW57" i="1"/>
  <c r="CR57" i="1"/>
  <c r="CQ34" i="1"/>
  <c r="CU34" i="1"/>
  <c r="CP34" i="1"/>
  <c r="DA20" i="1"/>
  <c r="CZ20" i="1"/>
  <c r="CZ68" i="1"/>
  <c r="DA68" i="1"/>
  <c r="CR47" i="1"/>
  <c r="CW47" i="1"/>
  <c r="CY33" i="1"/>
  <c r="DB33" i="1"/>
  <c r="CQ4" i="1"/>
  <c r="CU4" i="1"/>
  <c r="CP4" i="1"/>
  <c r="CV55" i="1"/>
  <c r="CS55" i="1"/>
  <c r="CT55" i="1" s="1"/>
  <c r="DB75" i="1"/>
  <c r="CW22" i="1"/>
  <c r="CR22" i="1"/>
  <c r="DB63" i="1"/>
  <c r="CZ24" i="1"/>
  <c r="DA24" i="1"/>
  <c r="DD15" i="1"/>
  <c r="DE15" i="1"/>
  <c r="DF15" i="1" s="1"/>
  <c r="DG15" i="1" s="1"/>
  <c r="DB8" i="1"/>
  <c r="CY8" i="1"/>
  <c r="CB53" i="1"/>
  <c r="BL53" i="1"/>
  <c r="CA53" i="1"/>
  <c r="CC53" i="1" s="1"/>
  <c r="DA5" i="1"/>
  <c r="CZ5" i="1"/>
  <c r="DA12" i="1"/>
  <c r="CZ12" i="1"/>
  <c r="DB7" i="1"/>
  <c r="CY7" i="1"/>
  <c r="DB72" i="1"/>
  <c r="CW6" i="1"/>
  <c r="CR6" i="1"/>
  <c r="CS33" i="1"/>
  <c r="CT33" i="1" s="1"/>
  <c r="CV33" i="1"/>
  <c r="CS41" i="1"/>
  <c r="CT41" i="1" s="1"/>
  <c r="CV41" i="1"/>
  <c r="CW28" i="1"/>
  <c r="CR28" i="1"/>
  <c r="CA4" i="1"/>
  <c r="CB4" i="1"/>
  <c r="CC4" i="1"/>
  <c r="BL4" i="1"/>
  <c r="CY55" i="1"/>
  <c r="DB55" i="1"/>
  <c r="CS29" i="1"/>
  <c r="CT29" i="1" s="1"/>
  <c r="CV29" i="1"/>
  <c r="CS75" i="1"/>
  <c r="CT75" i="1" s="1"/>
  <c r="CV75" i="1"/>
  <c r="CY75" i="1" s="1"/>
  <c r="CV63" i="1"/>
  <c r="CY63" i="1" s="1"/>
  <c r="CS63" i="1"/>
  <c r="CT63" i="1" s="1"/>
  <c r="CR58" i="1"/>
  <c r="CW58" i="1"/>
  <c r="CQ10" i="1"/>
  <c r="CP10" i="1"/>
  <c r="CU10" i="1"/>
  <c r="CV13" i="1"/>
  <c r="CS13" i="1"/>
  <c r="CT13" i="1" s="1"/>
  <c r="CZ74" i="1"/>
  <c r="DA74" i="1"/>
  <c r="DB64" i="1"/>
  <c r="DB30" i="1"/>
  <c r="CY56" i="1"/>
  <c r="DB56" i="1"/>
  <c r="CZ26" i="1"/>
  <c r="DA26" i="1"/>
  <c r="CZ39" i="1"/>
  <c r="DA39" i="1"/>
  <c r="CS64" i="1"/>
  <c r="CT64" i="1" s="1"/>
  <c r="CV64" i="1"/>
  <c r="CY64" i="1" s="1"/>
  <c r="CR81" i="1"/>
  <c r="CW81" i="1"/>
  <c r="CR23" i="1"/>
  <c r="CW23" i="1"/>
  <c r="CS7" i="1"/>
  <c r="CT7" i="1" s="1"/>
  <c r="CV7" i="1"/>
  <c r="CV71" i="1"/>
  <c r="CS71" i="1"/>
  <c r="CT71" i="1" s="1"/>
  <c r="CS72" i="1"/>
  <c r="CT72" i="1" s="1"/>
  <c r="CV72" i="1"/>
  <c r="CY72" i="1" s="1"/>
  <c r="CS17" i="1"/>
  <c r="CT17" i="1" s="1"/>
  <c r="CV17" i="1"/>
  <c r="CY17" i="1" s="1"/>
  <c r="DB41" i="1"/>
  <c r="CY41" i="1"/>
  <c r="CS61" i="1"/>
  <c r="CT61" i="1" s="1"/>
  <c r="CV61" i="1"/>
  <c r="CY61" i="1" s="1"/>
  <c r="CR36" i="1"/>
  <c r="CW36" i="1"/>
  <c r="CR43" i="1"/>
  <c r="CW43" i="1"/>
  <c r="CY29" i="1"/>
  <c r="DB29" i="1"/>
  <c r="DB66" i="1"/>
  <c r="CY66" i="1"/>
  <c r="CR60" i="1"/>
  <c r="CW60" i="1"/>
  <c r="CZ30" i="1" l="1"/>
  <c r="DA30" i="1"/>
  <c r="DA61" i="1"/>
  <c r="CZ61" i="1"/>
  <c r="CZ64" i="1"/>
  <c r="DA64" i="1"/>
  <c r="DA17" i="1"/>
  <c r="CZ17" i="1"/>
  <c r="CZ63" i="1"/>
  <c r="DA63" i="1"/>
  <c r="CZ18" i="1"/>
  <c r="DA18" i="1"/>
  <c r="CZ75" i="1"/>
  <c r="DA75" i="1"/>
  <c r="CZ72" i="1"/>
  <c r="DA72" i="1"/>
  <c r="CZ11" i="1"/>
  <c r="DA11" i="1"/>
  <c r="CZ69" i="1"/>
  <c r="DA69" i="1"/>
  <c r="CY43" i="1"/>
  <c r="DB43" i="1"/>
  <c r="CY23" i="1"/>
  <c r="DB23" i="1"/>
  <c r="CS58" i="1"/>
  <c r="CT58" i="1" s="1"/>
  <c r="CV58" i="1"/>
  <c r="CY58" i="1" s="1"/>
  <c r="CZ55" i="1"/>
  <c r="DA55" i="1"/>
  <c r="CR4" i="1"/>
  <c r="CW4" i="1"/>
  <c r="DB70" i="1"/>
  <c r="CY70" i="1"/>
  <c r="CY42" i="1"/>
  <c r="DB42" i="1"/>
  <c r="CY84" i="1"/>
  <c r="DB84" i="1"/>
  <c r="CV43" i="1"/>
  <c r="CS43" i="1"/>
  <c r="CT43" i="1" s="1"/>
  <c r="CS23" i="1"/>
  <c r="CT23" i="1" s="1"/>
  <c r="CV23" i="1"/>
  <c r="CZ8" i="1"/>
  <c r="DA8" i="1"/>
  <c r="CS22" i="1"/>
  <c r="CT22" i="1" s="1"/>
  <c r="CV22" i="1"/>
  <c r="DA31" i="1"/>
  <c r="CZ31" i="1"/>
  <c r="CS70" i="1"/>
  <c r="CT70" i="1" s="1"/>
  <c r="CV70" i="1"/>
  <c r="CV42" i="1"/>
  <c r="CS42" i="1"/>
  <c r="CT42" i="1" s="1"/>
  <c r="CZ51" i="1"/>
  <c r="DA51" i="1"/>
  <c r="CV84" i="1"/>
  <c r="CS84" i="1"/>
  <c r="CT84" i="1" s="1"/>
  <c r="DB9" i="1"/>
  <c r="CY9" i="1"/>
  <c r="DB52" i="1"/>
  <c r="CZ62" i="1"/>
  <c r="DA62" i="1"/>
  <c r="CS32" i="1"/>
  <c r="CT32" i="1" s="1"/>
  <c r="CV32" i="1"/>
  <c r="CY15" i="1"/>
  <c r="DB15" i="1"/>
  <c r="CS9" i="1"/>
  <c r="CT9" i="1" s="1"/>
  <c r="CV9" i="1"/>
  <c r="CS52" i="1"/>
  <c r="CT52" i="1" s="1"/>
  <c r="CV52" i="1"/>
  <c r="CY52" i="1" s="1"/>
  <c r="CZ71" i="1"/>
  <c r="DA71" i="1"/>
  <c r="DB81" i="1"/>
  <c r="CY81" i="1"/>
  <c r="CV60" i="1"/>
  <c r="CS60" i="1"/>
  <c r="CT60" i="1" s="1"/>
  <c r="CV81" i="1"/>
  <c r="CS81" i="1"/>
  <c r="CT81" i="1" s="1"/>
  <c r="DA56" i="1"/>
  <c r="CZ56" i="1"/>
  <c r="CV6" i="1"/>
  <c r="CS6" i="1"/>
  <c r="CT6" i="1" s="1"/>
  <c r="DA33" i="1"/>
  <c r="CZ33" i="1"/>
  <c r="CW34" i="1"/>
  <c r="CR34" i="1"/>
  <c r="CZ59" i="1"/>
  <c r="DA59" i="1"/>
  <c r="CY32" i="1"/>
  <c r="DB32" i="1"/>
  <c r="CV15" i="1"/>
  <c r="CS15" i="1"/>
  <c r="CT15" i="1" s="1"/>
  <c r="CS46" i="1"/>
  <c r="CT46" i="1" s="1"/>
  <c r="CV46" i="1"/>
  <c r="DA7" i="1"/>
  <c r="CZ7" i="1"/>
  <c r="DB40" i="1"/>
  <c r="CY40" i="1"/>
  <c r="CY60" i="1"/>
  <c r="DB60" i="1"/>
  <c r="CZ66" i="1"/>
  <c r="DA66" i="1"/>
  <c r="CR10" i="1"/>
  <c r="CW10" i="1"/>
  <c r="CY6" i="1"/>
  <c r="DB6" i="1"/>
  <c r="DB47" i="1"/>
  <c r="CS45" i="1"/>
  <c r="CT45" i="1" s="1"/>
  <c r="CV45" i="1"/>
  <c r="CY45" i="1" s="1"/>
  <c r="CV67" i="1"/>
  <c r="CS67" i="1"/>
  <c r="CT67" i="1" s="1"/>
  <c r="CR44" i="1"/>
  <c r="CW44" i="1"/>
  <c r="DB46" i="1"/>
  <c r="CY46" i="1"/>
  <c r="CZ29" i="1"/>
  <c r="DA29" i="1"/>
  <c r="CS54" i="1"/>
  <c r="CT54" i="1" s="1"/>
  <c r="CV54" i="1"/>
  <c r="CS78" i="1"/>
  <c r="CT78" i="1" s="1"/>
  <c r="CV78" i="1"/>
  <c r="CY22" i="1"/>
  <c r="DB22" i="1"/>
  <c r="CV36" i="1"/>
  <c r="CS36" i="1"/>
  <c r="CT36" i="1" s="1"/>
  <c r="CV28" i="1"/>
  <c r="CS28" i="1"/>
  <c r="CT28" i="1" s="1"/>
  <c r="CS47" i="1"/>
  <c r="CT47" i="1" s="1"/>
  <c r="CV47" i="1"/>
  <c r="CY47" i="1" s="1"/>
  <c r="CS57" i="1"/>
  <c r="CT57" i="1" s="1"/>
  <c r="CV57" i="1"/>
  <c r="CR53" i="1"/>
  <c r="CW53" i="1"/>
  <c r="DB45" i="1"/>
  <c r="CY67" i="1"/>
  <c r="DB67" i="1"/>
  <c r="DB58" i="1"/>
  <c r="CZ48" i="1"/>
  <c r="DA48" i="1"/>
  <c r="CY36" i="1"/>
  <c r="DB36" i="1"/>
  <c r="CZ41" i="1"/>
  <c r="DA41" i="1"/>
  <c r="CY28" i="1"/>
  <c r="DB28" i="1"/>
  <c r="DB57" i="1"/>
  <c r="CY57" i="1"/>
  <c r="CY54" i="1"/>
  <c r="DB54" i="1"/>
  <c r="CZ13" i="1"/>
  <c r="DA13" i="1"/>
  <c r="CS40" i="1"/>
  <c r="CT40" i="1" s="1"/>
  <c r="CV40" i="1"/>
  <c r="DB78" i="1"/>
  <c r="CY78" i="1"/>
  <c r="DA47" i="1" l="1"/>
  <c r="CZ47" i="1"/>
  <c r="DA52" i="1"/>
  <c r="CZ52" i="1"/>
  <c r="DA45" i="1"/>
  <c r="CZ45" i="1"/>
  <c r="DA58" i="1"/>
  <c r="CZ58" i="1"/>
  <c r="CZ40" i="1"/>
  <c r="DA40" i="1"/>
  <c r="CZ67" i="1"/>
  <c r="DA67" i="1"/>
  <c r="CS44" i="1"/>
  <c r="CT44" i="1" s="1"/>
  <c r="CV44" i="1"/>
  <c r="CZ6" i="1"/>
  <c r="DA6" i="1"/>
  <c r="CZ32" i="1"/>
  <c r="DA32" i="1"/>
  <c r="CZ15" i="1"/>
  <c r="DA15" i="1"/>
  <c r="DA23" i="1"/>
  <c r="CZ23" i="1"/>
  <c r="DA81" i="1"/>
  <c r="CZ81" i="1"/>
  <c r="CZ70" i="1"/>
  <c r="DA70" i="1"/>
  <c r="DB10" i="1"/>
  <c r="CY10" i="1"/>
  <c r="DB4" i="1"/>
  <c r="DB44" i="1"/>
  <c r="CY44" i="1"/>
  <c r="CZ9" i="1"/>
  <c r="DA9" i="1"/>
  <c r="DA54" i="1"/>
  <c r="CZ54" i="1"/>
  <c r="CZ36" i="1"/>
  <c r="DA36" i="1"/>
  <c r="CS10" i="1"/>
  <c r="CT10" i="1" s="1"/>
  <c r="CV10" i="1"/>
  <c r="CS4" i="1"/>
  <c r="CT4" i="1" s="1"/>
  <c r="CV4" i="1"/>
  <c r="CY4" i="1" s="1"/>
  <c r="DA43" i="1"/>
  <c r="CZ43" i="1"/>
  <c r="DA78" i="1"/>
  <c r="CZ78" i="1"/>
  <c r="DA57" i="1"/>
  <c r="CZ57" i="1"/>
  <c r="DB53" i="1"/>
  <c r="CV34" i="1"/>
  <c r="CS34" i="1"/>
  <c r="CT34" i="1" s="1"/>
  <c r="CS53" i="1"/>
  <c r="CT53" i="1" s="1"/>
  <c r="CV53" i="1"/>
  <c r="CY53" i="1" s="1"/>
  <c r="CY34" i="1"/>
  <c r="DB34" i="1"/>
  <c r="DA84" i="1"/>
  <c r="CZ84" i="1"/>
  <c r="DA46" i="1"/>
  <c r="CZ46" i="1"/>
  <c r="CZ28" i="1"/>
  <c r="DA28" i="1"/>
  <c r="CZ22" i="1"/>
  <c r="DA22" i="1"/>
  <c r="DA60" i="1"/>
  <c r="CZ60" i="1"/>
  <c r="DA42" i="1"/>
  <c r="CZ42" i="1"/>
  <c r="DA53" i="1" l="1"/>
  <c r="CZ53" i="1"/>
  <c r="CZ4" i="1"/>
  <c r="DA4" i="1"/>
  <c r="CZ34" i="1"/>
  <c r="DA34" i="1"/>
  <c r="CZ44" i="1"/>
  <c r="DA44" i="1"/>
  <c r="CZ10" i="1"/>
  <c r="DA10" i="1"/>
</calcChain>
</file>

<file path=xl/comments1.xml><?xml version="1.0" encoding="utf-8"?>
<comments xmlns="http://schemas.openxmlformats.org/spreadsheetml/2006/main">
  <authors>
    <author>fpe</author>
  </authors>
  <commentList>
    <comment ref="BU1" authorId="0">
      <text>
        <r>
          <rPr>
            <b/>
            <sz val="9"/>
            <color indexed="81"/>
            <rFont val="Tahoma"/>
            <family val="2"/>
          </rPr>
          <t>Identico per ogni provino</t>
        </r>
      </text>
    </comment>
    <comment ref="DJ1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DK1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DL1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OCR RICALCOLATO PER OGNI PROVINO PARTENDO DA S'p CONOSCIUTA (Oed)</t>
        </r>
      </text>
    </comment>
    <comment ref="BP2" authorId="0">
      <text>
        <r>
          <rPr>
            <sz val="9"/>
            <color indexed="81"/>
            <rFont val="Tahoma"/>
            <family val="2"/>
          </rPr>
          <t xml:space="preserve">Se il comportamento è incrudente allora NC altrimenti se softening OC
</t>
        </r>
      </text>
    </comment>
    <comment ref="BS2" authorId="0">
      <text>
        <r>
          <rPr>
            <b/>
            <sz val="9"/>
            <color indexed="81"/>
            <rFont val="Tahoma"/>
            <family val="2"/>
          </rPr>
          <t>La verifica non passa se il provino è consolidato con s'1&lt;s'v ciononostante è più compatto rispetto a e0 (e0/e1&gt;1)
Il risultato è una Cu sovrastimata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2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BV2" authorId="0">
      <text>
        <r>
          <rPr>
            <sz val="9"/>
            <color indexed="81"/>
            <rFont val="Tahoma"/>
            <family val="2"/>
          </rPr>
          <t xml:space="preserve">RICALCOLATO PER CIASCUNO: Back calcolato per far tornare la OCR calcolata con edometriche
compreso tra 0.23 e 0.35 in SANSHEP altrimenti la cu viene sovractimata e tale valore può essere più alto
</t>
        </r>
      </text>
    </comment>
    <comment ref="BW2" authorId="0">
      <text>
        <r>
          <rPr>
            <b/>
            <sz val="9"/>
            <color indexed="81"/>
            <rFont val="Tahoma"/>
            <family val="2"/>
          </rPr>
          <t>E UN OCR CALCOLATO CON R OMOGENEO PER PROVINO…..OCR del provino riconsolidato con s'1….non del terreno alla profondità z</t>
        </r>
      </text>
    </comment>
    <comment ref="BX2" authorId="0">
      <text>
        <r>
          <rPr>
            <b/>
            <sz val="9"/>
            <color indexed="81"/>
            <rFont val="Tahoma"/>
            <family val="2"/>
          </rPr>
          <t>OCR CALCOLATO PER OGNI TEST ….OCR del provino riconsolidato con s'1….non del terreno alla profondità z</t>
        </r>
      </text>
    </comment>
    <comment ref="CA2" authorId="0">
      <text>
        <r>
          <rPr>
            <b/>
            <sz val="9"/>
            <color indexed="81"/>
            <rFont val="Tahoma"/>
            <family val="2"/>
          </rPr>
          <t>Impongo che se il rapporto R cu/s'v è compreso tra 0,2 e 0,4 allora ho superato la pressione di preconsolidazione ma è solo una ipotes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" authorId="0">
      <text>
        <r>
          <rPr>
            <b/>
            <sz val="9"/>
            <color indexed="81"/>
            <rFont val="Tahoma"/>
            <family val="2"/>
          </rPr>
          <t>Confrontare con s'p ipotetica per iterazione</t>
        </r>
      </text>
    </comment>
    <comment ref="CC2" authorId="0">
      <text>
        <r>
          <rPr>
            <sz val="11"/>
            <color indexed="81"/>
            <rFont val="Tahoma"/>
            <family val="2"/>
          </rPr>
          <t>Se s1&gt;sv e s1&gt;sp = NO allora ---&gt;  OC
Se s1&gt;sv e s1&gt;sp = Y   allora  ---&gt;  NC
Se s1&lt;s'v                    allora  ---&gt;  Errore
Nota se NC allora   R= Rnc ovvero compreso tra 0.23 e 0.4</t>
        </r>
      </text>
    </comment>
    <comment ref="CD2" authorId="0">
      <text>
        <r>
          <rPr>
            <sz val="9"/>
            <color indexed="81"/>
            <rFont val="Tahoma"/>
            <family val="2"/>
          </rPr>
          <t xml:space="preserve">Calcolati con "RNC" omogeneizzato per campione
</t>
        </r>
      </text>
    </comment>
    <comment ref="CE2" authorId="0">
      <text>
        <r>
          <rPr>
            <sz val="9"/>
            <color indexed="81"/>
            <rFont val="Tahoma"/>
            <family val="2"/>
          </rPr>
          <t>Calcolato per ogni provino e con s'p fissa per ogni campione</t>
        </r>
      </text>
    </comment>
    <comment ref="CG2" authorId="0">
      <text>
        <r>
          <rPr>
            <sz val="9"/>
            <color indexed="81"/>
            <rFont val="Tahoma"/>
            <family val="2"/>
          </rPr>
          <t>Calcolate dalla media di più provini)</t>
        </r>
      </text>
    </comment>
    <comment ref="CQ2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CU2" authorId="0">
      <text>
        <r>
          <rPr>
            <sz val="9"/>
            <color indexed="81"/>
            <rFont val="Tahoma"/>
            <family val="2"/>
          </rPr>
          <t xml:space="preserve">Back calcolato per far tornare la OCR calcolata con edometriche
compreso tra 0.23 e 0.35 in SANSHEP altrimenti la cu viene sovractimata e tale valore può essere più alto
</t>
        </r>
      </text>
    </comment>
    <comment ref="CY2" authorId="0">
      <text>
        <r>
          <rPr>
            <b/>
            <sz val="9"/>
            <color indexed="81"/>
            <rFont val="Tahoma"/>
            <family val="2"/>
          </rPr>
          <t>Formula con valori medi di R e OCR per campione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2" authorId="0">
      <text>
        <r>
          <rPr>
            <b/>
            <sz val="9"/>
            <color indexed="81"/>
            <rFont val="Tahoma"/>
            <family val="2"/>
          </rPr>
          <t xml:space="preserve">Questa OCR è funzione della z trovata interpolando le OCR edometriche:
-1.485*ln(z)+7.098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3" authorId="0">
      <text>
        <r>
          <rPr>
            <sz val="9"/>
            <color indexed="81"/>
            <rFont val="Tahoma"/>
            <family val="2"/>
          </rPr>
          <t xml:space="preserve">Impongo che se questo rapporto è compreso tra 0,2 e 0,4 allora ho superato la pressione di preconsolidazione ma è solo una ipotesi
</t>
        </r>
      </text>
    </comment>
    <comment ref="AB28" authorId="0">
      <text>
        <r>
          <rPr>
            <b/>
            <sz val="9"/>
            <color indexed="81"/>
            <rFont val="Tahoma"/>
            <family val="2"/>
          </rPr>
          <t>fpe:</t>
        </r>
        <r>
          <rPr>
            <sz val="9"/>
            <color indexed="81"/>
            <rFont val="Tahoma"/>
            <family val="2"/>
          </rPr>
          <t xml:space="preserve">
Wn compacted &lt; Wn before compaction</t>
        </r>
      </text>
    </comment>
  </commentList>
</comments>
</file>

<file path=xl/sharedStrings.xml><?xml version="1.0" encoding="utf-8"?>
<sst xmlns="http://schemas.openxmlformats.org/spreadsheetml/2006/main" count="461" uniqueCount="129">
  <si>
    <t>TX-CIU</t>
  </si>
  <si>
    <t>Var</t>
  </si>
  <si>
    <t>TRT05</t>
  </si>
  <si>
    <t>TRT04</t>
  </si>
  <si>
    <t>TX-CID</t>
  </si>
  <si>
    <t>LR13</t>
  </si>
  <si>
    <t>LR04</t>
  </si>
  <si>
    <t>LR01</t>
  </si>
  <si>
    <t>CH-Var</t>
  </si>
  <si>
    <t>LR11</t>
  </si>
  <si>
    <t>LR10</t>
  </si>
  <si>
    <t>LR03</t>
  </si>
  <si>
    <t>CH</t>
  </si>
  <si>
    <t>CL</t>
  </si>
  <si>
    <t>LR09</t>
  </si>
  <si>
    <t>CH(Gr)</t>
  </si>
  <si>
    <t>Kpa</t>
  </si>
  <si>
    <t>-</t>
  </si>
  <si>
    <t>m</t>
  </si>
  <si>
    <t>σ'p / σ'v</t>
  </si>
  <si>
    <r>
      <t>R</t>
    </r>
    <r>
      <rPr>
        <vertAlign val="subscript"/>
        <sz val="11"/>
        <rFont val="Calibri"/>
        <family val="2"/>
        <scheme val="minor"/>
      </rPr>
      <t>NC</t>
    </r>
  </si>
  <si>
    <t>Ln OCR**</t>
  </si>
  <si>
    <t>OCR**</t>
  </si>
  <si>
    <t>OMO</t>
  </si>
  <si>
    <t>kPa</t>
  </si>
  <si>
    <t>°</t>
  </si>
  <si>
    <t>%</t>
  </si>
  <si>
    <r>
      <t>kN/m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</si>
  <si>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t>Cu,oc,exp</t>
  </si>
  <si>
    <t>OCR (Exp)</t>
  </si>
  <si>
    <r>
      <t>Cu,</t>
    </r>
    <r>
      <rPr>
        <vertAlign val="subscript"/>
        <sz val="11"/>
        <color theme="1"/>
        <rFont val="Calibri"/>
        <family val="2"/>
        <scheme val="minor"/>
      </rPr>
      <t>NC</t>
    </r>
  </si>
  <si>
    <t>Cu</t>
  </si>
  <si>
    <t>A ske</t>
  </si>
  <si>
    <t>Z</t>
  </si>
  <si>
    <t>OCR</t>
  </si>
  <si>
    <r>
      <t>C</t>
    </r>
    <r>
      <rPr>
        <b/>
        <vertAlign val="subscript"/>
        <sz val="11"/>
        <color rgb="FF0000FF"/>
        <rFont val="Calibri"/>
        <family val="2"/>
        <scheme val="minor"/>
      </rPr>
      <t xml:space="preserve">u </t>
    </r>
    <r>
      <rPr>
        <b/>
        <sz val="11"/>
        <color rgb="FF0000FF"/>
        <rFont val="Calibri"/>
        <family val="2"/>
        <scheme val="minor"/>
      </rPr>
      <t>/ σ'</t>
    </r>
    <r>
      <rPr>
        <b/>
        <vertAlign val="subscript"/>
        <sz val="11"/>
        <color rgb="FF0000FF"/>
        <rFont val="Calibri"/>
        <family val="2"/>
        <scheme val="minor"/>
      </rPr>
      <t>c</t>
    </r>
  </si>
  <si>
    <t>Askempt</t>
  </si>
  <si>
    <t>σ'p / σ'1</t>
  </si>
  <si>
    <r>
      <t>C</t>
    </r>
    <r>
      <rPr>
        <b/>
        <vertAlign val="subscript"/>
        <sz val="11"/>
        <color theme="0" tint="-0.249977111117893"/>
        <rFont val="Calibri"/>
        <family val="2"/>
        <scheme val="minor"/>
      </rPr>
      <t xml:space="preserve">u </t>
    </r>
    <r>
      <rPr>
        <b/>
        <sz val="11"/>
        <color theme="0" tint="-0.249977111117893"/>
        <rFont val="Calibri"/>
        <family val="2"/>
        <scheme val="minor"/>
      </rPr>
      <t>/ σ'</t>
    </r>
    <r>
      <rPr>
        <b/>
        <vertAlign val="subscript"/>
        <sz val="11"/>
        <color theme="0" tint="-0.249977111117893"/>
        <rFont val="Calibri"/>
        <family val="2"/>
        <scheme val="minor"/>
      </rPr>
      <t>c</t>
    </r>
  </si>
  <si>
    <r>
      <t>σ'</t>
    </r>
    <r>
      <rPr>
        <vertAlign val="subscript"/>
        <sz val="11"/>
        <color rgb="FFFF3300"/>
        <rFont val="Calibri"/>
        <family val="2"/>
        <scheme val="minor"/>
      </rPr>
      <t>1</t>
    </r>
    <r>
      <rPr>
        <sz val="11"/>
        <color rgb="FFFF3300"/>
        <rFont val="Calibri"/>
        <family val="2"/>
        <scheme val="minor"/>
      </rPr>
      <t>/σ'</t>
    </r>
    <r>
      <rPr>
        <vertAlign val="subscript"/>
        <sz val="11"/>
        <color rgb="FFFF3300"/>
        <rFont val="Calibri"/>
        <family val="2"/>
        <scheme val="minor"/>
      </rPr>
      <t>v</t>
    </r>
  </si>
  <si>
    <r>
      <t>C</t>
    </r>
    <r>
      <rPr>
        <b/>
        <vertAlign val="subscript"/>
        <sz val="11"/>
        <color rgb="FFFF33CC"/>
        <rFont val="Calibri"/>
        <family val="2"/>
        <scheme val="minor"/>
      </rPr>
      <t xml:space="preserve">u,eff </t>
    </r>
    <r>
      <rPr>
        <b/>
        <sz val="11"/>
        <color rgb="FFFF33CC"/>
        <rFont val="Calibri"/>
        <family val="2"/>
        <scheme val="minor"/>
      </rPr>
      <t>/ σ'</t>
    </r>
    <r>
      <rPr>
        <b/>
        <vertAlign val="subscript"/>
        <sz val="11"/>
        <color rgb="FFFF33CC"/>
        <rFont val="Calibri"/>
        <family val="2"/>
        <scheme val="minor"/>
      </rPr>
      <t>c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</si>
  <si>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/e</t>
    </r>
    <r>
      <rPr>
        <vertAlign val="subscript"/>
        <sz val="11"/>
        <color rgb="FFFF0000"/>
        <rFont val="Calibri"/>
        <family val="2"/>
        <scheme val="minor"/>
      </rPr>
      <t>c</t>
    </r>
  </si>
  <si>
    <t>Macro</t>
  </si>
  <si>
    <r>
      <t>C</t>
    </r>
    <r>
      <rPr>
        <b/>
        <vertAlign val="subscript"/>
        <sz val="11"/>
        <color rgb="FF009900"/>
        <rFont val="Calibri"/>
        <family val="2"/>
        <scheme val="minor"/>
      </rPr>
      <t xml:space="preserve">u </t>
    </r>
    <r>
      <rPr>
        <b/>
        <sz val="11"/>
        <color rgb="FF009900"/>
        <rFont val="Calibri"/>
        <family val="2"/>
        <scheme val="minor"/>
      </rPr>
      <t>/ σ'</t>
    </r>
    <r>
      <rPr>
        <b/>
        <vertAlign val="subscript"/>
        <sz val="11"/>
        <color rgb="FF009900"/>
        <rFont val="Calibri"/>
        <family val="2"/>
        <scheme val="minor"/>
      </rPr>
      <t>c</t>
    </r>
  </si>
  <si>
    <r>
      <t>σ'</t>
    </r>
    <r>
      <rPr>
        <vertAlign val="subscript"/>
        <sz val="11"/>
        <color rgb="FF009900"/>
        <rFont val="Calibri"/>
        <family val="2"/>
        <scheme val="minor"/>
      </rPr>
      <t>1</t>
    </r>
    <r>
      <rPr>
        <sz val="11"/>
        <color rgb="FF009900"/>
        <rFont val="Calibri"/>
        <family val="2"/>
        <scheme val="minor"/>
      </rPr>
      <t>&lt;&lt;σ'</t>
    </r>
    <r>
      <rPr>
        <vertAlign val="subscript"/>
        <sz val="11"/>
        <color rgb="FF009900"/>
        <rFont val="Calibri"/>
        <family val="2"/>
        <scheme val="minor"/>
      </rPr>
      <t>v</t>
    </r>
  </si>
  <si>
    <t>R!</t>
  </si>
  <si>
    <r>
      <t>OCR</t>
    </r>
    <r>
      <rPr>
        <vertAlign val="subscript"/>
        <sz val="11"/>
        <rFont val="Calibri"/>
        <family val="2"/>
      </rPr>
      <t>Oed</t>
    </r>
  </si>
  <si>
    <r>
      <t>σ</t>
    </r>
    <r>
      <rPr>
        <vertAlign val="subscript"/>
        <sz val="11"/>
        <rFont val="Calibri"/>
        <family val="2"/>
      </rPr>
      <t>p,Oed</t>
    </r>
  </si>
  <si>
    <r>
      <t>σ</t>
    </r>
    <r>
      <rPr>
        <b/>
        <vertAlign val="subscript"/>
        <sz val="11"/>
        <color rgb="FF0000FF"/>
        <rFont val="Calibri"/>
        <family val="2"/>
      </rPr>
      <t>p</t>
    </r>
  </si>
  <si>
    <r>
      <t>σ</t>
    </r>
    <r>
      <rPr>
        <vertAlign val="subscript"/>
        <sz val="11"/>
        <color theme="0" tint="-0.249977111117893"/>
        <rFont val="Calibri"/>
        <family val="2"/>
      </rPr>
      <t>p</t>
    </r>
  </si>
  <si>
    <r>
      <t>σ</t>
    </r>
    <r>
      <rPr>
        <vertAlign val="subscript"/>
        <sz val="11"/>
        <color rgb="FF009900"/>
        <rFont val="Calibri"/>
        <family val="2"/>
      </rPr>
      <t>p</t>
    </r>
  </si>
  <si>
    <r>
      <t>σ</t>
    </r>
    <r>
      <rPr>
        <vertAlign val="subscript"/>
        <sz val="11"/>
        <color rgb="FF009900"/>
        <rFont val="Calibri"/>
        <family val="2"/>
      </rPr>
      <t>1</t>
    </r>
    <r>
      <rPr>
        <sz val="11"/>
        <color rgb="FF009900"/>
        <rFont val="Calibri"/>
        <family val="2"/>
      </rPr>
      <t>&gt;σ</t>
    </r>
    <r>
      <rPr>
        <vertAlign val="subscript"/>
        <sz val="11"/>
        <color rgb="FF009900"/>
        <rFont val="Calibri"/>
        <family val="2"/>
      </rPr>
      <t>p</t>
    </r>
  </si>
  <si>
    <r>
      <t>σ</t>
    </r>
    <r>
      <rPr>
        <vertAlign val="subscript"/>
        <sz val="11"/>
        <color rgb="FF009900"/>
        <rFont val="Calibri"/>
        <family val="2"/>
      </rPr>
      <t>1</t>
    </r>
    <r>
      <rPr>
        <sz val="11"/>
        <color rgb="FF009900"/>
        <rFont val="Calibri"/>
        <family val="2"/>
      </rPr>
      <t>&gt;σ</t>
    </r>
    <r>
      <rPr>
        <vertAlign val="subscript"/>
        <sz val="11"/>
        <color rgb="FF009900"/>
        <rFont val="Calibri"/>
        <family val="2"/>
      </rPr>
      <t>v</t>
    </r>
  </si>
  <si>
    <r>
      <t>R</t>
    </r>
    <r>
      <rPr>
        <b/>
        <vertAlign val="subscript"/>
        <sz val="11"/>
        <color rgb="FFFF33CC"/>
        <rFont val="Calibri"/>
        <family val="2"/>
        <scheme val="minor"/>
      </rPr>
      <t>NC</t>
    </r>
    <r>
      <rPr>
        <b/>
        <sz val="11"/>
        <color rgb="FFFF33CC"/>
        <rFont val="Calibri"/>
        <family val="2"/>
        <scheme val="minor"/>
      </rPr>
      <t>*OCR</t>
    </r>
    <r>
      <rPr>
        <b/>
        <vertAlign val="superscript"/>
        <sz val="11"/>
        <color rgb="FFFF33CC"/>
        <rFont val="Calibri"/>
        <family val="2"/>
        <scheme val="minor"/>
      </rPr>
      <t>0.8</t>
    </r>
  </si>
  <si>
    <r>
      <t>OCR</t>
    </r>
    <r>
      <rPr>
        <vertAlign val="subscript"/>
        <sz val="11"/>
        <color theme="1"/>
        <rFont val="Calibri"/>
        <family val="2"/>
        <scheme val="minor"/>
      </rPr>
      <t>,oed</t>
    </r>
  </si>
  <si>
    <t>VERIF</t>
  </si>
  <si>
    <t>Behaviour</t>
  </si>
  <si>
    <r>
      <t>A</t>
    </r>
    <r>
      <rPr>
        <vertAlign val="subscript"/>
        <sz val="11"/>
        <color theme="1"/>
        <rFont val="Calibri"/>
        <family val="2"/>
        <scheme val="minor"/>
      </rPr>
      <t>ske</t>
    </r>
  </si>
  <si>
    <r>
      <t>C</t>
    </r>
    <r>
      <rPr>
        <vertAlign val="subscript"/>
        <sz val="11"/>
        <color theme="1"/>
        <rFont val="Calibri"/>
        <family val="2"/>
        <scheme val="minor"/>
      </rPr>
      <t>u,</t>
    </r>
    <r>
      <rPr>
        <vertAlign val="subscript"/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</rPr>
      <t>'v</t>
    </r>
  </si>
  <si>
    <r>
      <t>C</t>
    </r>
    <r>
      <rPr>
        <vertAlign val="subscript"/>
        <sz val="11"/>
        <color theme="1"/>
        <rFont val="Calibri"/>
        <family val="2"/>
        <scheme val="minor"/>
      </rPr>
      <t>u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</si>
  <si>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/e</t>
    </r>
    <r>
      <rPr>
        <vertAlign val="subscript"/>
        <sz val="11"/>
        <color theme="1"/>
        <rFont val="Calibri"/>
        <family val="2"/>
        <scheme val="minor"/>
      </rPr>
      <t>c</t>
    </r>
  </si>
  <si>
    <t>TYPE</t>
  </si>
  <si>
    <t>K</t>
  </si>
  <si>
    <r>
      <t>E</t>
    </r>
    <r>
      <rPr>
        <vertAlign val="subscript"/>
        <sz val="11"/>
        <color theme="1"/>
        <rFont val="Calibri"/>
        <family val="2"/>
        <scheme val="minor"/>
      </rPr>
      <t>u,50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u</t>
    </r>
  </si>
  <si>
    <r>
      <t>E</t>
    </r>
    <r>
      <rPr>
        <vertAlign val="subscript"/>
        <sz val="11"/>
        <color theme="1"/>
        <rFont val="Calibri"/>
        <family val="2"/>
        <scheme val="minor"/>
      </rPr>
      <t>U,50</t>
    </r>
  </si>
  <si>
    <r>
      <t>E</t>
    </r>
    <r>
      <rPr>
        <vertAlign val="subscript"/>
        <sz val="11"/>
        <color theme="1"/>
        <rFont val="Calibri"/>
        <family val="2"/>
        <scheme val="minor"/>
      </rPr>
      <t>U</t>
    </r>
  </si>
  <si>
    <r>
      <t>j</t>
    </r>
    <r>
      <rPr>
        <sz val="11"/>
        <rFont val="Calibri"/>
        <family val="2"/>
        <scheme val="minor"/>
      </rPr>
      <t>'</t>
    </r>
  </si>
  <si>
    <t>c'</t>
  </si>
  <si>
    <r>
      <t>j</t>
    </r>
    <r>
      <rPr>
        <vertAlign val="subscript"/>
        <sz val="11"/>
        <rFont val="Calibri"/>
        <family val="2"/>
        <scheme val="minor"/>
      </rPr>
      <t>u</t>
    </r>
  </si>
  <si>
    <r>
      <t>c</t>
    </r>
    <r>
      <rPr>
        <vertAlign val="subscript"/>
        <sz val="11"/>
        <color theme="1"/>
        <rFont val="Calibri"/>
        <family val="2"/>
        <scheme val="minor"/>
      </rPr>
      <t>u</t>
    </r>
  </si>
  <si>
    <t>U</t>
  </si>
  <si>
    <t>σ1'r</t>
  </si>
  <si>
    <t>σ3'</t>
  </si>
  <si>
    <t>u</t>
  </si>
  <si>
    <t>diff</t>
  </si>
  <si>
    <t>σ1r</t>
  </si>
  <si>
    <r>
      <t>σ3=σ'</t>
    </r>
    <r>
      <rPr>
        <vertAlign val="subscript"/>
        <sz val="11"/>
        <color theme="1"/>
        <rFont val="Calibri"/>
        <family val="2"/>
      </rPr>
      <t>c</t>
    </r>
  </si>
  <si>
    <r>
      <t>e</t>
    </r>
    <r>
      <rPr>
        <vertAlign val="subscript"/>
        <sz val="11"/>
        <rFont val="Calibri"/>
        <family val="2"/>
        <scheme val="minor"/>
      </rPr>
      <t>a,max</t>
    </r>
  </si>
  <si>
    <r>
      <t>e</t>
    </r>
    <r>
      <rPr>
        <vertAlign val="subscript"/>
        <sz val="11"/>
        <color rgb="FF0000FF"/>
        <rFont val="Calibri"/>
        <family val="2"/>
        <scheme val="minor"/>
      </rPr>
      <t>vol</t>
    </r>
  </si>
  <si>
    <t>Af</t>
  </si>
  <si>
    <t>Ai</t>
  </si>
  <si>
    <t>Hf</t>
  </si>
  <si>
    <t>Hi</t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</si>
  <si>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</si>
  <si>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r>
      <t>w</t>
    </r>
    <r>
      <rPr>
        <vertAlign val="subscript"/>
        <sz val="11"/>
        <color rgb="FF0000FF"/>
        <rFont val="Calibri"/>
        <family val="2"/>
        <scheme val="minor"/>
      </rPr>
      <t>c</t>
    </r>
  </si>
  <si>
    <r>
      <t>g</t>
    </r>
    <r>
      <rPr>
        <vertAlign val="subscript"/>
        <sz val="11"/>
        <color theme="1"/>
        <rFont val="Calibri"/>
        <family val="2"/>
        <scheme val="minor"/>
      </rPr>
      <t>dry,con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</si>
  <si>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</si>
  <si>
    <r>
      <t>σ'</t>
    </r>
    <r>
      <rPr>
        <vertAlign val="subscript"/>
        <sz val="11"/>
        <color theme="1"/>
        <rFont val="Calibri"/>
        <family val="2"/>
        <scheme val="minor"/>
      </rPr>
      <t>p,oed</t>
    </r>
  </si>
  <si>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</si>
  <si>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σ'</t>
    </r>
    <r>
      <rPr>
        <vertAlign val="subscript"/>
        <sz val="11"/>
        <color theme="1"/>
        <rFont val="Calibri"/>
        <family val="2"/>
        <scheme val="minor"/>
      </rPr>
      <t>v,oed</t>
    </r>
  </si>
  <si>
    <r>
      <t>σ'</t>
    </r>
    <r>
      <rPr>
        <vertAlign val="subscript"/>
        <sz val="11"/>
        <color rgb="FF0000FF"/>
        <rFont val="Calibri"/>
        <family val="2"/>
        <scheme val="minor"/>
      </rPr>
      <t>v</t>
    </r>
  </si>
  <si>
    <r>
      <t>σ</t>
    </r>
    <r>
      <rPr>
        <vertAlign val="subscript"/>
        <sz val="11"/>
        <color rgb="FF0000FF"/>
        <rFont val="Calibri"/>
        <family val="2"/>
        <scheme val="minor"/>
      </rPr>
      <t>v,tot</t>
    </r>
  </si>
  <si>
    <t>zw</t>
  </si>
  <si>
    <r>
      <t>w</t>
    </r>
    <r>
      <rPr>
        <vertAlign val="subscript"/>
        <sz val="11"/>
        <color rgb="FF0000FF"/>
        <rFont val="Calibri"/>
        <family val="2"/>
        <scheme val="minor"/>
      </rPr>
      <t>sat</t>
    </r>
  </si>
  <si>
    <t>Type</t>
  </si>
  <si>
    <t>n</t>
  </si>
  <si>
    <r>
      <t>w</t>
    </r>
    <r>
      <rPr>
        <vertAlign val="subscript"/>
        <sz val="11"/>
        <color theme="1"/>
        <rFont val="Calibri"/>
        <family val="2"/>
        <scheme val="minor"/>
      </rPr>
      <t>n</t>
    </r>
  </si>
  <si>
    <r>
      <t>g</t>
    </r>
    <r>
      <rPr>
        <vertAlign val="subscript"/>
        <sz val="11"/>
        <color theme="1"/>
        <rFont val="Calibri"/>
        <family val="2"/>
        <scheme val="minor"/>
      </rPr>
      <t>dry</t>
    </r>
  </si>
  <si>
    <r>
      <t>g</t>
    </r>
    <r>
      <rPr>
        <vertAlign val="subscript"/>
        <sz val="11"/>
        <color theme="1"/>
        <rFont val="Calibri"/>
        <family val="2"/>
        <scheme val="minor"/>
      </rPr>
      <t>wet</t>
    </r>
  </si>
  <si>
    <t>Zw</t>
  </si>
  <si>
    <t>Sr%</t>
  </si>
  <si>
    <t>UG</t>
  </si>
  <si>
    <t>Descr_Geo</t>
  </si>
  <si>
    <r>
      <t>Zarr</t>
    </r>
    <r>
      <rPr>
        <vertAlign val="subscript"/>
        <sz val="11"/>
        <color theme="1"/>
        <rFont val="Calibri"/>
        <family val="2"/>
        <scheme val="minor"/>
      </rPr>
      <t>0,25</t>
    </r>
  </si>
  <si>
    <t>zave</t>
  </si>
  <si>
    <t>z2</t>
  </si>
  <si>
    <t>z1</t>
  </si>
  <si>
    <r>
      <t>C</t>
    </r>
    <r>
      <rPr>
        <vertAlign val="subscript"/>
        <sz val="11"/>
        <color rgb="FF0000FF"/>
        <rFont val="Calibri"/>
        <family val="2"/>
        <scheme val="minor"/>
      </rPr>
      <t xml:space="preserve">u </t>
    </r>
    <r>
      <rPr>
        <sz val="11"/>
        <color rgb="FF0000FF"/>
        <rFont val="Calibri"/>
        <family val="2"/>
        <scheme val="minor"/>
      </rPr>
      <t>/ σ'</t>
    </r>
    <r>
      <rPr>
        <vertAlign val="subscript"/>
        <sz val="11"/>
        <color rgb="FF0000FF"/>
        <rFont val="Calibri"/>
        <family val="2"/>
        <scheme val="minor"/>
      </rPr>
      <t>c</t>
    </r>
  </si>
  <si>
    <t>All</t>
  </si>
  <si>
    <t>validi</t>
  </si>
  <si>
    <t>R</t>
  </si>
  <si>
    <r>
      <t>σ'p</t>
    </r>
    <r>
      <rPr>
        <b/>
        <vertAlign val="subscript"/>
        <sz val="11"/>
        <color theme="0" tint="-0.249977111117893"/>
        <rFont val="Calibri"/>
        <family val="2"/>
        <scheme val="minor"/>
      </rPr>
      <t xml:space="preserve"> </t>
    </r>
    <r>
      <rPr>
        <b/>
        <sz val="11"/>
        <color theme="0" tint="-0.249977111117893"/>
        <rFont val="Calibri"/>
        <family val="2"/>
        <scheme val="minor"/>
      </rPr>
      <t>/ σ'</t>
    </r>
    <r>
      <rPr>
        <b/>
        <vertAlign val="subscript"/>
        <sz val="11"/>
        <color theme="0" tint="-0.249977111117893"/>
        <rFont val="Calibri"/>
        <family val="2"/>
        <scheme val="minor"/>
      </rPr>
      <t>1</t>
    </r>
  </si>
  <si>
    <r>
      <t>σ'p</t>
    </r>
    <r>
      <rPr>
        <b/>
        <vertAlign val="subscript"/>
        <sz val="11"/>
        <color rgb="FF0000FF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/ σ'</t>
    </r>
    <r>
      <rPr>
        <b/>
        <vertAlign val="subscript"/>
        <sz val="11"/>
        <color rgb="FF0000FF"/>
        <rFont val="Calibri"/>
        <family val="2"/>
        <scheme val="minor"/>
      </rPr>
      <t>1</t>
    </r>
  </si>
  <si>
    <r>
      <t>R</t>
    </r>
    <r>
      <rPr>
        <b/>
        <vertAlign val="subscript"/>
        <sz val="11"/>
        <color theme="0" tint="-0.249977111117893"/>
        <rFont val="Calibri"/>
        <family val="2"/>
        <scheme val="minor"/>
      </rPr>
      <t>NC</t>
    </r>
  </si>
  <si>
    <r>
      <t>R</t>
    </r>
    <r>
      <rPr>
        <b/>
        <vertAlign val="subscript"/>
        <sz val="11"/>
        <color rgb="FF0000FF"/>
        <rFont val="Calibri"/>
        <family val="2"/>
        <scheme val="minor"/>
      </rPr>
      <t>NC OMOG</t>
    </r>
  </si>
  <si>
    <r>
      <t>R</t>
    </r>
    <r>
      <rPr>
        <b/>
        <vertAlign val="subscript"/>
        <sz val="11"/>
        <color rgb="FFFF33CC"/>
        <rFont val="Calibri"/>
        <family val="2"/>
        <scheme val="minor"/>
      </rPr>
      <t>eff</t>
    </r>
  </si>
  <si>
    <t>Try2</t>
  </si>
  <si>
    <t>Try1</t>
  </si>
  <si>
    <t>Verifica</t>
  </si>
  <si>
    <t>Mod Vol</t>
  </si>
  <si>
    <t>Duncan</t>
  </si>
  <si>
    <t>Residual</t>
  </si>
  <si>
    <t>Peak</t>
  </si>
  <si>
    <t>Tx-Load</t>
  </si>
  <si>
    <t>TX-con</t>
  </si>
  <si>
    <t>consol</t>
  </si>
  <si>
    <t>calcol</t>
  </si>
  <si>
    <t>Oedometer</t>
  </si>
  <si>
    <t>Calcol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</si>
</sst>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sz val="11"/>
      <color rgb="FFFF33CC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rgb="FF0099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FF33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i/>
      <sz val="11"/>
      <color rgb="FFFF33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theme="0" tint="-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rgb="FF0000FF"/>
      <name val="Calibri"/>
      <family val="2"/>
      <scheme val="minor"/>
    </font>
    <font>
      <b/>
      <vertAlign val="subscript"/>
      <sz val="11"/>
      <color theme="0" tint="-0.249977111117893"/>
      <name val="Calibri"/>
      <family val="2"/>
      <scheme val="minor"/>
    </font>
    <font>
      <vertAlign val="subscript"/>
      <sz val="11"/>
      <color rgb="FFFF3300"/>
      <name val="Calibri"/>
      <family val="2"/>
      <scheme val="minor"/>
    </font>
    <font>
      <b/>
      <vertAlign val="subscript"/>
      <sz val="11"/>
      <color rgb="FFFF33CC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vertAlign val="subscript"/>
      <sz val="11"/>
      <color rgb="FF009900"/>
      <name val="Calibri"/>
      <family val="2"/>
      <scheme val="minor"/>
    </font>
    <font>
      <vertAlign val="subscript"/>
      <sz val="11"/>
      <color rgb="FF009900"/>
      <name val="Calibri"/>
      <family val="2"/>
      <scheme val="minor"/>
    </font>
    <font>
      <sz val="11"/>
      <color rgb="FF009900"/>
      <name val="Calibri"/>
      <family val="2"/>
    </font>
    <font>
      <sz val="11"/>
      <name val="Calibri"/>
      <family val="2"/>
    </font>
    <font>
      <vertAlign val="subscript"/>
      <sz val="11"/>
      <name val="Calibri"/>
      <family val="2"/>
    </font>
    <font>
      <b/>
      <sz val="11"/>
      <color rgb="FF0000FF"/>
      <name val="Calibri"/>
      <family val="2"/>
    </font>
    <font>
      <b/>
      <vertAlign val="subscript"/>
      <sz val="11"/>
      <color rgb="FF0000FF"/>
      <name val="Calibri"/>
      <family val="2"/>
    </font>
    <font>
      <sz val="11"/>
      <color theme="0" tint="-0.249977111117893"/>
      <name val="Calibri"/>
      <family val="2"/>
    </font>
    <font>
      <vertAlign val="subscript"/>
      <sz val="11"/>
      <color theme="0" tint="-0.249977111117893"/>
      <name val="Calibri"/>
      <family val="2"/>
    </font>
    <font>
      <vertAlign val="subscript"/>
      <sz val="11"/>
      <color rgb="FF009900"/>
      <name val="Calibri"/>
      <family val="2"/>
    </font>
    <font>
      <b/>
      <vertAlign val="superscript"/>
      <sz val="11"/>
      <color rgb="FFFF33CC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</font>
    <font>
      <sz val="11"/>
      <name val="Symbol"/>
      <family val="1"/>
      <charset val="2"/>
    </font>
    <font>
      <sz val="11"/>
      <color rgb="FF0000FF"/>
      <name val="Symbol"/>
      <family val="1"/>
      <charset val="2"/>
    </font>
    <font>
      <vertAlign val="subscript"/>
      <sz val="11"/>
      <color rgb="FF0000FF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DFF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DDD5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6" fontId="9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6" fontId="9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0" fillId="0" borderId="11" xfId="0" applyNumberFormat="1" applyFont="1" applyFill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9" fillId="3" borderId="11" xfId="0" applyNumberFormat="1" applyFont="1" applyFill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165" fontId="9" fillId="0" borderId="11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0" fontId="5" fillId="0" borderId="11" xfId="0" applyNumberFormat="1" applyFont="1" applyBorder="1" applyAlignment="1">
      <alignment horizontal="center"/>
    </xf>
    <xf numFmtId="10" fontId="9" fillId="0" borderId="14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6" fontId="9" fillId="0" borderId="11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166" fontId="0" fillId="0" borderId="11" xfId="0" applyNumberFormat="1" applyFont="1" applyBorder="1" applyAlignment="1">
      <alignment horizontal="center"/>
    </xf>
    <xf numFmtId="166" fontId="0" fillId="0" borderId="11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0" fontId="0" fillId="0" borderId="11" xfId="0" applyNumberFormat="1" applyFont="1" applyBorder="1" applyAlignment="1">
      <alignment horizontal="center"/>
    </xf>
    <xf numFmtId="1" fontId="0" fillId="4" borderId="12" xfId="0" applyNumberFormat="1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15" xfId="0" applyFont="1" applyBorder="1" applyAlignment="1">
      <alignment horizontal="left"/>
    </xf>
    <xf numFmtId="0" fontId="0" fillId="0" borderId="16" xfId="0" applyFont="1" applyBorder="1"/>
    <xf numFmtId="0" fontId="0" fillId="0" borderId="16" xfId="0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165" fontId="3" fillId="0" borderId="16" xfId="0" applyNumberFormat="1" applyFont="1" applyFill="1" applyBorder="1" applyAlignment="1">
      <alignment horizontal="center"/>
    </xf>
    <xf numFmtId="165" fontId="9" fillId="0" borderId="16" xfId="0" applyNumberFormat="1" applyFont="1" applyFill="1" applyBorder="1" applyAlignment="1">
      <alignment horizontal="center"/>
    </xf>
    <xf numFmtId="2" fontId="10" fillId="0" borderId="16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165" fontId="0" fillId="0" borderId="16" xfId="0" applyNumberFormat="1" applyFont="1" applyFill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" fontId="9" fillId="0" borderId="16" xfId="0" applyNumberFormat="1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6" fontId="9" fillId="0" borderId="16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1" fontId="0" fillId="4" borderId="17" xfId="0" applyNumberFormat="1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165" fontId="9" fillId="5" borderId="0" xfId="0" applyNumberFormat="1" applyFont="1" applyFill="1" applyBorder="1" applyAlignment="1">
      <alignment horizontal="center"/>
    </xf>
    <xf numFmtId="165" fontId="9" fillId="3" borderId="0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6" fontId="0" fillId="0" borderId="16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1" fontId="0" fillId="0" borderId="21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8" fillId="0" borderId="20" xfId="0" applyNumberFormat="1" applyFont="1" applyBorder="1" applyAlignment="1">
      <alignment horizontal="center"/>
    </xf>
    <xf numFmtId="165" fontId="3" fillId="0" borderId="20" xfId="0" applyNumberFormat="1" applyFont="1" applyFill="1" applyBorder="1" applyAlignment="1">
      <alignment horizontal="center"/>
    </xf>
    <xf numFmtId="165" fontId="9" fillId="0" borderId="20" xfId="0" applyNumberFormat="1" applyFont="1" applyFill="1" applyBorder="1" applyAlignment="1">
      <alignment horizontal="center"/>
    </xf>
    <xf numFmtId="2" fontId="10" fillId="0" borderId="20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65" fontId="0" fillId="0" borderId="20" xfId="0" applyNumberFormat="1" applyFont="1" applyFill="1" applyBorder="1" applyAlignment="1">
      <alignment horizontal="center"/>
    </xf>
    <xf numFmtId="165" fontId="11" fillId="0" borderId="20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65" fontId="0" fillId="0" borderId="23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5" fontId="0" fillId="0" borderId="22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9" fillId="0" borderId="22" xfId="0" applyNumberFormat="1" applyFont="1" applyBorder="1" applyAlignment="1">
      <alignment horizontal="center"/>
    </xf>
    <xf numFmtId="1" fontId="0" fillId="0" borderId="22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166" fontId="9" fillId="0" borderId="20" xfId="1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9" fontId="9" fillId="0" borderId="22" xfId="0" applyNumberFormat="1" applyFont="1" applyBorder="1" applyAlignment="1">
      <alignment horizontal="center"/>
    </xf>
    <xf numFmtId="166" fontId="0" fillId="0" borderId="20" xfId="0" applyNumberFormat="1" applyFont="1" applyBorder="1" applyAlignment="1">
      <alignment horizontal="center"/>
    </xf>
    <xf numFmtId="166" fontId="0" fillId="0" borderId="20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165" fontId="0" fillId="0" borderId="21" xfId="0" applyNumberFormat="1" applyFont="1" applyBorder="1" applyAlignment="1">
      <alignment horizontal="center"/>
    </xf>
    <xf numFmtId="9" fontId="0" fillId="0" borderId="20" xfId="0" applyNumberFormat="1" applyFont="1" applyBorder="1" applyAlignment="1">
      <alignment horizontal="center"/>
    </xf>
    <xf numFmtId="10" fontId="0" fillId="0" borderId="20" xfId="0" applyNumberFormat="1" applyFont="1" applyBorder="1" applyAlignment="1">
      <alignment horizontal="center"/>
    </xf>
    <xf numFmtId="1" fontId="0" fillId="4" borderId="21" xfId="0" applyNumberFormat="1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0" borderId="24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5" fontId="9" fillId="0" borderId="16" xfId="0" applyNumberFormat="1" applyFont="1" applyBorder="1" applyAlignment="1">
      <alignment horizontal="center" vertical="center"/>
    </xf>
    <xf numFmtId="166" fontId="9" fillId="0" borderId="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/>
    </xf>
    <xf numFmtId="165" fontId="9" fillId="0" borderId="0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64" fontId="0" fillId="6" borderId="18" xfId="0" applyNumberFormat="1" applyFont="1" applyFill="1" applyBorder="1" applyAlignment="1">
      <alignment horizontal="center" vertical="center"/>
    </xf>
    <xf numFmtId="165" fontId="0" fillId="0" borderId="17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1" fontId="0" fillId="4" borderId="17" xfId="0" applyNumberFormat="1" applyFont="1" applyFill="1" applyBorder="1" applyAlignment="1">
      <alignment horizontal="center" vertical="center"/>
    </xf>
    <xf numFmtId="2" fontId="0" fillId="4" borderId="17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2" fontId="9" fillId="0" borderId="14" xfId="0" quotePrefix="1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64" fontId="0" fillId="6" borderId="13" xfId="0" applyNumberFormat="1" applyFont="1" applyFill="1" applyBorder="1" applyAlignment="1">
      <alignment horizontal="center" vertical="center"/>
    </xf>
    <xf numFmtId="166" fontId="11" fillId="0" borderId="14" xfId="1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1" fontId="0" fillId="4" borderId="12" xfId="0" applyNumberFormat="1" applyFont="1" applyFill="1" applyBorder="1" applyAlignment="1">
      <alignment horizontal="center" vertical="center"/>
    </xf>
    <xf numFmtId="2" fontId="0" fillId="4" borderId="12" xfId="0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/>
    </xf>
    <xf numFmtId="166" fontId="11" fillId="0" borderId="2" xfId="1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2" fontId="9" fillId="5" borderId="0" xfId="0" applyNumberFormat="1" applyFont="1" applyFill="1" applyBorder="1" applyAlignment="1">
      <alignment horizontal="center"/>
    </xf>
    <xf numFmtId="2" fontId="9" fillId="0" borderId="2" xfId="0" quotePrefix="1" applyNumberFormat="1" applyFont="1" applyBorder="1" applyAlignment="1">
      <alignment horizontal="center"/>
    </xf>
    <xf numFmtId="166" fontId="5" fillId="0" borderId="16" xfId="1" applyNumberFormat="1" applyFont="1" applyBorder="1" applyAlignment="1">
      <alignment horizontal="center"/>
    </xf>
    <xf numFmtId="166" fontId="5" fillId="0" borderId="0" xfId="1" applyNumberFormat="1" applyFont="1" applyBorder="1" applyAlignment="1">
      <alignment horizontal="center"/>
    </xf>
    <xf numFmtId="2" fontId="12" fillId="0" borderId="16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3" fillId="0" borderId="16" xfId="0" applyFont="1" applyBorder="1"/>
    <xf numFmtId="0" fontId="13" fillId="0" borderId="16" xfId="0" applyFont="1" applyBorder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2" fontId="13" fillId="0" borderId="17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164" fontId="13" fillId="0" borderId="17" xfId="0" applyNumberFormat="1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165" fontId="13" fillId="0" borderId="16" xfId="0" applyNumberFormat="1" applyFont="1" applyBorder="1" applyAlignment="1">
      <alignment horizontal="center"/>
    </xf>
    <xf numFmtId="1" fontId="12" fillId="0" borderId="16" xfId="0" applyNumberFormat="1" applyFon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165" fontId="13" fillId="0" borderId="16" xfId="0" applyNumberFormat="1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4" fontId="13" fillId="0" borderId="17" xfId="0" applyNumberFormat="1" applyFont="1" applyBorder="1" applyAlignment="1">
      <alignment horizontal="center"/>
    </xf>
    <xf numFmtId="2" fontId="13" fillId="0" borderId="17" xfId="0" applyNumberFormat="1" applyFont="1" applyFill="1" applyBorder="1" applyAlignment="1">
      <alignment horizontal="center"/>
    </xf>
    <xf numFmtId="1" fontId="13" fillId="7" borderId="16" xfId="0" applyNumberFormat="1" applyFont="1" applyFill="1" applyBorder="1" applyAlignment="1">
      <alignment horizontal="center"/>
    </xf>
    <xf numFmtId="165" fontId="13" fillId="0" borderId="18" xfId="0" applyNumberFormat="1" applyFont="1" applyBorder="1" applyAlignment="1">
      <alignment horizontal="center"/>
    </xf>
    <xf numFmtId="1" fontId="13" fillId="0" borderId="18" xfId="0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10" fontId="13" fillId="0" borderId="16" xfId="0" applyNumberFormat="1" applyFont="1" applyBorder="1" applyAlignment="1">
      <alignment horizontal="center"/>
    </xf>
    <xf numFmtId="10" fontId="13" fillId="0" borderId="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166" fontId="13" fillId="0" borderId="16" xfId="1" applyNumberFormat="1" applyFont="1" applyBorder="1" applyAlignment="1">
      <alignment horizontal="center"/>
    </xf>
    <xf numFmtId="166" fontId="13" fillId="0" borderId="7" xfId="1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9" fontId="13" fillId="0" borderId="7" xfId="0" applyNumberFormat="1" applyFont="1" applyBorder="1" applyAlignment="1">
      <alignment horizontal="center"/>
    </xf>
    <xf numFmtId="166" fontId="13" fillId="0" borderId="16" xfId="0" applyNumberFormat="1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9" fontId="13" fillId="0" borderId="16" xfId="0" applyNumberFormat="1" applyFont="1" applyBorder="1" applyAlignment="1">
      <alignment horizontal="center"/>
    </xf>
    <xf numFmtId="1" fontId="14" fillId="4" borderId="17" xfId="0" applyNumberFormat="1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1" fontId="13" fillId="7" borderId="0" xfId="0" applyNumberFormat="1" applyFont="1" applyFill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166" fontId="13" fillId="0" borderId="0" xfId="1" applyNumberFormat="1" applyFont="1" applyBorder="1" applyAlignment="1">
      <alignment horizontal="center"/>
    </xf>
    <xf numFmtId="166" fontId="13" fillId="0" borderId="2" xfId="1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9" fontId="13" fillId="0" borderId="2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9" fontId="13" fillId="0" borderId="0" xfId="0" applyNumberFormat="1" applyFont="1" applyBorder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165" fontId="13" fillId="0" borderId="11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166" fontId="11" fillId="0" borderId="16" xfId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6" fontId="11" fillId="0" borderId="0" xfId="1" applyNumberFormat="1" applyFont="1" applyBorder="1" applyAlignment="1">
      <alignment horizontal="center"/>
    </xf>
    <xf numFmtId="1" fontId="14" fillId="8" borderId="17" xfId="0" applyNumberFormat="1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1" fontId="14" fillId="8" borderId="1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1" fontId="0" fillId="8" borderId="17" xfId="0" applyNumberFormat="1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1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4" fontId="13" fillId="0" borderId="17" xfId="0" applyNumberFormat="1" applyFont="1" applyFill="1" applyBorder="1" applyAlignment="1">
      <alignment horizontal="center"/>
    </xf>
    <xf numFmtId="2" fontId="13" fillId="3" borderId="17" xfId="0" applyNumberFormat="1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2" fontId="13" fillId="3" borderId="1" xfId="0" applyNumberFormat="1" applyFont="1" applyFill="1" applyBorder="1" applyAlignment="1">
      <alignment horizontal="center"/>
    </xf>
    <xf numFmtId="1" fontId="12" fillId="0" borderId="11" xfId="0" applyNumberFormat="1" applyFont="1" applyBorder="1" applyAlignment="1">
      <alignment horizontal="center"/>
    </xf>
    <xf numFmtId="166" fontId="5" fillId="0" borderId="7" xfId="1" applyNumberFormat="1" applyFont="1" applyBorder="1" applyAlignment="1">
      <alignment horizontal="center"/>
    </xf>
    <xf numFmtId="1" fontId="0" fillId="8" borderId="17" xfId="0" applyNumberFormat="1" applyFont="1" applyFill="1" applyBorder="1" applyAlignment="1">
      <alignment horizontal="center" vertical="center"/>
    </xf>
    <xf numFmtId="2" fontId="0" fillId="8" borderId="17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166" fontId="5" fillId="0" borderId="2" xfId="1" applyNumberFormat="1" applyFont="1" applyBorder="1" applyAlignment="1">
      <alignment horizontal="center"/>
    </xf>
    <xf numFmtId="1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2" fontId="12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2" fontId="9" fillId="0" borderId="6" xfId="0" quotePrefix="1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6" fontId="11" fillId="0" borderId="4" xfId="1" applyNumberFormat="1" applyFont="1" applyBorder="1" applyAlignment="1">
      <alignment horizontal="center"/>
    </xf>
    <xf numFmtId="166" fontId="11" fillId="0" borderId="6" xfId="1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 vertical="center"/>
    </xf>
    <xf numFmtId="166" fontId="11" fillId="0" borderId="11" xfId="1" applyNumberFormat="1" applyFont="1" applyBorder="1" applyAlignment="1">
      <alignment horizontal="center"/>
    </xf>
    <xf numFmtId="1" fontId="0" fillId="3" borderId="12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1" fontId="0" fillId="3" borderId="17" xfId="0" applyNumberFormat="1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2" fontId="2" fillId="3" borderId="17" xfId="0" quotePrefix="1" applyNumberFormat="1" applyFont="1" applyFill="1" applyBorder="1" applyAlignment="1">
      <alignment horizontal="center"/>
    </xf>
    <xf numFmtId="1" fontId="5" fillId="0" borderId="16" xfId="0" quotePrefix="1" applyNumberFormat="1" applyFont="1" applyBorder="1" applyAlignment="1">
      <alignment horizontal="center"/>
    </xf>
    <xf numFmtId="1" fontId="5" fillId="0" borderId="18" xfId="0" quotePrefix="1" applyNumberFormat="1" applyFont="1" applyBorder="1" applyAlignment="1">
      <alignment horizontal="center"/>
    </xf>
    <xf numFmtId="1" fontId="5" fillId="0" borderId="7" xfId="0" quotePrefix="1" applyNumberFormat="1" applyFont="1" applyBorder="1" applyAlignment="1">
      <alignment horizontal="center"/>
    </xf>
    <xf numFmtId="2" fontId="9" fillId="0" borderId="7" xfId="0" quotePrefix="1" applyNumberFormat="1" applyFont="1" applyBorder="1" applyAlignment="1">
      <alignment horizontal="center"/>
    </xf>
    <xf numFmtId="165" fontId="15" fillId="0" borderId="16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" fontId="0" fillId="3" borderId="17" xfId="0" applyNumberFormat="1" applyFont="1" applyFill="1" applyBorder="1" applyAlignment="1">
      <alignment horizontal="center" vertical="center"/>
    </xf>
    <xf numFmtId="2" fontId="0" fillId="3" borderId="17" xfId="0" applyNumberFormat="1" applyFont="1" applyFill="1" applyBorder="1" applyAlignment="1">
      <alignment horizontal="center" vertical="center"/>
    </xf>
    <xf numFmtId="2" fontId="2" fillId="0" borderId="1" xfId="0" quotePrefix="1" applyNumberFormat="1" applyFont="1" applyFill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1" fontId="5" fillId="0" borderId="3" xfId="0" quotePrefix="1" applyNumberFormat="1" applyFont="1" applyBorder="1" applyAlignment="1">
      <alignment horizontal="center"/>
    </xf>
    <xf numFmtId="1" fontId="5" fillId="0" borderId="2" xfId="0" quotePrefix="1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Fill="1" applyBorder="1" applyAlignment="1">
      <alignment horizontal="center"/>
    </xf>
    <xf numFmtId="0" fontId="16" fillId="0" borderId="4" xfId="0" applyFont="1" applyBorder="1"/>
    <xf numFmtId="164" fontId="5" fillId="0" borderId="4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6" fillId="0" borderId="4" xfId="0" quotePrefix="1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165" fontId="18" fillId="0" borderId="4" xfId="0" applyNumberFormat="1" applyFont="1" applyBorder="1" applyAlignment="1">
      <alignment horizontal="center"/>
    </xf>
    <xf numFmtId="1" fontId="19" fillId="0" borderId="4" xfId="0" quotePrefix="1" applyNumberFormat="1" applyFont="1" applyBorder="1" applyAlignment="1">
      <alignment horizontal="center" vertical="center"/>
    </xf>
    <xf numFmtId="1" fontId="19" fillId="0" borderId="6" xfId="0" quotePrefix="1" applyNumberFormat="1" applyFont="1" applyBorder="1" applyAlignment="1">
      <alignment horizontal="center" vertical="center"/>
    </xf>
    <xf numFmtId="165" fontId="20" fillId="0" borderId="4" xfId="0" quotePrefix="1" applyNumberFormat="1" applyFont="1" applyBorder="1" applyAlignment="1">
      <alignment horizontal="center" vertical="center"/>
    </xf>
    <xf numFmtId="1" fontId="20" fillId="0" borderId="6" xfId="0" quotePrefix="1" applyNumberFormat="1" applyFont="1" applyBorder="1" applyAlignment="1">
      <alignment horizontal="center" vertical="center"/>
    </xf>
    <xf numFmtId="1" fontId="21" fillId="0" borderId="4" xfId="0" quotePrefix="1" applyNumberFormat="1" applyFont="1" applyBorder="1" applyAlignment="1">
      <alignment horizontal="center" vertical="center"/>
    </xf>
    <xf numFmtId="1" fontId="18" fillId="0" borderId="4" xfId="0" quotePrefix="1" applyNumberFormat="1" applyFont="1" applyBorder="1" applyAlignment="1">
      <alignment horizontal="center" vertical="center"/>
    </xf>
    <xf numFmtId="1" fontId="19" fillId="0" borderId="4" xfId="0" quotePrefix="1" applyNumberFormat="1" applyFont="1" applyBorder="1" applyAlignment="1">
      <alignment horizontal="left" vertical="center"/>
    </xf>
    <xf numFmtId="2" fontId="22" fillId="0" borderId="4" xfId="0" quotePrefix="1" applyNumberFormat="1" applyFont="1" applyBorder="1" applyAlignment="1">
      <alignment horizontal="center" vertical="center"/>
    </xf>
    <xf numFmtId="2" fontId="19" fillId="0" borderId="4" xfId="0" quotePrefix="1" applyNumberFormat="1" applyFont="1" applyBorder="1" applyAlignment="1">
      <alignment horizontal="center" vertical="center"/>
    </xf>
    <xf numFmtId="2" fontId="23" fillId="0" borderId="4" xfId="0" quotePrefix="1" applyNumberFormat="1" applyFont="1" applyBorder="1" applyAlignment="1">
      <alignment horizontal="center" vertical="center"/>
    </xf>
    <xf numFmtId="165" fontId="18" fillId="0" borderId="4" xfId="0" quotePrefix="1" applyNumberFormat="1" applyFont="1" applyFill="1" applyBorder="1" applyAlignment="1">
      <alignment horizontal="center" vertical="center"/>
    </xf>
    <xf numFmtId="165" fontId="24" fillId="0" borderId="4" xfId="0" quotePrefix="1" applyNumberFormat="1" applyFont="1" applyFill="1" applyBorder="1" applyAlignment="1">
      <alignment horizontal="center" vertical="center"/>
    </xf>
    <xf numFmtId="2" fontId="25" fillId="0" borderId="4" xfId="0" quotePrefix="1" applyNumberFormat="1" applyFont="1" applyBorder="1" applyAlignment="1">
      <alignment horizontal="center" vertical="center"/>
    </xf>
    <xf numFmtId="2" fontId="21" fillId="0" borderId="4" xfId="0" quotePrefix="1" applyNumberFormat="1" applyFont="1" applyBorder="1" applyAlignment="1">
      <alignment horizontal="center" vertical="center"/>
    </xf>
    <xf numFmtId="165" fontId="16" fillId="0" borderId="4" xfId="0" quotePrefix="1" applyNumberFormat="1" applyFont="1" applyFill="1" applyBorder="1" applyAlignment="1">
      <alignment horizontal="center" vertical="center"/>
    </xf>
    <xf numFmtId="165" fontId="26" fillId="0" borderId="4" xfId="0" quotePrefix="1" applyNumberFormat="1" applyFont="1" applyBorder="1" applyAlignment="1">
      <alignment horizontal="center"/>
    </xf>
    <xf numFmtId="2" fontId="23" fillId="0" borderId="6" xfId="0" quotePrefix="1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2" fontId="16" fillId="0" borderId="4" xfId="0" quotePrefix="1" applyNumberFormat="1" applyFont="1" applyBorder="1" applyAlignment="1">
      <alignment horizontal="center" vertical="center"/>
    </xf>
    <xf numFmtId="164" fontId="16" fillId="0" borderId="5" xfId="0" quotePrefix="1" applyNumberFormat="1" applyFont="1" applyBorder="1" applyAlignment="1">
      <alignment horizontal="center"/>
    </xf>
    <xf numFmtId="2" fontId="27" fillId="0" borderId="5" xfId="0" applyNumberFormat="1" applyFont="1" applyFill="1" applyBorder="1" applyAlignment="1">
      <alignment horizontal="center" vertical="center"/>
    </xf>
    <xf numFmtId="165" fontId="16" fillId="0" borderId="8" xfId="0" applyNumberFormat="1" applyFont="1" applyBorder="1" applyAlignment="1">
      <alignment horizontal="center" vertical="center"/>
    </xf>
    <xf numFmtId="165" fontId="16" fillId="0" borderId="4" xfId="0" quotePrefix="1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/>
    </xf>
    <xf numFmtId="165" fontId="16" fillId="9" borderId="4" xfId="0" quotePrefix="1" applyNumberFormat="1" applyFont="1" applyFill="1" applyBorder="1" applyAlignment="1">
      <alignment horizontal="center"/>
    </xf>
    <xf numFmtId="165" fontId="16" fillId="9" borderId="6" xfId="0" applyNumberFormat="1" applyFont="1" applyFill="1" applyBorder="1" applyAlignment="1">
      <alignment horizontal="center"/>
    </xf>
    <xf numFmtId="10" fontId="20" fillId="0" borderId="4" xfId="0" applyNumberFormat="1" applyFont="1" applyBorder="1" applyAlignment="1">
      <alignment horizontal="center"/>
    </xf>
    <xf numFmtId="10" fontId="24" fillId="0" borderId="6" xfId="0" applyNumberFormat="1" applyFont="1" applyBorder="1" applyAlignment="1">
      <alignment horizontal="center"/>
    </xf>
    <xf numFmtId="1" fontId="16" fillId="0" borderId="6" xfId="0" quotePrefix="1" applyNumberFormat="1" applyFont="1" applyBorder="1" applyAlignment="1">
      <alignment horizontal="center"/>
    </xf>
    <xf numFmtId="164" fontId="16" fillId="0" borderId="8" xfId="0" quotePrefix="1" applyNumberFormat="1" applyFont="1" applyBorder="1" applyAlignment="1">
      <alignment horizontal="center"/>
    </xf>
    <xf numFmtId="166" fontId="16" fillId="0" borderId="4" xfId="0" applyNumberFormat="1" applyFont="1" applyBorder="1" applyAlignment="1">
      <alignment horizontal="center"/>
    </xf>
    <xf numFmtId="166" fontId="16" fillId="0" borderId="6" xfId="1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6" fillId="0" borderId="4" xfId="0" quotePrefix="1" applyNumberFormat="1" applyFont="1" applyBorder="1" applyAlignment="1">
      <alignment horizontal="center"/>
    </xf>
    <xf numFmtId="165" fontId="16" fillId="0" borderId="6" xfId="0" applyNumberFormat="1" applyFont="1" applyBorder="1" applyAlignment="1">
      <alignment horizontal="center"/>
    </xf>
    <xf numFmtId="166" fontId="16" fillId="0" borderId="6" xfId="0" applyNumberFormat="1" applyFont="1" applyBorder="1" applyAlignment="1">
      <alignment horizontal="center"/>
    </xf>
    <xf numFmtId="166" fontId="16" fillId="0" borderId="4" xfId="0" quotePrefix="1" applyNumberFormat="1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left"/>
    </xf>
    <xf numFmtId="164" fontId="8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2" fontId="35" fillId="0" borderId="11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" fontId="38" fillId="0" borderId="14" xfId="0" applyNumberFormat="1" applyFont="1" applyBorder="1" applyAlignment="1">
      <alignment horizontal="center" vertical="center"/>
    </xf>
    <xf numFmtId="165" fontId="39" fillId="0" borderId="11" xfId="0" applyNumberFormat="1" applyFont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1" fontId="41" fillId="0" borderId="11" xfId="0" applyNumberFormat="1" applyFont="1" applyBorder="1" applyAlignment="1">
      <alignment horizontal="center" vertical="center"/>
    </xf>
    <xf numFmtId="1" fontId="43" fillId="0" borderId="11" xfId="0" applyNumberFormat="1" applyFont="1" applyBorder="1" applyAlignment="1">
      <alignment horizontal="center" vertical="center"/>
    </xf>
    <xf numFmtId="1" fontId="38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165" fontId="3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65" fontId="3" fillId="0" borderId="11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left" vertical="center"/>
    </xf>
    <xf numFmtId="165" fontId="0" fillId="0" borderId="11" xfId="0" applyNumberFormat="1" applyFont="1" applyBorder="1" applyAlignment="1">
      <alignment horizontal="center" vertical="center"/>
    </xf>
    <xf numFmtId="165" fontId="0" fillId="0" borderId="13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" fontId="49" fillId="0" borderId="13" xfId="0" applyNumberFormat="1" applyFont="1" applyBorder="1" applyAlignment="1">
      <alignment horizontal="center" vertical="center"/>
    </xf>
    <xf numFmtId="1" fontId="49" fillId="0" borderId="11" xfId="0" applyNumberFormat="1" applyFont="1" applyBorder="1" applyAlignment="1">
      <alignment horizontal="center" vertical="center"/>
    </xf>
    <xf numFmtId="165" fontId="15" fillId="9" borderId="11" xfId="0" applyNumberFormat="1" applyFont="1" applyFill="1" applyBorder="1" applyAlignment="1">
      <alignment horizontal="center" vertical="center"/>
    </xf>
    <xf numFmtId="165" fontId="15" fillId="9" borderId="14" xfId="0" applyNumberFormat="1" applyFont="1" applyFill="1" applyBorder="1" applyAlignment="1">
      <alignment horizontal="center" vertical="center"/>
    </xf>
    <xf numFmtId="10" fontId="49" fillId="0" borderId="11" xfId="0" applyNumberFormat="1" applyFont="1" applyBorder="1" applyAlignment="1">
      <alignment horizontal="center"/>
    </xf>
    <xf numFmtId="10" fontId="50" fillId="0" borderId="14" xfId="0" applyNumberFormat="1" applyFont="1" applyBorder="1" applyAlignment="1">
      <alignment horizontal="center"/>
    </xf>
    <xf numFmtId="166" fontId="9" fillId="0" borderId="11" xfId="0" applyNumberFormat="1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1" fontId="39" fillId="0" borderId="11" xfId="0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9" borderId="14" xfId="0" applyFont="1" applyFill="1" applyBorder="1" applyAlignment="1">
      <alignment horizontal="left"/>
    </xf>
    <xf numFmtId="0" fontId="0" fillId="0" borderId="0" xfId="0" applyFont="1"/>
    <xf numFmtId="2" fontId="9" fillId="0" borderId="12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9" borderId="0" xfId="0" applyNumberFormat="1" applyFont="1" applyFill="1" applyAlignment="1">
      <alignment horizontal="center"/>
    </xf>
    <xf numFmtId="165" fontId="0" fillId="9" borderId="2" xfId="0" applyNumberFormat="1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5" fontId="0" fillId="0" borderId="2" xfId="0" applyNumberFormat="1" applyFont="1" applyBorder="1" applyAlignment="1">
      <alignment horizontal="left"/>
    </xf>
    <xf numFmtId="0" fontId="0" fillId="10" borderId="12" xfId="0" applyFont="1" applyFill="1" applyBorder="1" applyAlignment="1">
      <alignment horizontal="center"/>
    </xf>
    <xf numFmtId="0" fontId="0" fillId="0" borderId="0" xfId="0" applyFont="1" applyAlignment="1">
      <alignment horizontal="left"/>
    </xf>
  </cellXfs>
  <cellStyles count="2">
    <cellStyle name="Normale" xfId="0" builtinId="0"/>
    <cellStyle name="Percentuale" xfId="1" builtinId="5"/>
  </cellStyles>
  <dxfs count="11">
    <dxf>
      <fill>
        <patternFill>
          <bgColor rgb="FFFFDDD5"/>
        </patternFill>
      </fill>
    </dxf>
    <dxf>
      <fill>
        <patternFill>
          <bgColor rgb="FFCDFFCD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FF81"/>
        </patternFill>
      </fill>
    </dxf>
    <dxf>
      <fill>
        <patternFill>
          <bgColor rgb="FFFFFF00"/>
        </patternFill>
      </fill>
    </dxf>
    <dxf>
      <fill>
        <patternFill>
          <bgColor rgb="FFFFFF97"/>
        </patternFill>
      </fill>
    </dxf>
    <dxf>
      <fill>
        <patternFill>
          <bgColor rgb="FFFFFF97"/>
        </patternFill>
      </fill>
    </dxf>
    <dxf>
      <fill>
        <patternFill>
          <bgColor rgb="FFFFFF81"/>
        </patternFill>
      </fill>
    </dxf>
    <dxf>
      <fill>
        <patternFill>
          <bgColor rgb="FFFFFF97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'TX2 (2)'!$L$85:$L$94</c:f>
              <c:numCache>
                <c:formatCode>0,000</c:formatCode>
                <c:ptCount val="10"/>
                <c:pt idx="0">
                  <c:v>1.081</c:v>
                </c:pt>
                <c:pt idx="1">
                  <c:v>1.0860000000000001</c:v>
                </c:pt>
                <c:pt idx="2">
                  <c:v>0.93</c:v>
                </c:pt>
                <c:pt idx="3">
                  <c:v>1.052</c:v>
                </c:pt>
                <c:pt idx="4">
                  <c:v>1.0589999999999999</c:v>
                </c:pt>
                <c:pt idx="5" formatCode="General">
                  <c:v>1.0796666666666668</c:v>
                </c:pt>
                <c:pt idx="6">
                  <c:v>1.125</c:v>
                </c:pt>
                <c:pt idx="7">
                  <c:v>1.0225</c:v>
                </c:pt>
                <c:pt idx="8">
                  <c:v>1.1595</c:v>
                </c:pt>
                <c:pt idx="9">
                  <c:v>0.70650000000000002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'TX2 (2)'!$L$95:$L$151</c:f>
              <c:numCache>
                <c:formatCode>0,000</c:formatCode>
                <c:ptCount val="57"/>
                <c:pt idx="0">
                  <c:v>0.84</c:v>
                </c:pt>
                <c:pt idx="1">
                  <c:v>0.85499999999999998</c:v>
                </c:pt>
                <c:pt idx="2">
                  <c:v>0.871</c:v>
                </c:pt>
                <c:pt idx="3">
                  <c:v>1.3080000000000001</c:v>
                </c:pt>
                <c:pt idx="4">
                  <c:v>1.2430000000000001</c:v>
                </c:pt>
                <c:pt idx="5">
                  <c:v>1.2430000000000001</c:v>
                </c:pt>
                <c:pt idx="6">
                  <c:v>1.1499999999999999</c:v>
                </c:pt>
                <c:pt idx="7">
                  <c:v>1.1559999999999999</c:v>
                </c:pt>
                <c:pt idx="8">
                  <c:v>1.097</c:v>
                </c:pt>
                <c:pt idx="9">
                  <c:v>1.1200000000000001</c:v>
                </c:pt>
                <c:pt idx="10">
                  <c:v>1.1910000000000001</c:v>
                </c:pt>
                <c:pt idx="11">
                  <c:v>1.18</c:v>
                </c:pt>
                <c:pt idx="12">
                  <c:v>1.246</c:v>
                </c:pt>
                <c:pt idx="13">
                  <c:v>0.97499999999999998</c:v>
                </c:pt>
                <c:pt idx="14">
                  <c:v>1.135</c:v>
                </c:pt>
                <c:pt idx="15">
                  <c:v>0.96099999999999997</c:v>
                </c:pt>
                <c:pt idx="16">
                  <c:v>0.90800000000000003</c:v>
                </c:pt>
                <c:pt idx="17">
                  <c:v>0.95</c:v>
                </c:pt>
                <c:pt idx="18">
                  <c:v>1.0860000000000001</c:v>
                </c:pt>
                <c:pt idx="19">
                  <c:v>1.0569999999999999</c:v>
                </c:pt>
                <c:pt idx="20">
                  <c:v>0.99299999999999999</c:v>
                </c:pt>
                <c:pt idx="21">
                  <c:v>1.359</c:v>
                </c:pt>
                <c:pt idx="22">
                  <c:v>1.304</c:v>
                </c:pt>
                <c:pt idx="23">
                  <c:v>1.216</c:v>
                </c:pt>
                <c:pt idx="24">
                  <c:v>1.5940000000000001</c:v>
                </c:pt>
                <c:pt idx="25">
                  <c:v>1.5369999999999999</c:v>
                </c:pt>
                <c:pt idx="26">
                  <c:v>1.5409999999999999</c:v>
                </c:pt>
                <c:pt idx="27">
                  <c:v>1.5409999999999999</c:v>
                </c:pt>
                <c:pt idx="28">
                  <c:v>1.5369999999999999</c:v>
                </c:pt>
                <c:pt idx="29">
                  <c:v>1.462</c:v>
                </c:pt>
                <c:pt idx="30">
                  <c:v>1.419</c:v>
                </c:pt>
                <c:pt idx="31">
                  <c:v>1.252</c:v>
                </c:pt>
                <c:pt idx="32">
                  <c:v>1.2390000000000001</c:v>
                </c:pt>
                <c:pt idx="33">
                  <c:v>1.331</c:v>
                </c:pt>
                <c:pt idx="34">
                  <c:v>1.3129999999999999</c:v>
                </c:pt>
                <c:pt idx="35">
                  <c:v>1.3049999999999999</c:v>
                </c:pt>
                <c:pt idx="36">
                  <c:v>1.6639999999999999</c:v>
                </c:pt>
                <c:pt idx="37">
                  <c:v>1.373</c:v>
                </c:pt>
                <c:pt idx="38">
                  <c:v>1.4750000000000001</c:v>
                </c:pt>
                <c:pt idx="39">
                  <c:v>0.86599999999999999</c:v>
                </c:pt>
                <c:pt idx="40">
                  <c:v>0.875</c:v>
                </c:pt>
                <c:pt idx="41">
                  <c:v>0.93500000000000005</c:v>
                </c:pt>
                <c:pt idx="42">
                  <c:v>1.1919999999999999</c:v>
                </c:pt>
                <c:pt idx="43">
                  <c:v>1.2</c:v>
                </c:pt>
                <c:pt idx="44">
                  <c:v>1.1200000000000001</c:v>
                </c:pt>
                <c:pt idx="45">
                  <c:v>1.3260000000000001</c:v>
                </c:pt>
                <c:pt idx="46">
                  <c:v>1.3180000000000001</c:v>
                </c:pt>
                <c:pt idx="47">
                  <c:v>1.2769999999999999</c:v>
                </c:pt>
                <c:pt idx="48">
                  <c:v>1.524</c:v>
                </c:pt>
                <c:pt idx="49">
                  <c:v>1.375</c:v>
                </c:pt>
                <c:pt idx="50">
                  <c:v>1.385</c:v>
                </c:pt>
                <c:pt idx="51">
                  <c:v>0.97299999999999998</c:v>
                </c:pt>
                <c:pt idx="52">
                  <c:v>0.94799999999999995</c:v>
                </c:pt>
                <c:pt idx="53">
                  <c:v>0.88500000000000001</c:v>
                </c:pt>
                <c:pt idx="54">
                  <c:v>1.1160000000000001</c:v>
                </c:pt>
                <c:pt idx="55">
                  <c:v>1.117</c:v>
                </c:pt>
                <c:pt idx="56">
                  <c:v>1.085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9136"/>
        <c:axId val="492940672"/>
      </c:scatterChart>
      <c:valAx>
        <c:axId val="4929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2940672"/>
        <c:crosses val="autoZero"/>
        <c:crossBetween val="midCat"/>
      </c:valAx>
      <c:valAx>
        <c:axId val="492940672"/>
        <c:scaling>
          <c:orientation val="minMax"/>
          <c:max val="1.4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49293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'TX2 (2)'!$P$85:$P$94</c:f>
              <c:numCache>
                <c:formatCode>General</c:formatCode>
                <c:ptCount val="10"/>
                <c:pt idx="0">
                  <c:v>12.723569999999999</c:v>
                </c:pt>
                <c:pt idx="1">
                  <c:v>12.703949999999999</c:v>
                </c:pt>
                <c:pt idx="2">
                  <c:v>13.724189999999998</c:v>
                </c:pt>
                <c:pt idx="3">
                  <c:v>12.90996</c:v>
                </c:pt>
                <c:pt idx="4">
                  <c:v>11.359979999999998</c:v>
                </c:pt>
                <c:pt idx="5">
                  <c:v>13.393919999999998</c:v>
                </c:pt>
                <c:pt idx="6">
                  <c:v>12.393299999999998</c:v>
                </c:pt>
                <c:pt idx="7">
                  <c:v>13.19445</c:v>
                </c:pt>
                <c:pt idx="8">
                  <c:v>12.46524</c:v>
                </c:pt>
                <c:pt idx="9">
                  <c:v>15.712349999999999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('TX2 (2)'!$P$95,'TX2 (2)'!$P$98,'TX2 (2)'!$P$101,'TX2 (2)'!$P$104,'TX2 (2)'!$P$107,'TX2 (2)'!$P$110,'TX2 (2)'!$P$113,'TX2 (2)'!$P$116,'TX2 (2)'!$P$119,'TX2 (2)'!$P$122,'TX2 (2)'!$P$125,'TX2 (2)'!$P$128,'TX2 (2)'!$P$131,'TX2 (2)'!$P$134,'TX2 (2)'!$P$137,'TX2 (2)'!$P$140,'TX2 (2)'!$P$143,'TX2 (2)'!$P$146,'TX2 (2)'!$P$149)</c:f>
              <c:numCache>
                <c:formatCode>General</c:formatCode>
                <c:ptCount val="19"/>
                <c:pt idx="0">
                  <c:v>14.526666666666666</c:v>
                </c:pt>
                <c:pt idx="1">
                  <c:v>11.903333333333331</c:v>
                </c:pt>
                <c:pt idx="2">
                  <c:v>12.626666666666667</c:v>
                </c:pt>
                <c:pt idx="3">
                  <c:v>12.666666666666666</c:v>
                </c:pt>
                <c:pt idx="4">
                  <c:v>13.016666666666667</c:v>
                </c:pt>
                <c:pt idx="5">
                  <c:v>14.18</c:v>
                </c:pt>
                <c:pt idx="6">
                  <c:v>13.449999999999998</c:v>
                </c:pt>
                <c:pt idx="7">
                  <c:v>12.003333333333336</c:v>
                </c:pt>
                <c:pt idx="8">
                  <c:v>11.106666666666667</c:v>
                </c:pt>
                <c:pt idx="9">
                  <c:v>11.299999999999999</c:v>
                </c:pt>
                <c:pt idx="10">
                  <c:v>12.343333333333334</c:v>
                </c:pt>
                <c:pt idx="11">
                  <c:v>12.26</c:v>
                </c:pt>
                <c:pt idx="12">
                  <c:v>11.410000000000002</c:v>
                </c:pt>
                <c:pt idx="13">
                  <c:v>14.54</c:v>
                </c:pt>
                <c:pt idx="14">
                  <c:v>12.673333333333334</c:v>
                </c:pt>
                <c:pt idx="15">
                  <c:v>11.923333333333332</c:v>
                </c:pt>
                <c:pt idx="16">
                  <c:v>11.706666666666669</c:v>
                </c:pt>
                <c:pt idx="17">
                  <c:v>14.683333333333332</c:v>
                </c:pt>
                <c:pt idx="18">
                  <c:v>13.293333333333335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09248"/>
        <c:axId val="493110784"/>
      </c:scatterChart>
      <c:valAx>
        <c:axId val="4931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110784"/>
        <c:crosses val="autoZero"/>
        <c:crossBetween val="midCat"/>
      </c:valAx>
      <c:valAx>
        <c:axId val="493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10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310243</xdr:colOff>
      <xdr:row>96</xdr:row>
      <xdr:rowOff>70757</xdr:rowOff>
    </xdr:from>
    <xdr:to>
      <xdr:col>27</xdr:col>
      <xdr:colOff>92528</xdr:colOff>
      <xdr:row>111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364671</xdr:colOff>
      <xdr:row>115</xdr:row>
      <xdr:rowOff>136072</xdr:rowOff>
    </xdr:from>
    <xdr:to>
      <xdr:col>27</xdr:col>
      <xdr:colOff>146956</xdr:colOff>
      <xdr:row>130</xdr:row>
      <xdr:rowOff>103415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te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_Coordin "/>
      <sheetName val="Caratt_Compl (2)"/>
      <sheetName val="Ordina2"/>
      <sheetName val="Ordina"/>
      <sheetName val="Caratt_Compl"/>
      <sheetName val="Caratt_Compl (3)"/>
      <sheetName val="Borelog"/>
      <sheetName val="Water"/>
      <sheetName val="UCS"/>
      <sheetName val="FVT"/>
      <sheetName val="Cu"/>
      <sheetName val="Oed s'p"/>
      <sheetName val="Oed"/>
      <sheetName val="TX"/>
      <sheetName val="Ic"/>
      <sheetName val="PMT"/>
      <sheetName val="SPT"/>
      <sheetName val="SPT-Phi"/>
      <sheetName val="Grafici - BH"/>
      <sheetName val="Grafici - TX"/>
      <sheetName val="Grafici - Cu"/>
      <sheetName val="Ogni3"/>
      <sheetName val="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N2">
            <v>754.8</v>
          </cell>
        </row>
        <row r="5">
          <cell r="N5">
            <v>840.2</v>
          </cell>
        </row>
        <row r="8">
          <cell r="N8">
            <v>596.16</v>
          </cell>
        </row>
        <row r="11">
          <cell r="N11">
            <v>561.76</v>
          </cell>
        </row>
        <row r="14">
          <cell r="N14">
            <v>700.16</v>
          </cell>
        </row>
        <row r="17">
          <cell r="N17">
            <v>550</v>
          </cell>
        </row>
        <row r="20">
          <cell r="N20">
            <v>361</v>
          </cell>
        </row>
        <row r="23">
          <cell r="N23">
            <v>387.4</v>
          </cell>
        </row>
        <row r="29">
          <cell r="N29">
            <v>689.2</v>
          </cell>
        </row>
      </sheetData>
      <sheetData sheetId="12"/>
      <sheetData sheetId="13"/>
      <sheetData sheetId="14"/>
      <sheetData sheetId="15"/>
      <sheetData sheetId="16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 filterMode="1">
    <tabColor rgb="FFFFFF00"/>
  </sheetPr>
  <dimension ref="A1:DL151"/>
  <sheetViews>
    <sheetView tabSelected="1" zoomScale="70" zoomScaleNormal="70" workbookViewId="0">
      <pane xSplit="8" ySplit="3" topLeftCell="I28" activePane="bottomRight" state="frozen"/>
      <selection pane="topRight" activeCell="I1" sqref="I1"/>
      <selection pane="bottomLeft" activeCell="A4" sqref="A4"/>
      <selection pane="bottomRight" activeCell="G66" sqref="G66"/>
    </sheetView>
  </sheetViews>
  <sheetFormatPr defaultColWidth="9.109375" defaultRowHeight="14.4"/>
  <cols>
    <col min="1" max="1" width="20.5546875" style="51" customWidth="1"/>
    <col min="2" max="6" width="9.109375" style="50"/>
    <col min="7" max="7" width="15" style="50" customWidth="1"/>
    <col min="8" max="8" width="15" style="4" customWidth="1"/>
    <col min="9" max="11" width="9.109375" style="2" customWidth="1"/>
    <col min="12" max="12" width="9.109375" style="45" customWidth="1"/>
    <col min="13" max="13" width="9.109375" style="49" hidden="1" customWidth="1"/>
    <col min="14" max="14" width="9.109375" style="48" hidden="1" customWidth="1"/>
    <col min="15" max="15" width="9.109375" style="2" hidden="1" customWidth="1"/>
    <col min="16" max="16" width="9.109375" style="2" customWidth="1"/>
    <col min="17" max="17" width="9.109375" style="47" customWidth="1"/>
    <col min="18" max="18" width="8.33203125" style="47" customWidth="1"/>
    <col min="19" max="19" width="8.88671875" style="47" customWidth="1"/>
    <col min="20" max="20" width="9.109375" style="46" customWidth="1"/>
    <col min="21" max="23" width="9.109375" style="37" customWidth="1"/>
    <col min="24" max="24" width="8.33203125" style="34" customWidth="1"/>
    <col min="25" max="25" width="8.33203125" style="45" customWidth="1"/>
    <col min="26" max="26" width="8.33203125" style="3" customWidth="1"/>
    <col min="27" max="27" width="8.33203125" style="28" customWidth="1"/>
    <col min="28" max="28" width="8.33203125" style="44" customWidth="1"/>
    <col min="29" max="29" width="8.33203125" style="43" customWidth="1"/>
    <col min="30" max="30" width="8.33203125" style="42" customWidth="1"/>
    <col min="31" max="31" width="9.109375" style="41" customWidth="1"/>
    <col min="32" max="32" width="4.6640625" style="40" customWidth="1"/>
    <col min="33" max="33" width="4.6640625" style="3" customWidth="1"/>
    <col min="34" max="35" width="6.6640625" style="3" customWidth="1"/>
    <col min="36" max="36" width="8.33203125" style="39" customWidth="1"/>
    <col min="37" max="37" width="8.33203125" style="38" customWidth="1"/>
    <col min="38" max="38" width="9.109375" style="34" customWidth="1"/>
    <col min="39" max="39" width="9.109375" style="28" customWidth="1"/>
    <col min="40" max="42" width="9.109375" style="37" customWidth="1"/>
    <col min="43" max="44" width="9.109375" style="28" customWidth="1"/>
    <col min="45" max="45" width="8.109375" style="36" customWidth="1"/>
    <col min="46" max="46" width="5.109375" style="15" customWidth="1"/>
    <col min="47" max="48" width="5.109375" style="32" customWidth="1"/>
    <col min="49" max="49" width="5.109375" style="35" customWidth="1"/>
    <col min="50" max="52" width="5.109375" style="32" customWidth="1"/>
    <col min="53" max="53" width="5.109375" style="35" customWidth="1"/>
    <col min="54" max="54" width="7.88671875" style="34" customWidth="1"/>
    <col min="55" max="57" width="7.88671875" style="28" customWidth="1"/>
    <col min="58" max="58" width="7.88671875" style="33" customWidth="1"/>
    <col min="59" max="59" width="9" style="32" customWidth="1"/>
    <col min="60" max="60" width="9" style="31" customWidth="1"/>
    <col min="61" max="61" width="11.44140625" style="30" customWidth="1"/>
    <col min="62" max="64" width="7.88671875" style="28" customWidth="1"/>
    <col min="65" max="65" width="7.88671875" style="29" customWidth="1"/>
    <col min="66" max="66" width="7.88671875" style="28" customWidth="1"/>
    <col min="67" max="67" width="10.5546875" style="3" customWidth="1"/>
    <col min="68" max="68" width="14" style="28" customWidth="1"/>
    <col min="69" max="69" width="11.109375" style="27" customWidth="1"/>
    <col min="70" max="70" width="9.88671875" style="26" customWidth="1"/>
    <col min="71" max="71" width="8" style="26" customWidth="1"/>
    <col min="72" max="72" width="10.44140625" style="25" customWidth="1"/>
    <col min="73" max="73" width="12.109375" style="24" customWidth="1"/>
    <col min="74" max="74" width="12.109375" style="23" customWidth="1"/>
    <col min="75" max="75" width="10.44140625" style="22" customWidth="1"/>
    <col min="76" max="76" width="10.44140625" style="21" customWidth="1"/>
    <col min="77" max="77" width="16" style="20" customWidth="1"/>
    <col min="78" max="79" width="5.88671875" style="19" customWidth="1"/>
    <col min="80" max="80" width="8.33203125" style="19" customWidth="1"/>
    <col min="81" max="81" width="8.33203125" style="18" customWidth="1"/>
    <col min="82" max="82" width="9.33203125" style="12" customWidth="1"/>
    <col min="83" max="83" width="8" style="17" customWidth="1"/>
    <col min="84" max="84" width="8.109375" style="16" customWidth="1"/>
    <col min="85" max="85" width="7.6640625" style="15" customWidth="1"/>
    <col min="86" max="86" width="8.5546875" style="14" bestFit="1" customWidth="1"/>
    <col min="87" max="87" width="8.5546875" style="13" customWidth="1"/>
    <col min="88" max="89" width="8.5546875" style="12" customWidth="1"/>
    <col min="90" max="90" width="12.88671875" style="11" customWidth="1"/>
    <col min="91" max="91" width="9.109375" style="2"/>
    <col min="92" max="93" width="14.44140625" style="7" customWidth="1"/>
    <col min="94" max="94" width="14.44140625" style="10" customWidth="1"/>
    <col min="95" max="95" width="14.44140625" style="9" customWidth="1"/>
    <col min="96" max="98" width="14.44140625" style="8" customWidth="1"/>
    <col min="99" max="99" width="14.44140625" style="7" customWidth="1"/>
    <col min="100" max="100" width="14.44140625" style="6" customWidth="1"/>
    <col min="101" max="102" width="14.44140625" style="5" customWidth="1"/>
    <col min="103" max="107" width="7.88671875" style="4" customWidth="1"/>
    <col min="108" max="109" width="11.5546875" style="4" bestFit="1" customWidth="1"/>
    <col min="110" max="110" width="11.5546875" style="3" customWidth="1"/>
    <col min="111" max="111" width="11.5546875" style="4" bestFit="1" customWidth="1"/>
    <col min="112" max="112" width="11.5546875" style="3" customWidth="1"/>
    <col min="113" max="113" width="23.44140625" style="1" customWidth="1"/>
    <col min="114" max="116" width="11.6640625" style="2" customWidth="1"/>
    <col min="117" max="16384" width="9.109375" style="1"/>
  </cols>
  <sheetData>
    <row r="1" spans="1:116" s="586" customFormat="1" ht="15.6">
      <c r="A1" s="612"/>
      <c r="B1" s="584" t="s">
        <v>92</v>
      </c>
      <c r="C1" s="611">
        <v>6</v>
      </c>
      <c r="D1" s="584"/>
      <c r="E1" s="584"/>
      <c r="F1" s="584"/>
      <c r="G1" s="584"/>
      <c r="H1" s="119"/>
      <c r="I1" s="2"/>
      <c r="J1" s="2"/>
      <c r="K1" s="2"/>
      <c r="L1" s="45"/>
      <c r="M1" s="49"/>
      <c r="N1" s="156"/>
      <c r="O1" s="2"/>
      <c r="P1" s="2"/>
      <c r="Q1" s="47"/>
      <c r="R1" s="47"/>
      <c r="S1" s="47"/>
      <c r="T1" s="46" t="s">
        <v>128</v>
      </c>
      <c r="U1" s="37" t="s">
        <v>128</v>
      </c>
      <c r="V1" s="37" t="s">
        <v>128</v>
      </c>
      <c r="W1" s="37" t="s">
        <v>128</v>
      </c>
      <c r="X1" s="610"/>
      <c r="Y1" s="609" t="s">
        <v>127</v>
      </c>
      <c r="Z1" s="608"/>
      <c r="AA1" s="28"/>
      <c r="AB1" s="44" t="s">
        <v>124</v>
      </c>
      <c r="AC1" s="43" t="s">
        <v>124</v>
      </c>
      <c r="AD1" s="42" t="s">
        <v>126</v>
      </c>
      <c r="AE1" s="41" t="s">
        <v>125</v>
      </c>
      <c r="AF1" s="40"/>
      <c r="AG1" s="3"/>
      <c r="AH1" s="3"/>
      <c r="AI1" s="3"/>
      <c r="AJ1" s="607" t="s">
        <v>124</v>
      </c>
      <c r="AK1" s="38" t="s">
        <v>123</v>
      </c>
      <c r="AL1" s="606"/>
      <c r="AM1" s="605"/>
      <c r="AN1" s="605"/>
      <c r="AO1" s="605"/>
      <c r="AP1" s="605"/>
      <c r="AQ1" s="605"/>
      <c r="AR1" s="605"/>
      <c r="AS1" s="36"/>
      <c r="AT1" s="15"/>
      <c r="AU1" s="32" t="s">
        <v>122</v>
      </c>
      <c r="AV1" s="32"/>
      <c r="AW1" s="35"/>
      <c r="AX1" s="32"/>
      <c r="AY1" s="32" t="s">
        <v>121</v>
      </c>
      <c r="AZ1" s="32"/>
      <c r="BA1" s="35"/>
      <c r="BB1" s="142"/>
      <c r="BC1" s="136"/>
      <c r="BD1" s="136" t="s">
        <v>120</v>
      </c>
      <c r="BE1" s="136" t="s">
        <v>119</v>
      </c>
      <c r="BF1" s="134"/>
      <c r="BG1" s="32"/>
      <c r="BH1" s="132"/>
      <c r="BI1" s="131" t="s">
        <v>118</v>
      </c>
      <c r="BJ1" s="602"/>
      <c r="BK1" s="602" t="s">
        <v>117</v>
      </c>
      <c r="BL1" s="602" t="s">
        <v>116</v>
      </c>
      <c r="BM1" s="604"/>
      <c r="BN1" s="602"/>
      <c r="BO1" s="603"/>
      <c r="BP1" s="602"/>
      <c r="BQ1" s="27" t="s">
        <v>115</v>
      </c>
      <c r="BR1" s="601"/>
      <c r="BS1" s="601"/>
      <c r="BT1" s="600"/>
      <c r="BU1" s="594" t="s">
        <v>114</v>
      </c>
      <c r="BV1" s="599" t="s">
        <v>113</v>
      </c>
      <c r="BW1" s="565" t="s">
        <v>112</v>
      </c>
      <c r="BX1" s="564" t="s">
        <v>111</v>
      </c>
      <c r="BY1" s="598" t="s">
        <v>110</v>
      </c>
      <c r="BZ1" s="596"/>
      <c r="CA1" s="596"/>
      <c r="CB1" s="596"/>
      <c r="CC1" s="597"/>
      <c r="CD1" s="596"/>
      <c r="CE1" s="595"/>
      <c r="CF1" s="594"/>
      <c r="CG1" s="593"/>
      <c r="CH1" s="592"/>
      <c r="CI1" s="13"/>
      <c r="CJ1" s="591"/>
      <c r="CK1" s="591"/>
      <c r="CL1" s="590">
        <v>80</v>
      </c>
      <c r="CM1" s="589"/>
      <c r="CN1" s="121" t="s">
        <v>109</v>
      </c>
      <c r="CO1" s="121" t="s">
        <v>109</v>
      </c>
      <c r="CP1" s="124" t="s">
        <v>109</v>
      </c>
      <c r="CQ1" s="123" t="s">
        <v>109</v>
      </c>
      <c r="CR1" s="123" t="s">
        <v>109</v>
      </c>
      <c r="CS1" s="123" t="s">
        <v>109</v>
      </c>
      <c r="CT1" s="123" t="s">
        <v>109</v>
      </c>
      <c r="CU1" s="121" t="s">
        <v>109</v>
      </c>
      <c r="CV1" s="121" t="s">
        <v>109</v>
      </c>
      <c r="CW1" s="588" t="s">
        <v>109</v>
      </c>
      <c r="CX1" s="588"/>
      <c r="CY1" s="581" t="s">
        <v>109</v>
      </c>
      <c r="CZ1" s="581" t="s">
        <v>109</v>
      </c>
      <c r="DA1" s="581" t="s">
        <v>109</v>
      </c>
      <c r="DB1" s="581" t="s">
        <v>109</v>
      </c>
      <c r="DC1" s="581"/>
      <c r="DD1" s="581" t="s">
        <v>108</v>
      </c>
      <c r="DE1" s="581" t="s">
        <v>108</v>
      </c>
      <c r="DF1" s="305" t="s">
        <v>108</v>
      </c>
      <c r="DG1" s="581" t="s">
        <v>108</v>
      </c>
      <c r="DH1" s="305"/>
      <c r="DJ1" s="587" t="s">
        <v>107</v>
      </c>
      <c r="DK1" s="587" t="s">
        <v>107</v>
      </c>
      <c r="DL1" s="587" t="s">
        <v>107</v>
      </c>
    </row>
    <row r="2" spans="1:116" s="116" customFormat="1" ht="16.2">
      <c r="A2" s="585">
        <f>COUNT(F4:F800)</f>
        <v>81</v>
      </c>
      <c r="B2" s="584"/>
      <c r="C2" s="584" t="s">
        <v>106</v>
      </c>
      <c r="D2" s="584" t="s">
        <v>105</v>
      </c>
      <c r="E2" s="584" t="s">
        <v>104</v>
      </c>
      <c r="F2" s="583" t="s">
        <v>103</v>
      </c>
      <c r="G2" s="582" t="s">
        <v>102</v>
      </c>
      <c r="H2" s="581" t="s">
        <v>101</v>
      </c>
      <c r="I2" s="578" t="s">
        <v>98</v>
      </c>
      <c r="J2" s="578" t="s">
        <v>97</v>
      </c>
      <c r="K2" s="152" t="s">
        <v>96</v>
      </c>
      <c r="L2" s="150" t="s">
        <v>88</v>
      </c>
      <c r="M2" s="157" t="s">
        <v>100</v>
      </c>
      <c r="N2" s="319" t="s">
        <v>99</v>
      </c>
      <c r="O2" s="578" t="s">
        <v>98</v>
      </c>
      <c r="P2" s="578" t="s">
        <v>97</v>
      </c>
      <c r="Q2" s="152" t="s">
        <v>96</v>
      </c>
      <c r="R2" s="152" t="s">
        <v>95</v>
      </c>
      <c r="S2" s="152" t="s">
        <v>94</v>
      </c>
      <c r="T2" s="580" t="s">
        <v>93</v>
      </c>
      <c r="U2" s="141" t="s">
        <v>92</v>
      </c>
      <c r="V2" s="141" t="s">
        <v>91</v>
      </c>
      <c r="W2" s="141" t="s">
        <v>90</v>
      </c>
      <c r="X2" s="142" t="s">
        <v>89</v>
      </c>
      <c r="Y2" s="150" t="s">
        <v>88</v>
      </c>
      <c r="Z2" s="579" t="s">
        <v>46</v>
      </c>
      <c r="AA2" s="136" t="s">
        <v>87</v>
      </c>
      <c r="AB2" s="149" t="s">
        <v>86</v>
      </c>
      <c r="AC2" s="578" t="s">
        <v>85</v>
      </c>
      <c r="AD2" s="577" t="s">
        <v>84</v>
      </c>
      <c r="AE2" s="146" t="s">
        <v>83</v>
      </c>
      <c r="AF2" s="145" t="s">
        <v>82</v>
      </c>
      <c r="AG2" s="118" t="s">
        <v>81</v>
      </c>
      <c r="AH2" s="118" t="s">
        <v>80</v>
      </c>
      <c r="AI2" s="118" t="s">
        <v>79</v>
      </c>
      <c r="AJ2" s="576" t="s">
        <v>78</v>
      </c>
      <c r="AK2" s="575" t="s">
        <v>77</v>
      </c>
      <c r="AL2" s="574" t="s">
        <v>76</v>
      </c>
      <c r="AM2" s="573" t="s">
        <v>75</v>
      </c>
      <c r="AN2" s="573" t="s">
        <v>73</v>
      </c>
      <c r="AO2" s="573" t="s">
        <v>74</v>
      </c>
      <c r="AP2" s="573" t="s">
        <v>73</v>
      </c>
      <c r="AQ2" s="573" t="s">
        <v>72</v>
      </c>
      <c r="AR2" s="573" t="s">
        <v>71</v>
      </c>
      <c r="AS2" s="140" t="s">
        <v>70</v>
      </c>
      <c r="AT2" s="316" t="s">
        <v>69</v>
      </c>
      <c r="AU2" s="572" t="s">
        <v>68</v>
      </c>
      <c r="AV2" s="315" t="s">
        <v>67</v>
      </c>
      <c r="AW2" s="571" t="s">
        <v>66</v>
      </c>
      <c r="AX2" s="316" t="s">
        <v>69</v>
      </c>
      <c r="AY2" s="572" t="s">
        <v>68</v>
      </c>
      <c r="AZ2" s="315" t="s">
        <v>67</v>
      </c>
      <c r="BA2" s="571" t="s">
        <v>66</v>
      </c>
      <c r="BB2" s="570" t="s">
        <v>65</v>
      </c>
      <c r="BC2" s="568" t="s">
        <v>64</v>
      </c>
      <c r="BD2" s="568" t="s">
        <v>63</v>
      </c>
      <c r="BE2" s="568" t="s">
        <v>62</v>
      </c>
      <c r="BF2" s="569"/>
      <c r="BG2" s="568" t="s">
        <v>61</v>
      </c>
      <c r="BH2" s="132" t="s">
        <v>41</v>
      </c>
      <c r="BI2" s="131" t="s">
        <v>60</v>
      </c>
      <c r="BJ2" s="568" t="s">
        <v>59</v>
      </c>
      <c r="BK2" s="568" t="s">
        <v>58</v>
      </c>
      <c r="BL2" s="568" t="s">
        <v>58</v>
      </c>
      <c r="BM2" s="154" t="s">
        <v>57</v>
      </c>
      <c r="BN2" s="568"/>
      <c r="BO2" s="315" t="s">
        <v>34</v>
      </c>
      <c r="BP2" s="568" t="s">
        <v>56</v>
      </c>
      <c r="BQ2" s="567" t="s">
        <v>40</v>
      </c>
      <c r="BR2" s="548" t="s">
        <v>39</v>
      </c>
      <c r="BS2" s="129" t="s">
        <v>55</v>
      </c>
      <c r="BT2" s="566" t="s">
        <v>54</v>
      </c>
      <c r="BU2" s="565" t="s">
        <v>35</v>
      </c>
      <c r="BV2" s="564" t="s">
        <v>38</v>
      </c>
      <c r="BW2" s="563" t="s">
        <v>22</v>
      </c>
      <c r="BX2" s="562" t="s">
        <v>22</v>
      </c>
      <c r="BY2" s="561" t="s">
        <v>53</v>
      </c>
      <c r="BZ2" s="560" t="s">
        <v>52</v>
      </c>
      <c r="CA2" s="560" t="s">
        <v>51</v>
      </c>
      <c r="CB2" s="559" t="s">
        <v>34</v>
      </c>
      <c r="CC2" s="559" t="s">
        <v>34</v>
      </c>
      <c r="CD2" s="558" t="s">
        <v>50</v>
      </c>
      <c r="CE2" s="557" t="s">
        <v>49</v>
      </c>
      <c r="CF2" s="556" t="s">
        <v>48</v>
      </c>
      <c r="CG2" s="555" t="s">
        <v>47</v>
      </c>
      <c r="CH2" s="554" t="s">
        <v>46</v>
      </c>
      <c r="CI2" s="553" t="s">
        <v>45</v>
      </c>
      <c r="CJ2" s="552" t="s">
        <v>44</v>
      </c>
      <c r="CK2" s="551" t="s">
        <v>43</v>
      </c>
      <c r="CL2" s="125" t="s">
        <v>42</v>
      </c>
      <c r="CM2" s="117"/>
      <c r="CN2" s="550" t="s">
        <v>41</v>
      </c>
      <c r="CO2" s="549" t="s">
        <v>40</v>
      </c>
      <c r="CP2" s="548" t="s">
        <v>39</v>
      </c>
      <c r="CQ2" s="547" t="s">
        <v>38</v>
      </c>
      <c r="CR2" s="122" t="s">
        <v>37</v>
      </c>
      <c r="CS2" s="122" t="s">
        <v>37</v>
      </c>
      <c r="CT2" s="122" t="s">
        <v>36</v>
      </c>
      <c r="CU2" s="546" t="s">
        <v>35</v>
      </c>
      <c r="CV2" s="120" t="s">
        <v>34</v>
      </c>
      <c r="CW2" s="120" t="s">
        <v>33</v>
      </c>
      <c r="CX2" s="545"/>
      <c r="CY2" s="544" t="s">
        <v>31</v>
      </c>
      <c r="CZ2" s="119" t="s">
        <v>31</v>
      </c>
      <c r="DA2" s="119" t="s">
        <v>31</v>
      </c>
      <c r="DB2" s="119" t="s">
        <v>32</v>
      </c>
      <c r="DC2" s="119"/>
      <c r="DD2" s="119" t="s">
        <v>31</v>
      </c>
      <c r="DE2" s="119" t="s">
        <v>30</v>
      </c>
      <c r="DF2" s="118" t="s">
        <v>29</v>
      </c>
      <c r="DG2" s="119" t="s">
        <v>28</v>
      </c>
      <c r="DH2" s="118"/>
      <c r="DJ2" s="543">
        <v>1</v>
      </c>
      <c r="DK2" s="543">
        <v>2</v>
      </c>
      <c r="DL2" s="543">
        <v>3</v>
      </c>
    </row>
    <row r="3" spans="1:116" s="481" customFormat="1" ht="16.8" thickBot="1">
      <c r="A3" s="542"/>
      <c r="B3" s="541"/>
      <c r="C3" s="541" t="s">
        <v>18</v>
      </c>
      <c r="D3" s="541" t="s">
        <v>18</v>
      </c>
      <c r="E3" s="541" t="s">
        <v>18</v>
      </c>
      <c r="F3" s="540" t="s">
        <v>18</v>
      </c>
      <c r="G3" s="539"/>
      <c r="H3" s="538"/>
      <c r="I3" s="493" t="s">
        <v>27</v>
      </c>
      <c r="J3" s="493" t="s">
        <v>27</v>
      </c>
      <c r="K3" s="530" t="s">
        <v>26</v>
      </c>
      <c r="L3" s="533" t="s">
        <v>17</v>
      </c>
      <c r="M3" s="537" t="s">
        <v>26</v>
      </c>
      <c r="N3" s="443"/>
      <c r="O3" s="493" t="s">
        <v>27</v>
      </c>
      <c r="P3" s="493" t="s">
        <v>27</v>
      </c>
      <c r="Q3" s="530" t="s">
        <v>26</v>
      </c>
      <c r="R3" s="536" t="s">
        <v>17</v>
      </c>
      <c r="S3" s="536"/>
      <c r="T3" s="535" t="s">
        <v>26</v>
      </c>
      <c r="U3" s="532" t="s">
        <v>18</v>
      </c>
      <c r="V3" s="532" t="s">
        <v>24</v>
      </c>
      <c r="W3" s="532" t="s">
        <v>24</v>
      </c>
      <c r="X3" s="534" t="s">
        <v>24</v>
      </c>
      <c r="Y3" s="533" t="s">
        <v>17</v>
      </c>
      <c r="Z3" s="485" t="s">
        <v>17</v>
      </c>
      <c r="AA3" s="532" t="s">
        <v>24</v>
      </c>
      <c r="AB3" s="531" t="s">
        <v>26</v>
      </c>
      <c r="AC3" s="493" t="s">
        <v>27</v>
      </c>
      <c r="AD3" s="530" t="s">
        <v>26</v>
      </c>
      <c r="AE3" s="529" t="s">
        <v>17</v>
      </c>
      <c r="AF3" s="528"/>
      <c r="AG3" s="485"/>
      <c r="AH3" s="485"/>
      <c r="AI3" s="485"/>
      <c r="AJ3" s="527" t="s">
        <v>26</v>
      </c>
      <c r="AK3" s="526" t="s">
        <v>26</v>
      </c>
      <c r="AL3" s="525" t="s">
        <v>24</v>
      </c>
      <c r="AM3" s="523" t="s">
        <v>24</v>
      </c>
      <c r="AN3" s="523" t="s">
        <v>24</v>
      </c>
      <c r="AO3" s="524" t="s">
        <v>17</v>
      </c>
      <c r="AP3" s="523" t="s">
        <v>24</v>
      </c>
      <c r="AQ3" s="523" t="s">
        <v>24</v>
      </c>
      <c r="AR3" s="523" t="s">
        <v>24</v>
      </c>
      <c r="AS3" s="522"/>
      <c r="AT3" s="521" t="s">
        <v>24</v>
      </c>
      <c r="AU3" s="513" t="s">
        <v>25</v>
      </c>
      <c r="AV3" s="513" t="s">
        <v>24</v>
      </c>
      <c r="AW3" s="520" t="s">
        <v>25</v>
      </c>
      <c r="AX3" s="521" t="s">
        <v>24</v>
      </c>
      <c r="AY3" s="513" t="s">
        <v>25</v>
      </c>
      <c r="AZ3" s="513" t="s">
        <v>24</v>
      </c>
      <c r="BA3" s="520" t="s">
        <v>25</v>
      </c>
      <c r="BB3" s="519" t="s">
        <v>24</v>
      </c>
      <c r="BC3" s="518"/>
      <c r="BD3" s="518"/>
      <c r="BE3" s="512" t="s">
        <v>24</v>
      </c>
      <c r="BF3" s="517"/>
      <c r="BG3" s="513"/>
      <c r="BH3" s="516"/>
      <c r="BI3" s="515"/>
      <c r="BJ3" s="512" t="s">
        <v>24</v>
      </c>
      <c r="BK3" s="512" t="s">
        <v>24</v>
      </c>
      <c r="BL3" s="512"/>
      <c r="BM3" s="514" t="s">
        <v>17</v>
      </c>
      <c r="BN3" s="512"/>
      <c r="BO3" s="513"/>
      <c r="BP3" s="512"/>
      <c r="BQ3" s="511" t="s">
        <v>17</v>
      </c>
      <c r="BR3" s="510" t="s">
        <v>17</v>
      </c>
      <c r="BS3" s="510"/>
      <c r="BT3" s="509" t="s">
        <v>17</v>
      </c>
      <c r="BU3" s="508" t="s">
        <v>23</v>
      </c>
      <c r="BV3" s="507" t="s">
        <v>17</v>
      </c>
      <c r="BW3" s="506" t="s">
        <v>23</v>
      </c>
      <c r="BX3" s="505" t="s">
        <v>17</v>
      </c>
      <c r="BY3" s="504" t="s">
        <v>17</v>
      </c>
      <c r="BZ3" s="503"/>
      <c r="CA3" s="503"/>
      <c r="CB3" s="502"/>
      <c r="CC3" s="502"/>
      <c r="CD3" s="501" t="s">
        <v>23</v>
      </c>
      <c r="CE3" s="500"/>
      <c r="CF3" s="499"/>
      <c r="CG3" s="498"/>
      <c r="CH3" s="497"/>
      <c r="CI3" s="496"/>
      <c r="CJ3" s="495"/>
      <c r="CK3" s="495"/>
      <c r="CL3" s="494"/>
      <c r="CM3" s="493"/>
      <c r="CN3" s="492"/>
      <c r="CO3" s="492"/>
      <c r="CP3" s="491"/>
      <c r="CQ3" s="490"/>
      <c r="CR3" s="489" t="s">
        <v>22</v>
      </c>
      <c r="CS3" s="489" t="s">
        <v>21</v>
      </c>
      <c r="CT3" s="489"/>
      <c r="CU3" s="488" t="s">
        <v>20</v>
      </c>
      <c r="CV3" s="56" t="s">
        <v>19</v>
      </c>
      <c r="CW3" s="56" t="s">
        <v>18</v>
      </c>
      <c r="CX3" s="487"/>
      <c r="CY3" s="486" t="s">
        <v>16</v>
      </c>
      <c r="CZ3" s="484" t="s">
        <v>16</v>
      </c>
      <c r="DA3" s="484" t="s">
        <v>16</v>
      </c>
      <c r="DB3" s="484"/>
      <c r="DC3" s="484"/>
      <c r="DD3" s="484" t="s">
        <v>16</v>
      </c>
      <c r="DE3" s="484" t="s">
        <v>16</v>
      </c>
      <c r="DF3" s="485" t="s">
        <v>17</v>
      </c>
      <c r="DG3" s="484" t="s">
        <v>16</v>
      </c>
      <c r="DH3" s="483"/>
      <c r="DJ3" s="482">
        <v>0.2</v>
      </c>
      <c r="DK3" s="482">
        <v>0.27</v>
      </c>
      <c r="DL3" s="482">
        <v>0.42</v>
      </c>
    </row>
    <row r="4" spans="1:116" hidden="1">
      <c r="A4" s="115" t="str">
        <f>IF(B4="","",IF(F4&lt;10,CONCATENATE(B4," - 0",F4),CONCATENATE(B4," - ",F4)))</f>
        <v>LR01 - 06.5</v>
      </c>
      <c r="B4" s="450" t="s">
        <v>7</v>
      </c>
      <c r="C4" s="450">
        <v>6.2</v>
      </c>
      <c r="D4" s="450">
        <v>6.4</v>
      </c>
      <c r="E4" s="449">
        <f>AVERAGE(D4,C4)</f>
        <v>6.3000000000000007</v>
      </c>
      <c r="F4" s="449">
        <f>IF(E4="","",CEILING(E4,0.25))</f>
        <v>6.5</v>
      </c>
      <c r="G4" s="449" t="s">
        <v>15</v>
      </c>
      <c r="H4" s="448">
        <v>1</v>
      </c>
      <c r="I4" s="217">
        <v>18.72</v>
      </c>
      <c r="J4" s="217">
        <v>14.08</v>
      </c>
      <c r="K4" s="217">
        <v>0.32900000000000001</v>
      </c>
      <c r="L4" s="10">
        <v>0.91400000000000003</v>
      </c>
      <c r="M4" s="309">
        <v>0.97</v>
      </c>
      <c r="N4" s="308">
        <v>11.7</v>
      </c>
      <c r="O4" s="218">
        <f>(P4*(1+AVERAGE(L4:L6))+(9.81*M4*AVERAGE(L4:L6)))/(1+AVERAGE(L4:L6))</f>
        <v>18.790503243818133</v>
      </c>
      <c r="P4" s="217">
        <f>AVERAGE(J4:J6)</f>
        <v>14.335000000000001</v>
      </c>
      <c r="Q4" s="216">
        <f>AVERAGE(K4:K6)</f>
        <v>0.3165</v>
      </c>
      <c r="R4" s="216">
        <f>IF(L4="","",L4/(1+L4))</f>
        <v>0.47753396029258094</v>
      </c>
      <c r="S4" s="216" t="str">
        <f>IF(R4="","",IF(R4&lt;0.3,"S",IF(R4&lt;0.45,"L",IF(AND(R4&lt;0.5,R4&gt;=0.45),"C",IF(R4&gt;=0.5,"SC","")))))</f>
        <v>C</v>
      </c>
      <c r="T4" s="288">
        <f>L4*9.81/($P$4*(1+L4))</f>
        <v>0.32679512734357996</v>
      </c>
      <c r="U4" s="287">
        <f>N4</f>
        <v>11.7</v>
      </c>
      <c r="V4" s="287">
        <f>IF(E4="","",IF(E4&lt;=10,IF(E4&lt;=N4,18*E4,18*N4+(18-0)*(E4-N4)),IF(AND(E4&gt;10,N4&lt;=10),18*N4+(18-0)*(10-N4)+(17.5-0)*(E4-10),IF(E4&lt;N4,(18*0)+17.5*(E4-10),(18*0)+17.5*(N4-10)+(17.5-0)*(E4-N4)))))</f>
        <v>113.4</v>
      </c>
      <c r="W4" s="37">
        <f>IF(E4="","",IF(E4&lt;=10,IF(E4&lt;=N4,18*E4,18*N4+(18-10)*(E4-N4)),IF(AND(E4&gt;10,N4&lt;=10),18*N4+(18-10)*(10-N4)+(17.5-10)*(E4-10),IF(E4&lt;N4,(18*10)+17.5*(E4-10),(18*10)+17.5*(N4-10)+(17.5-10)*(E4-N4)))))</f>
        <v>113.4</v>
      </c>
      <c r="X4" s="34">
        <v>127</v>
      </c>
      <c r="Y4" s="10">
        <v>0.78</v>
      </c>
      <c r="Z4" s="305"/>
      <c r="AA4" s="28">
        <v>800</v>
      </c>
      <c r="AB4" s="324">
        <v>0.52500000000000002</v>
      </c>
      <c r="AC4" s="406"/>
      <c r="AD4" s="42">
        <f>9.81*AE4/P4/(1+AE4)</f>
        <v>0.3183823296258923</v>
      </c>
      <c r="AE4" s="326">
        <v>0.87</v>
      </c>
      <c r="AF4" s="306">
        <v>79.599999999999994</v>
      </c>
      <c r="AG4" s="305">
        <v>79.400000000000006</v>
      </c>
      <c r="AH4" s="305">
        <v>1121.21</v>
      </c>
      <c r="AI4" s="305">
        <v>1099.1600000000001</v>
      </c>
      <c r="AJ4" s="39">
        <f>IF(AF4="","",1-(AG4*AI4/AF4/AH4))</f>
        <v>2.2129403539669967E-2</v>
      </c>
      <c r="AK4" s="38">
        <v>6.3E-2</v>
      </c>
      <c r="AL4" s="476">
        <v>100</v>
      </c>
      <c r="AM4" s="475">
        <v>253.87</v>
      </c>
      <c r="AN4" s="37">
        <f>AL4-AQ4</f>
        <v>24.010000000000005</v>
      </c>
      <c r="AO4" s="37">
        <f>AN4-AP4</f>
        <v>0</v>
      </c>
      <c r="AP4" s="37">
        <f>AM4-AR4</f>
        <v>24.009999999999991</v>
      </c>
      <c r="AQ4" s="475">
        <v>75.989999999999995</v>
      </c>
      <c r="AR4" s="475">
        <v>229.86</v>
      </c>
      <c r="AS4" s="328"/>
      <c r="AT4" s="474">
        <v>25</v>
      </c>
      <c r="AU4" s="472">
        <v>18</v>
      </c>
      <c r="AV4" s="472">
        <v>18</v>
      </c>
      <c r="AW4" s="473">
        <v>24</v>
      </c>
      <c r="AX4" s="472">
        <v>25</v>
      </c>
      <c r="AY4" s="472">
        <v>18</v>
      </c>
      <c r="AZ4" s="472">
        <v>18</v>
      </c>
      <c r="BA4" s="473">
        <v>24</v>
      </c>
      <c r="BB4" s="111">
        <f>(AM4-AL4)/AK4/1000</f>
        <v>2.4423809523809523</v>
      </c>
      <c r="BC4" s="109"/>
      <c r="BD4" s="109"/>
      <c r="BE4" s="109">
        <f>AL4/AJ4/1000</f>
        <v>4.5188746194960192</v>
      </c>
      <c r="BF4" s="304"/>
      <c r="BG4" s="472" t="s">
        <v>0</v>
      </c>
      <c r="BH4" s="480">
        <f>IF(OR(AE4="",Y4=""),"",Y4/AE4)</f>
        <v>0.89655172413793105</v>
      </c>
      <c r="BI4" s="7" t="str">
        <f>IF(OR(AE4="",Y4=""),"",IF(Y4/AE4&gt;1.05,"OC",IF(Y4/AE4&lt;0.95,"UC","OK")))</f>
        <v>UC</v>
      </c>
      <c r="BJ4" s="37">
        <f>(AM4-AL4)/2</f>
        <v>76.935000000000002</v>
      </c>
      <c r="BK4" s="37">
        <f>AVERAGE(BJ4:BJ6)+(_xlfn.COVARIANCE.P(AL4:AL6,BJ4:BJ6)/_xlfn.STDEV.P(AL4:AL6)^2)*(W4-AVERAGE(AL4:AL6))</f>
        <v>82.915866666666673</v>
      </c>
      <c r="BL4" s="37">
        <f>IF(BZ4="=",BJ4,"")</f>
        <v>76.935000000000002</v>
      </c>
      <c r="BM4" s="110">
        <f>AN4/(AM4-AL4)</f>
        <v>0.15604081367388059</v>
      </c>
      <c r="BN4" s="110" t="str">
        <f>IF(BM4="","",IF(AND(BM4&gt;=3/4,BM4&lt;=1.5),"HS",IF(AND(BM4&gt;=0.5,BM4&lt;=1),"NC",IF(AND(BM4&gt;=0,BM4&lt;=0.5),"OC",IF(BM4&lt;0,"H-OC","")))))</f>
        <v>OC</v>
      </c>
      <c r="BO4" s="109">
        <f>IF(BX4="","",BX4)</f>
        <v>7.5479999999780905</v>
      </c>
      <c r="BP4" s="110"/>
      <c r="BQ4" s="27">
        <f>BJ4/AL4</f>
        <v>0.76934999999999998</v>
      </c>
      <c r="BR4" s="26">
        <f>AL4/W4</f>
        <v>0.88183421516754845</v>
      </c>
      <c r="BS4" s="26" t="str">
        <f>IF(OR(BR4="",BH4=""),"",IF(AND(BR4&lt;1,BH4&gt;1),"NO",""))</f>
        <v/>
      </c>
      <c r="BT4" s="25">
        <f>IF(AA4="","",AA4/W4)</f>
        <v>7.0546737213403876</v>
      </c>
      <c r="BU4" s="332">
        <v>0.23856897476905431</v>
      </c>
      <c r="BV4" s="23">
        <v>0.15270682405223379</v>
      </c>
      <c r="BW4" s="22">
        <f>(BQ4/BU4)^(1/0.8)</f>
        <v>4.3215296036270576</v>
      </c>
      <c r="BX4" s="21">
        <f>(BQ4/BV4)^(1/0.8)</f>
        <v>7.5479999999780905</v>
      </c>
      <c r="BY4" s="20">
        <f>BU4*BW4^0.8</f>
        <v>0.76934999999999998</v>
      </c>
      <c r="BZ4" s="19" t="str">
        <f>IF(BR4&lt;0.85,"",IF(AND(BR4&gt;=0.85,BR4&lt;=1.15),"=","&gt;"))</f>
        <v>=</v>
      </c>
      <c r="CA4" s="19" t="str">
        <f>IF(BZ4="","",IF(AND(BQ4&gt;=0.2,BQ4&lt;=0.451),"OK","NO"))</f>
        <v>NO</v>
      </c>
      <c r="CB4" s="18" t="str">
        <f>IF(BZ4="","",IF(AL4&lt;=CF4/1.11,"OC","NC"))</f>
        <v>OC</v>
      </c>
      <c r="CC4" s="18" t="str">
        <f>IF(BZ4="","",IF(CA4="OK","NC","OC"))</f>
        <v>OC</v>
      </c>
      <c r="CD4" s="12">
        <f>IF(BQ4="","",IF(BW4="","",BW4*AL4))</f>
        <v>432.15296036270576</v>
      </c>
      <c r="CE4" s="17">
        <f>IF(BQ4="","",IF(BX4="","",BX4*AL4))</f>
        <v>754.7999999978091</v>
      </c>
      <c r="CF4" s="16">
        <f>AVERAGE(CD4:CD6)</f>
        <v>754.8000000005195</v>
      </c>
      <c r="CG4" s="15">
        <f>'[1]Oed s''p'!N2</f>
        <v>754.8</v>
      </c>
      <c r="CH4" s="14">
        <f>CG4/W4</f>
        <v>6.6560846560846549</v>
      </c>
      <c r="CI4" s="13" t="str">
        <f>IF(BQ4&lt;0.28,"Y","")</f>
        <v/>
      </c>
      <c r="CJ4" s="12" t="str">
        <f>IF(BQ4&lt;0.8,"Y","")</f>
        <v>Y</v>
      </c>
      <c r="CK4" s="12" t="str">
        <f>IF(BQ4&lt;BQ3,"","ERR")</f>
        <v/>
      </c>
      <c r="CL4" s="11">
        <f>IFERROR(CE4-CG4,"")</f>
        <v>-2.1908590497332625E-9</v>
      </c>
      <c r="CN4" s="7">
        <f>IF(OR(BS4="NO",BG4="TX-CID"),"",BH4)</f>
        <v>0.89655172413793105</v>
      </c>
      <c r="CO4" s="7">
        <f>IF(CN4="","",BQ4)</f>
        <v>0.76934999999999998</v>
      </c>
      <c r="CP4" s="10">
        <f>IF(CO4="","",BR4)</f>
        <v>0.88183421516754845</v>
      </c>
      <c r="CQ4" s="9">
        <f>IF(CO4="","",BV4)</f>
        <v>0.15270682405223379</v>
      </c>
      <c r="CR4" s="479">
        <f>IF(CU4="","",BX4)</f>
        <v>7.5479999999780905</v>
      </c>
      <c r="CS4" s="479">
        <f>IF(CR4="","",LN(CR4))</f>
        <v>2.021282627503401</v>
      </c>
      <c r="CT4" s="479">
        <f>IF(CS4="","",BM4)</f>
        <v>0.15604081367388059</v>
      </c>
      <c r="CU4" s="7">
        <f>IF(CO4="","",BU4)</f>
        <v>0.23856897476905431</v>
      </c>
      <c r="CV4" s="478">
        <f>IF(CR4="","",CH4)</f>
        <v>6.6560846560846549</v>
      </c>
      <c r="CW4" s="477">
        <f>IF(CU4="","",E4)</f>
        <v>6.3000000000000007</v>
      </c>
      <c r="CX4" s="477"/>
      <c r="CY4" s="4">
        <f>IF(CW4="","",IF(H4=1,$DJ$3*CV4^0.8*W4,IF(H4=2,$DK$3*CV4^0.8*W4,IF(H4=3,$DL$3*CV4^0.8*W4,"ERR"))))</f>
        <v>103.32802294339407</v>
      </c>
      <c r="CZ4" s="4" t="str">
        <f>IF(CY4="","",IF(BI4="OK",BJ4,""))</f>
        <v/>
      </c>
      <c r="DA4" s="4">
        <f>IF(CY4="","",IF(BK4="","",BK4))</f>
        <v>82.915866666666673</v>
      </c>
      <c r="DB4" s="6">
        <f>IF(CW4="","",BM4)</f>
        <v>0.15604081367388059</v>
      </c>
      <c r="DD4" s="4">
        <f>IF(OR(CH4="",W4=""),"",IF(H4=1,$DJ$3*CH4^0.8*W4,IF(H4=2,$DK$3*CH4^0.8*W4,IF(H4=3,$DL$3*CH4^0.8*W4,"ERR"))))</f>
        <v>103.32802294339407</v>
      </c>
      <c r="DE4" s="4">
        <f>IF(OR(CH4="",W4=""),"",IF(H4=1,$DJ$3*W4,IF(H4=2,$DK$3*W4,IF(H4=3,$DL$3*W4,"ERR"))))</f>
        <v>22.680000000000003</v>
      </c>
      <c r="DF4" s="3">
        <f>IF(DE4="","",-1.485*LN(E4)+7.098)</f>
        <v>4.3647837944047314</v>
      </c>
      <c r="DG4" s="4">
        <f>IF(OR(DF4="",W4=""),"",IF(H4=1,$DJ$3*DF4^0.8*W4,IF(H4=2,$DK$3*DF4^0.8*W4,IF(H4=3,$DL$3*CH4^0.8*W4,"ERR"))))</f>
        <v>73.7247382251457</v>
      </c>
    </row>
    <row r="5" spans="1:116" hidden="1">
      <c r="A5" s="115" t="str">
        <f>IF(B5="","",IF(F5&lt;10,CONCATENATE(B5," - 0",F5),CONCATENATE(B5," - ",F5)))</f>
        <v>LR01 - 06.5</v>
      </c>
      <c r="B5" s="450" t="s">
        <v>7</v>
      </c>
      <c r="C5" s="450">
        <v>6.2</v>
      </c>
      <c r="D5" s="450">
        <v>6.4</v>
      </c>
      <c r="E5" s="449">
        <f>AVERAGE(D5,C5)</f>
        <v>6.3000000000000007</v>
      </c>
      <c r="F5" s="449">
        <f>IF(E5="","",CEILING(E5,0.25))</f>
        <v>6.5</v>
      </c>
      <c r="G5" s="449" t="s">
        <v>15</v>
      </c>
      <c r="H5" s="448">
        <v>1</v>
      </c>
      <c r="I5" s="217"/>
      <c r="J5" s="217"/>
      <c r="K5" s="217"/>
      <c r="L5" s="10"/>
      <c r="M5" s="309"/>
      <c r="N5" s="308">
        <v>11.7</v>
      </c>
      <c r="O5" s="218"/>
      <c r="P5" s="217"/>
      <c r="Q5" s="216"/>
      <c r="R5" s="216" t="str">
        <f>IF(L5="","",L5/(1+L5))</f>
        <v/>
      </c>
      <c r="S5" s="216" t="str">
        <f>IF(R5="","",IF(R5&lt;0.3,"S",IF(R5&lt;0.45,"L",IF(AND(R5&lt;0.5,R5&gt;=0.45),"C",IF(R5&gt;=0.5,"SC","")))))</f>
        <v/>
      </c>
      <c r="T5" s="288"/>
      <c r="U5" s="287">
        <f>N5</f>
        <v>11.7</v>
      </c>
      <c r="V5" s="287">
        <f>IF(E5="","",IF(E5&lt;=10,IF(E5&lt;=N5,18*E5,18*N5+(18-0)*(E5-N5)),IF(AND(E5&gt;10,N5&lt;=10),18*N5+(18-0)*(10-N5)+(17.5-0)*(E5-10),IF(E5&lt;N5,(18*0)+17.5*(E5-10),(18*0)+17.5*(N5-10)+(17.5-0)*(E5-N5)))))</f>
        <v>113.4</v>
      </c>
      <c r="W5" s="37">
        <f>IF(E5="","",IF(E5&lt;=10,IF(E5&lt;=N5,18*E5,18*N5+(18-10)*(E5-N5)),IF(AND(E5&gt;10,N5&lt;=10),18*N5+(18-10)*(10-N5)+(17.5-10)*(E5-10),IF(E5&lt;N5,(18*10)+17.5*(E5-10),(18*10)+17.5*(N5-10)+(17.5-10)*(E5-N5)))))</f>
        <v>113.4</v>
      </c>
      <c r="Y5" s="45">
        <f>Y4</f>
        <v>0.78</v>
      </c>
      <c r="AB5" s="324">
        <v>0.49</v>
      </c>
      <c r="AC5" s="406"/>
      <c r="AD5" s="42">
        <f>9.81*AE5/P4/(1+AE5)</f>
        <v>0</v>
      </c>
      <c r="AE5" s="326"/>
      <c r="AF5" s="306"/>
      <c r="AG5" s="305"/>
      <c r="AH5" s="305"/>
      <c r="AI5" s="305"/>
      <c r="AJ5" s="39" t="str">
        <f>IF(AF5="","",1-(AG5*AI5/AF5/AH5))</f>
        <v/>
      </c>
      <c r="AL5" s="476"/>
      <c r="AM5" s="475"/>
      <c r="AN5" s="37">
        <f>AL5-AQ5</f>
        <v>0</v>
      </c>
      <c r="AO5" s="37">
        <f>AN5-AP5</f>
        <v>0</v>
      </c>
      <c r="AP5" s="37">
        <f>AM5-AR5</f>
        <v>0</v>
      </c>
      <c r="AQ5" s="475"/>
      <c r="AR5" s="475"/>
      <c r="AS5" s="328"/>
      <c r="AT5" s="474"/>
      <c r="AU5" s="472"/>
      <c r="AV5" s="472"/>
      <c r="AW5" s="473"/>
      <c r="AX5" s="472"/>
      <c r="AY5" s="472"/>
      <c r="AZ5" s="472"/>
      <c r="BA5" s="473"/>
      <c r="BB5" s="111"/>
      <c r="BC5" s="109"/>
      <c r="BD5" s="109"/>
      <c r="BE5" s="109"/>
      <c r="BF5" s="304"/>
      <c r="BG5" s="472" t="s">
        <v>0</v>
      </c>
      <c r="BH5" s="471" t="str">
        <f>IF(OR(AE5="",Y5=""),"",Y5/AE5)</f>
        <v/>
      </c>
      <c r="BI5" s="7" t="str">
        <f>IF(OR(AE5="",Y5=""),"",IF(Y5/AE5&gt;1.1,"OC",IF(Y5/AE5&lt;0.9,"UC","OK")))</f>
        <v/>
      </c>
      <c r="BJ5" s="37"/>
      <c r="BK5" s="37"/>
      <c r="BL5" s="37" t="str">
        <f>IF(BZ5="=",BJ5,"")</f>
        <v/>
      </c>
      <c r="BM5" s="110"/>
      <c r="BN5" s="110" t="str">
        <f>IF(BM5="","",IF(AND(BM5&gt;=3/4,BM5&lt;=1.5),"HS",IF(AND(BM5&gt;=0.5,BM5&lt;=1),"NC",IF(AND(BM5&gt;=0,BM5&lt;=0.5),"OC",IF(BM5&lt;0,"H-OC","")))))</f>
        <v/>
      </c>
      <c r="BO5" s="109" t="str">
        <f>IF(BX5="","",BX5)</f>
        <v/>
      </c>
      <c r="BP5" s="110"/>
      <c r="BS5" s="26" t="str">
        <f>IF(OR(BR5="",BH5=""),"",IF(AND(BR5&lt;1,BH5&gt;1),"NO",""))</f>
        <v/>
      </c>
      <c r="BU5" s="332"/>
      <c r="BZ5" s="19" t="str">
        <f>IF(BR5&lt;0.85,"",IF(AND(BR5&gt;=0.85,BR5&lt;=1.15),"=","&gt;"))</f>
        <v/>
      </c>
      <c r="CA5" s="19" t="str">
        <f>IF(BZ5="","",IF(AND(BQ5&gt;=0.2,BQ5&lt;=0.451),"OK","NO"))</f>
        <v/>
      </c>
      <c r="CB5" s="18" t="str">
        <f>IF(BZ5="","",IF(AL5&lt;=CF4/1.11,"OC","NC"))</f>
        <v/>
      </c>
      <c r="CC5" s="18" t="str">
        <f>IF(BZ5="","",IF(CA5="OK","NC","OC"))</f>
        <v/>
      </c>
      <c r="CD5" s="12" t="str">
        <f>IF(BQ5="","",IF(BW5="","",BW5*AL5))</f>
        <v/>
      </c>
      <c r="CE5" s="17" t="str">
        <f>IF(BQ5="","",IF(BX5="","",BX5*AL5))</f>
        <v/>
      </c>
      <c r="CG5" s="15">
        <f>CG4</f>
        <v>754.8</v>
      </c>
      <c r="CH5" s="14">
        <f>CG5/W5</f>
        <v>6.6560846560846549</v>
      </c>
      <c r="CK5" s="12" t="str">
        <f>IF(BQ5&lt;BQ4,"","ERR")</f>
        <v/>
      </c>
      <c r="CL5" s="11" t="str">
        <f>IFERROR(CE5-CG5,"")</f>
        <v/>
      </c>
      <c r="CN5" s="7" t="str">
        <f>IF(OR(BS5="NO",BG5="TX-CID"),"",BH5)</f>
        <v/>
      </c>
      <c r="CO5" s="7" t="str">
        <f>IF(CN5="","",BQ5)</f>
        <v/>
      </c>
      <c r="CP5" s="10" t="str">
        <f>IF(CO5="","",BR5)</f>
        <v/>
      </c>
      <c r="CQ5" s="9" t="str">
        <f>IF(CO5="","",BV5)</f>
        <v/>
      </c>
      <c r="CR5" s="8" t="str">
        <f>IF(CU5="","",BX5)</f>
        <v/>
      </c>
      <c r="CS5" s="8" t="str">
        <f>IF(CR5="","",LN(CR5))</f>
        <v/>
      </c>
      <c r="CT5" s="8" t="str">
        <f>IF(CS5="","",BM5)</f>
        <v/>
      </c>
      <c r="CU5" s="7" t="str">
        <f>IF(CO5="","",BU5)</f>
        <v/>
      </c>
      <c r="CV5" s="6" t="str">
        <f>IF(CR5="","",CH4)</f>
        <v/>
      </c>
      <c r="CW5" s="5" t="str">
        <f>IF(CU5="","",E5)</f>
        <v/>
      </c>
      <c r="CY5" s="4" t="str">
        <f>IF(CW5="","",IF(H5=1,$DJ$3*CV5^0.8*W5,IF(H5=2,$DK$3*CV5^0.8*W5,IF(H5=3,$DL$3*CV5^0.8*W5,"ERR"))))</f>
        <v/>
      </c>
      <c r="CZ5" s="4" t="str">
        <f>IF(CY5="","",IF(BI5="OK",BJ5,""))</f>
        <v/>
      </c>
      <c r="DA5" s="4" t="str">
        <f>IF(CY5="","",IF(BK5="","",BK5))</f>
        <v/>
      </c>
      <c r="DB5" s="6" t="str">
        <f>IF(CW5="","",BM5)</f>
        <v/>
      </c>
      <c r="DD5" s="4">
        <f>IF(OR(CH5="",W5=""),"",IF(H5=1,$DJ$3*CH5^0.8*W5,IF(H5=2,$DK$3*CH5^0.8*W5,IF(H5=3,$DL$3*CH5^0.8*W5,"ERR"))))</f>
        <v>103.32802294339407</v>
      </c>
      <c r="DE5" s="4">
        <f>IF(OR(CH5="",W5=""),"",IF(H5=1,$DJ$3*W5,IF(H5=2,$DK$3*W5,IF(H5=3,$DL$3*W5,"ERR"))))</f>
        <v>22.680000000000003</v>
      </c>
      <c r="DF5" s="3">
        <f>IF(DE5="","",-1.485*LN(E5)+7.098)</f>
        <v>4.3647837944047314</v>
      </c>
      <c r="DG5" s="4">
        <f>IF(OR(DF5="",W5=""),"",IF(H5=1,$DJ$3*DF5^0.8*W5,IF(H5=2,$DK$3*DF5^0.8*W5,IF(H5=3,$DL$3*CH5^0.8*W5,"ERR"))))</f>
        <v>73.7247382251457</v>
      </c>
    </row>
    <row r="6" spans="1:116" s="162" customFormat="1" hidden="1">
      <c r="A6" s="213" t="str">
        <f>IF(B6="","",IF(F6&lt;10,CONCATENATE(B6," - 0",F6),CONCATENATE(B6," - ",F6)))</f>
        <v>LR01 - 06.5</v>
      </c>
      <c r="B6" s="459" t="s">
        <v>7</v>
      </c>
      <c r="C6" s="459">
        <v>6.2</v>
      </c>
      <c r="D6" s="459">
        <v>6.4</v>
      </c>
      <c r="E6" s="470">
        <f>AVERAGE(D6,C6)</f>
        <v>6.3000000000000007</v>
      </c>
      <c r="F6" s="470">
        <f>IF(E6="","",CEILING(E6,0.25))</f>
        <v>6.5</v>
      </c>
      <c r="G6" s="470" t="s">
        <v>15</v>
      </c>
      <c r="H6" s="469">
        <v>1</v>
      </c>
      <c r="I6" s="222">
        <v>19.03</v>
      </c>
      <c r="J6" s="222">
        <v>14.59</v>
      </c>
      <c r="K6" s="222">
        <v>0.30399999999999999</v>
      </c>
      <c r="L6" s="171">
        <v>0.84699999999999998</v>
      </c>
      <c r="M6" s="299">
        <v>0.97</v>
      </c>
      <c r="N6" s="298">
        <v>11.7</v>
      </c>
      <c r="O6" s="223"/>
      <c r="P6" s="222"/>
      <c r="Q6" s="221"/>
      <c r="R6" s="221">
        <f>IF(L6="","",L6/(1+L6))</f>
        <v>0.45858148348673522</v>
      </c>
      <c r="S6" s="221" t="str">
        <f>IF(R6="","",IF(R6&lt;0.3,"S",IF(R6&lt;0.45,"L",IF(AND(R6&lt;0.5,R6&gt;=0.45),"C",IF(R6&gt;=0.5,"SC","")))))</f>
        <v>C</v>
      </c>
      <c r="T6" s="285">
        <f>L6*9.81/($P$4*(1+L6))</f>
        <v>0.3138252077436256</v>
      </c>
      <c r="U6" s="284">
        <f>N6</f>
        <v>11.7</v>
      </c>
      <c r="V6" s="284">
        <f>IF(E6="","",IF(E6&lt;=10,IF(E6&lt;=N6,18*E6,18*N6+(18-0)*(E6-N6)),IF(AND(E6&gt;10,N6&lt;=10),18*N6+(18-0)*(10-N6)+(17.5-0)*(E6-10),IF(E6&lt;N6,(18*0)+17.5*(E6-10),(18*0)+17.5*(N6-10)+(17.5-0)*(E6-N6)))))</f>
        <v>113.4</v>
      </c>
      <c r="W6" s="186">
        <f>IF(E6="","",IF(E6&lt;=10,IF(E6&lt;=N6,18*E6,18*N6+(18-10)*(E6-N6)),IF(AND(E6&gt;10,N6&lt;=10),18*N6+(18-10)*(10-N6)+(17.5-10)*(E6-10),IF(E6&lt;N6,(18*10)+17.5*(E6-10),(18*10)+17.5*(N6-10)+(17.5-10)*(E6-N6)))))</f>
        <v>113.4</v>
      </c>
      <c r="X6" s="197"/>
      <c r="Y6" s="205">
        <f>Y5</f>
        <v>0.78</v>
      </c>
      <c r="Z6" s="164"/>
      <c r="AA6" s="189"/>
      <c r="AB6" s="323">
        <v>0.42</v>
      </c>
      <c r="AC6" s="404"/>
      <c r="AD6" s="202">
        <f>9.81*AE6/P4/(1+AE6)</f>
        <v>0.29683108564241589</v>
      </c>
      <c r="AE6" s="325">
        <v>0.76600000000000001</v>
      </c>
      <c r="AF6" s="296">
        <v>79.599999999999994</v>
      </c>
      <c r="AG6" s="295">
        <v>78.599999999999994</v>
      </c>
      <c r="AH6" s="295">
        <v>1121.21</v>
      </c>
      <c r="AI6" s="295">
        <v>1099.17</v>
      </c>
      <c r="AJ6" s="199">
        <f>IF(AF6="","",1-(AG6*AI6/AF6/AH6))</f>
        <v>3.1973197118923657E-2</v>
      </c>
      <c r="AK6" s="198">
        <v>3.4000000000000002E-2</v>
      </c>
      <c r="AL6" s="468">
        <v>400</v>
      </c>
      <c r="AM6" s="467">
        <v>821.67</v>
      </c>
      <c r="AN6" s="186">
        <f>AL6-AQ6</f>
        <v>126.70999999999998</v>
      </c>
      <c r="AO6" s="186">
        <f>AN6-AP6</f>
        <v>0</v>
      </c>
      <c r="AP6" s="186">
        <f>AM6-AR6</f>
        <v>126.70999999999992</v>
      </c>
      <c r="AQ6" s="467">
        <v>273.29000000000002</v>
      </c>
      <c r="AR6" s="467">
        <v>694.96</v>
      </c>
      <c r="AS6" s="466"/>
      <c r="AT6" s="465"/>
      <c r="AU6" s="463"/>
      <c r="AV6" s="463"/>
      <c r="AW6" s="464"/>
      <c r="AX6" s="463"/>
      <c r="AY6" s="463"/>
      <c r="AZ6" s="463"/>
      <c r="BA6" s="464"/>
      <c r="BB6" s="194">
        <f>(AM6-AL6)/AK6/1000</f>
        <v>12.402058823529408</v>
      </c>
      <c r="BC6" s="187"/>
      <c r="BD6" s="187"/>
      <c r="BE6" s="187">
        <f>AL6/AJ6/1000</f>
        <v>12.510478652235124</v>
      </c>
      <c r="BF6" s="294"/>
      <c r="BG6" s="463" t="s">
        <v>0</v>
      </c>
      <c r="BH6" s="462">
        <f>IF(OR(AE6="",Y6=""),"",Y6/AE6)</f>
        <v>1.0182767624020888</v>
      </c>
      <c r="BI6" s="168" t="str">
        <f>IF(OR(AE6="",Y6=""),"",IF(Y6/AE6&gt;1.05,"OC",IF(Y6/AE6&lt;0.95,"UC","OK")))</f>
        <v>OK</v>
      </c>
      <c r="BJ6" s="186">
        <f>(AM6-AL6)/2</f>
        <v>210.83499999999998</v>
      </c>
      <c r="BK6" s="186"/>
      <c r="BL6" s="186" t="str">
        <f>IF(BZ6="=",BJ6,"")</f>
        <v/>
      </c>
      <c r="BM6" s="188">
        <f>AN6/(AM6-AL6)</f>
        <v>0.30049564825574498</v>
      </c>
      <c r="BN6" s="188" t="str">
        <f>IF(BM6="","",IF(AND(BM6&gt;=3/4,BM6&lt;=1.5),"HS",IF(AND(BM6&gt;=0.5,BM6&lt;=1),"NC",IF(AND(BM6&gt;=0,BM6&lt;=0.5),"OC",IF(BM6&lt;0,"H-OC","")))))</f>
        <v>OC</v>
      </c>
      <c r="BO6" s="187">
        <f>IF(BX6="","",BX6)</f>
        <v>1.886999999986015</v>
      </c>
      <c r="BP6" s="188"/>
      <c r="BQ6" s="185">
        <f>BJ6/AL6</f>
        <v>0.52708749999999993</v>
      </c>
      <c r="BR6" s="184">
        <f>AL6/W6</f>
        <v>3.5273368606701938</v>
      </c>
      <c r="BS6" s="184" t="str">
        <f>IF(OR(BR6="",BH6=""),"",IF(AND(BR6&lt;1,BH6&gt;1),"NO",""))</f>
        <v/>
      </c>
      <c r="BT6" s="183" t="str">
        <f>IF(AA6="","",AA6/W6)</f>
        <v/>
      </c>
      <c r="BU6" s="331">
        <f>BU4</f>
        <v>0.23856897476905431</v>
      </c>
      <c r="BV6" s="181">
        <v>0.31715035131730557</v>
      </c>
      <c r="BW6" s="180">
        <f>(BQ6/BU6)^(1/0.8)</f>
        <v>2.6936175990958331</v>
      </c>
      <c r="BX6" s="179">
        <f>(BQ6/BV6)^(1/0.8)</f>
        <v>1.886999999986015</v>
      </c>
      <c r="BY6" s="178">
        <f>BU6*BW6^0.8</f>
        <v>0.52708749999999993</v>
      </c>
      <c r="BZ6" s="177" t="str">
        <f>IF(BR6&lt;0.85,"",IF(AND(BR6&gt;=0.85,BR6&lt;=1.15),"=","&gt;"))</f>
        <v>&gt;</v>
      </c>
      <c r="CA6" s="177" t="str">
        <f>IF(BZ6="","",IF(AND(BQ6&gt;=0.2,BQ6&lt;=0.451),"OK","NO"))</f>
        <v>NO</v>
      </c>
      <c r="CB6" s="176" t="str">
        <f>IF(BZ6="","",IF(AL6&lt;=CF4/1.11,"OC","NC"))</f>
        <v>OC</v>
      </c>
      <c r="CC6" s="176" t="str">
        <f>IF(BZ6="","",IF(CA6="OK","NC","OC"))</f>
        <v>OC</v>
      </c>
      <c r="CD6" s="172">
        <f>IF(BQ6="","",IF(BW6="","",BW6*AL6))</f>
        <v>1077.4470396383333</v>
      </c>
      <c r="CE6" s="175">
        <f>IF(BQ6="","",IF(BX6="","",BX6*AL6))</f>
        <v>754.79999999440599</v>
      </c>
      <c r="CF6" s="174"/>
      <c r="CG6" s="66">
        <f>CG5</f>
        <v>754.8</v>
      </c>
      <c r="CH6" s="220">
        <f>CG6/W6</f>
        <v>6.6560846560846549</v>
      </c>
      <c r="CI6" s="173" t="str">
        <f>IF(BQ6&lt;0.28,"Y","")</f>
        <v/>
      </c>
      <c r="CJ6" s="172" t="str">
        <f>IF(BQ6&lt;0.8,"Y","")</f>
        <v>Y</v>
      </c>
      <c r="CK6" s="172"/>
      <c r="CL6" s="11">
        <f>IFERROR(CE6-CG6,"")</f>
        <v>-5.5939608500921167E-9</v>
      </c>
      <c r="CM6" s="163"/>
      <c r="CN6" s="168">
        <f>IF(OR(BS6="NO",BG6="TX-CID"),"",BH6)</f>
        <v>1.0182767624020888</v>
      </c>
      <c r="CO6" s="168">
        <f>IF(CN6="","",BQ6)</f>
        <v>0.52708749999999993</v>
      </c>
      <c r="CP6" s="171">
        <f>IF(CO6="","",BR6)</f>
        <v>3.5273368606701938</v>
      </c>
      <c r="CQ6" s="170">
        <f>IF(CO6="","",BV6)</f>
        <v>0.31715035131730557</v>
      </c>
      <c r="CR6" s="169">
        <f>IF(CU6="","",BX6)</f>
        <v>1.886999999986015</v>
      </c>
      <c r="CS6" s="169">
        <f>IF(CR6="","",LN(CR6))</f>
        <v>0.63498826637900196</v>
      </c>
      <c r="CT6" s="169">
        <f>IF(CS6="","",BM6)</f>
        <v>0.30049564825574498</v>
      </c>
      <c r="CU6" s="168">
        <f>IF(CO6="","",BU6)</f>
        <v>0.23856897476905431</v>
      </c>
      <c r="CV6" s="166">
        <f>IF(CR6="","",CH4)</f>
        <v>6.6560846560846549</v>
      </c>
      <c r="CW6" s="167">
        <f>IF(CU6="","",E6)</f>
        <v>6.3000000000000007</v>
      </c>
      <c r="CX6" s="167"/>
      <c r="CY6" s="165">
        <f>IF(CW6="","",IF(H6=1,$DJ$3*CV6^0.8*W6,IF(H6=2,$DK$3*CV6^0.8*W6,IF(H6=3,$DL$3*CV6^0.8*W6,"ERR"))))</f>
        <v>103.32802294339407</v>
      </c>
      <c r="CZ6" s="165">
        <f>IF(CY6="","",IF(BI6="OK",BJ6,""))</f>
        <v>210.83499999999998</v>
      </c>
      <c r="DA6" s="165" t="str">
        <f>IF(CY6="","",IF(BK6="","",BK6))</f>
        <v/>
      </c>
      <c r="DB6" s="166">
        <f>IF(CW6="","",BM6)</f>
        <v>0.30049564825574498</v>
      </c>
      <c r="DC6" s="165"/>
      <c r="DD6" s="165">
        <f>IF(OR(CH6="",W6=""),"",IF(H6=1,$DJ$3*CH6^0.8*W6,IF(H6=2,$DK$3*CH6^0.8*W6,IF(H6=3,$DL$3*CH6^0.8*W6,"ERR"))))</f>
        <v>103.32802294339407</v>
      </c>
      <c r="DE6" s="165">
        <f>IF(OR(CH6="",W6=""),"",IF(H6=1,$DJ$3*W6,IF(H6=2,$DK$3*W6,IF(H6=3,$DL$3*W6,"ERR"))))</f>
        <v>22.680000000000003</v>
      </c>
      <c r="DF6" s="164">
        <f>IF(DE6="","",-1.485*LN(E6)+7.098)</f>
        <v>4.3647837944047314</v>
      </c>
      <c r="DG6" s="165">
        <f>IF(OR(DF6="",W6=""),"",IF(H6=1,$DJ$3*DF6^0.8*W6,IF(H6=2,$DK$3*DF6^0.8*W6,IF(H6=3,$DL$3*CH6^0.8*W6,"ERR"))))</f>
        <v>73.7247382251457</v>
      </c>
      <c r="DH6" s="164"/>
      <c r="DJ6" s="163"/>
      <c r="DK6" s="163"/>
      <c r="DL6" s="163"/>
    </row>
    <row r="7" spans="1:116" hidden="1">
      <c r="A7" s="115" t="str">
        <f>IF(B7="","",IF(F7&lt;10,CONCATENATE(B7," - 0",F7),CONCATENATE(B7," - ",F7)))</f>
        <v>LR09 - 05.25</v>
      </c>
      <c r="B7" s="450" t="s">
        <v>14</v>
      </c>
      <c r="C7" s="450">
        <v>5.05</v>
      </c>
      <c r="D7" s="450">
        <v>5.35</v>
      </c>
      <c r="E7" s="450">
        <v>5.2</v>
      </c>
      <c r="F7" s="450">
        <f>IF(E7="","",CEILING(E7,0.25))</f>
        <v>5.25</v>
      </c>
      <c r="G7" s="450" t="s">
        <v>13</v>
      </c>
      <c r="H7" s="460">
        <v>1</v>
      </c>
      <c r="I7" s="2">
        <v>18.809999999999999</v>
      </c>
      <c r="J7" s="2">
        <v>14.11</v>
      </c>
      <c r="K7" s="112">
        <v>0.33300000000000002</v>
      </c>
      <c r="L7" s="45">
        <v>0.98499999999999999</v>
      </c>
      <c r="M7" s="49">
        <v>0.95</v>
      </c>
      <c r="N7" s="48">
        <v>9.5</v>
      </c>
      <c r="O7" s="218">
        <f>(P7*(1+AVERAGE(L7:L9))+(9.81*M7*AVERAGE(L7:L9)))/(1+AVERAGE(L7:L9))</f>
        <v>18.76807785272625</v>
      </c>
      <c r="P7" s="217">
        <f>AVERAGE(J7:J9)</f>
        <v>14.163333333333332</v>
      </c>
      <c r="Q7" s="216">
        <f>AVERAGE(K7:K9)</f>
        <v>0.33933333333333332</v>
      </c>
      <c r="R7" s="47">
        <f>IF(L7="","",L7/(1+L7))</f>
        <v>0.4962216624685139</v>
      </c>
      <c r="S7" s="47" t="str">
        <f>IF(R7="","",IF(R7&lt;0.3,"S",IF(R7&lt;0.45,"L",IF(AND(R7&lt;0.5,R7&gt;=0.45),"C",IF(R7&gt;=0.5,"SC","")))))</f>
        <v>C</v>
      </c>
      <c r="T7" s="46">
        <f>L7*9.81/($P$28*(1+L7))</f>
        <v>0.33510333929436359</v>
      </c>
      <c r="U7" s="37">
        <f>N7</f>
        <v>9.5</v>
      </c>
      <c r="V7" s="37">
        <f>IF(E7="","",IF(E7&lt;=10,IF(E7&lt;=N7,18*E7,18*N7+(18-0)*(E7-N7)),IF(AND(E7&gt;10,N7&lt;=10),18*N7+(18-0)*(10-N7)+(17.5-0)*(E7-10),IF(E7&lt;N7,(18*0)+17.5*(E7-10),(18*0)+17.5*(N7-10)+(17.5-0)*(E7-N7)))))</f>
        <v>93.600000000000009</v>
      </c>
      <c r="W7" s="37">
        <f>IF(E7="","",IF(E7&lt;=10,IF(E7&lt;=N7,18*E7,18*N7+(18-10)*(E7-N7)),IF(AND(E7&gt;10,N7&lt;=10),18*N7+(18-10)*(10-N7)+(17.5-10)*(E7-10),IF(E7&lt;N7,(18*10)+17.5*(E7-10),(18*10)+17.5*(N7-10)+(17.5-10)*(E7-N7)))))</f>
        <v>93.600000000000009</v>
      </c>
      <c r="Y7" s="45">
        <v>0.97399999999999998</v>
      </c>
      <c r="Z7" s="3">
        <v>5.5</v>
      </c>
      <c r="AA7" s="28">
        <v>534.1875</v>
      </c>
      <c r="AE7" s="41">
        <v>0.95799999999999996</v>
      </c>
      <c r="AF7" s="40">
        <v>79.099999999999994</v>
      </c>
      <c r="AG7" s="3">
        <v>79.8</v>
      </c>
      <c r="AH7" s="3">
        <v>1134.1099999999999</v>
      </c>
      <c r="AI7" s="3">
        <v>1109.1300000000001</v>
      </c>
      <c r="AJ7" s="39">
        <f>IF(AF7="","",1-(AG7*AI7/AF7/AH7))</f>
        <v>1.3371445684709937E-2</v>
      </c>
      <c r="AK7" s="38">
        <v>1.14E-2</v>
      </c>
      <c r="AL7" s="34">
        <v>50</v>
      </c>
      <c r="AM7" s="28">
        <v>121.59</v>
      </c>
      <c r="AN7" s="37">
        <f>AL7-AQ7</f>
        <v>7.7999999999999972</v>
      </c>
      <c r="AO7" s="37">
        <f>AN7-AP7</f>
        <v>0</v>
      </c>
      <c r="AP7" s="37">
        <f>AM7-AR7</f>
        <v>7.7999999999999972</v>
      </c>
      <c r="AQ7" s="28">
        <v>42.2</v>
      </c>
      <c r="AR7" s="28">
        <v>113.79</v>
      </c>
      <c r="AT7" s="15">
        <v>17</v>
      </c>
      <c r="AU7" s="32">
        <v>16</v>
      </c>
      <c r="AV7" s="32">
        <v>15</v>
      </c>
      <c r="AW7" s="35">
        <v>19</v>
      </c>
      <c r="BB7" s="111">
        <f>(AM7-AL7)/AK7/1000</f>
        <v>6.2798245614035082</v>
      </c>
      <c r="BE7" s="109">
        <f>AL7/AJ7/1000</f>
        <v>3.7393114535980434</v>
      </c>
      <c r="BG7" s="32" t="s">
        <v>0</v>
      </c>
      <c r="BH7" s="303">
        <f>IF(OR(AE7="",Y7=""),"",Y7/AE7)</f>
        <v>1.0167014613778707</v>
      </c>
      <c r="BI7" s="30" t="str">
        <f>IF(OR(AE7="",Y7=""),"",IF(Y7/AE7&gt;1.05,"OC",IF(Y7/AE7&lt;0.95,"UC","OK")))</f>
        <v>OK</v>
      </c>
      <c r="BJ7" s="461">
        <f>(AM7-AL7)/2</f>
        <v>35.795000000000002</v>
      </c>
      <c r="BK7" s="37">
        <f>AVERAGE(BJ7:BJ9)+(_xlfn.COVARIANCE.P(AL7:AL9,BJ7:BJ9)/_xlfn.STDEV.P(AL7:AL9)^2)*(W7-AVERAGE(AL7:AL9))</f>
        <v>63.41195428571428</v>
      </c>
      <c r="BL7" s="37" t="str">
        <f>IF(BZ7="=",BJ7,"")</f>
        <v/>
      </c>
      <c r="BM7" s="110">
        <f>AN7/(AM7-AL7)</f>
        <v>0.10895376449224747</v>
      </c>
      <c r="BN7" s="110" t="str">
        <f>IF(BM7="","",IF(AND(BM7&gt;=3/4,BM7&lt;=1.5),"HS",IF(AND(BM7&gt;=0.5,BM7&lt;=1),"NC",IF(AND(BM7&gt;=0,BM7&lt;=0.5),"OC",IF(BM7&lt;0,"H-OC","")))))</f>
        <v>OC</v>
      </c>
      <c r="BO7" s="109">
        <f>IF(BX7="","",BX7)</f>
        <v>11.000000000025789</v>
      </c>
      <c r="BP7" s="110"/>
      <c r="BQ7" s="27">
        <f>BJ7/AL7</f>
        <v>0.71589999999999998</v>
      </c>
      <c r="BR7" s="26">
        <f>AL7/W7</f>
        <v>0.53418803418803418</v>
      </c>
      <c r="BS7" s="26" t="str">
        <f>IF(OR(BR7="",BH7=""),"",IF(AND(BR7&lt;1,BH7&gt;1),"NO",""))</f>
        <v>NO</v>
      </c>
      <c r="BT7" s="25">
        <f>IF(AA7="","",AA7/W7)</f>
        <v>5.7071314102564097</v>
      </c>
      <c r="BU7" s="332">
        <v>0.213938574650371</v>
      </c>
      <c r="BV7" s="23">
        <v>0.10513279592472456</v>
      </c>
      <c r="BW7" s="22">
        <f>(BQ7/BU7)^(1/0.8)</f>
        <v>4.5258908973186571</v>
      </c>
      <c r="BX7" s="21">
        <f>(BQ7/BV7)^(1/0.8)</f>
        <v>11.000000000025789</v>
      </c>
      <c r="BY7" s="20">
        <f>BU7*BW7^0.8</f>
        <v>0.71590000000000009</v>
      </c>
      <c r="BZ7" s="19" t="str">
        <f>IF(BR7&lt;0.85,"",IF(AND(BR7&gt;=0.85,BR7&lt;=1.15),"=","&gt;"))</f>
        <v/>
      </c>
      <c r="CA7" s="19" t="str">
        <f>IF(BZ7="","",IF(AND(BQ7&gt;=0.2,BQ7&lt;=0.451),"OK","NO"))</f>
        <v/>
      </c>
      <c r="CB7" s="18" t="str">
        <f>IF(BZ7="","",IF(AL7&lt;=CF7/1.11,"OC","NC"))</f>
        <v/>
      </c>
      <c r="CC7" s="18" t="str">
        <f>IF(BZ7="","",IF(CA7="OK","NC","OC"))</f>
        <v/>
      </c>
      <c r="CE7" s="17">
        <f>IF(BQ7="","",IF(BX7="","",BX7*AL7))</f>
        <v>550.00000000128944</v>
      </c>
      <c r="CF7" s="16">
        <f>AVERAGE(CD7:CD9)</f>
        <v>549.99999999875911</v>
      </c>
      <c r="CG7" s="15">
        <f>'[1]Oed s''p'!N17</f>
        <v>550</v>
      </c>
      <c r="CH7" s="14">
        <f>CG7/W7</f>
        <v>5.8760683760683756</v>
      </c>
      <c r="CL7" s="125">
        <f>IFERROR(CE7-CG7,"")</f>
        <v>1.289436113438569E-9</v>
      </c>
      <c r="CN7" s="7" t="str">
        <f>IF(OR(BS7="NO",BG7="TX-CID"),"",BH7)</f>
        <v/>
      </c>
      <c r="CO7" s="7" t="str">
        <f>IF(CN7="","",BQ7)</f>
        <v/>
      </c>
      <c r="CP7" s="10" t="str">
        <f>IF(CO7="","",BR7)</f>
        <v/>
      </c>
      <c r="CQ7" s="9" t="str">
        <f>IF(CO7="","",BV7)</f>
        <v/>
      </c>
      <c r="CR7" s="8" t="str">
        <f>IF(CU7="","",BX7)</f>
        <v/>
      </c>
      <c r="CS7" s="8" t="str">
        <f>IF(CR7="","",LN(CR7))</f>
        <v/>
      </c>
      <c r="CT7" s="8" t="str">
        <f>IF(CS7="","",BM7)</f>
        <v/>
      </c>
      <c r="CU7" s="7" t="str">
        <f>IF(CO7="","",BU7)</f>
        <v/>
      </c>
      <c r="CV7" s="6" t="str">
        <f>IF(CR7="","",CH7)</f>
        <v/>
      </c>
      <c r="CW7" s="5" t="str">
        <f>IF(CU7="","",E7)</f>
        <v/>
      </c>
      <c r="CY7" s="4" t="str">
        <f>IF(CW7="","",IF(H7=1,$DJ$3*CV7^0.8*W7,IF(H7=2,$DK$3*CV7^0.8*W7,IF(H7=3,$DL$3*CV7^0.8*W7,"ERR"))))</f>
        <v/>
      </c>
      <c r="CZ7" s="4" t="str">
        <f>IF(CY7="","",IF(BI7="OK",BJ7,""))</f>
        <v/>
      </c>
      <c r="DA7" s="4" t="str">
        <f>IF(CY7="","",IF(BK7="","",BK7))</f>
        <v/>
      </c>
      <c r="DB7" s="6" t="str">
        <f>IF(CW7="","",BM7)</f>
        <v/>
      </c>
      <c r="DD7" s="4">
        <f>IF(OR(CH7="",W7=""),"",IF(H7=1,$DJ$3*CH7^0.8*W7,IF(H7=2,$DK$3*CH7^0.8*W7,IF(H7=3,$DL$3*CH7^0.8*W7,"ERR"))))</f>
        <v>77.192537422280921</v>
      </c>
      <c r="DE7" s="4">
        <f>IF(OR(CH7="",W7=""),"",IF(H7=1,$DJ$3*W7,IF(H7=2,$DK$3*W7,IF(H7=3,$DL$3*W7,"ERR"))))</f>
        <v>18.720000000000002</v>
      </c>
      <c r="DF7" s="3">
        <f>IF(DE7="","",-1.485*LN(E7)+7.098)</f>
        <v>4.6497419410027376</v>
      </c>
      <c r="DG7" s="4">
        <f>IF(OR(DF7="",W7=""),"",IF(H7=1,$DJ$3*DF7^0.8*W7,IF(H7=2,$DK$3*DF7^0.8*W7,IF(H7=3,$DL$3*CH7^0.8*W7,"ERR"))))</f>
        <v>64.010161759626541</v>
      </c>
    </row>
    <row r="8" spans="1:116" hidden="1">
      <c r="A8" s="115" t="str">
        <f>IF(B8="","",IF(F8&lt;10,CONCATENATE(B8," - 0",F8),CONCATENATE(B8," - ",F8)))</f>
        <v>LR09 - 05.25</v>
      </c>
      <c r="B8" s="450" t="s">
        <v>14</v>
      </c>
      <c r="C8" s="450">
        <v>5.05</v>
      </c>
      <c r="D8" s="450">
        <v>5.35</v>
      </c>
      <c r="E8" s="450">
        <v>5.2</v>
      </c>
      <c r="F8" s="450">
        <f>IF(E8="","",CEILING(E8,0.25))</f>
        <v>5.25</v>
      </c>
      <c r="G8" s="450" t="s">
        <v>13</v>
      </c>
      <c r="H8" s="460">
        <v>1</v>
      </c>
      <c r="I8" s="2">
        <v>19.12</v>
      </c>
      <c r="J8" s="2">
        <v>14.2</v>
      </c>
      <c r="K8" s="112">
        <v>0.34599999999999997</v>
      </c>
      <c r="L8" s="45">
        <v>0.97099999999999997</v>
      </c>
      <c r="M8" s="49">
        <v>1</v>
      </c>
      <c r="N8" s="48">
        <v>9.5</v>
      </c>
      <c r="R8" s="47">
        <f>IF(L8="","",L8/(1+L8))</f>
        <v>0.49264332825976659</v>
      </c>
      <c r="S8" s="47" t="str">
        <f>IF(R8="","",IF(R8&lt;0.3,"S",IF(R8&lt;0.45,"L",IF(AND(R8&lt;0.5,R8&gt;=0.45),"C",IF(R8&gt;=0.5,"SC","")))))</f>
        <v>C</v>
      </c>
      <c r="T8" s="46">
        <f>L8*9.81/($P$28*(1+L8))</f>
        <v>0.33268685522452807</v>
      </c>
      <c r="U8" s="37">
        <f>N8</f>
        <v>9.5</v>
      </c>
      <c r="V8" s="37">
        <f>IF(E8="","",IF(E8&lt;=10,IF(E8&lt;=N8,18*E8,18*N8+(18-0)*(E8-N8)),IF(AND(E8&gt;10,N8&lt;=10),18*N8+(18-0)*(10-N8)+(17.5-0)*(E8-10),IF(E8&lt;N8,(18*0)+17.5*(E8-10),(18*0)+17.5*(N8-10)+(17.5-0)*(E8-N8)))))</f>
        <v>93.600000000000009</v>
      </c>
      <c r="W8" s="37">
        <f>IF(E8="","",IF(E8&lt;=10,IF(E8&lt;=N8,18*E8,18*N8+(18-10)*(E8-N8)),IF(AND(E8&gt;10,N8&lt;=10),18*N8+(18-10)*(10-N8)+(17.5-10)*(E8-10),IF(E8&lt;N8,(18*10)+17.5*(E8-10),(18*10)+17.5*(N8-10)+(17.5-10)*(E8-N8)))))</f>
        <v>93.600000000000009</v>
      </c>
      <c r="Y8" s="45">
        <f>Y7</f>
        <v>0.97399999999999998</v>
      </c>
      <c r="AE8" s="41">
        <v>0.91500000000000004</v>
      </c>
      <c r="AF8" s="40">
        <v>78.900000000000006</v>
      </c>
      <c r="AG8" s="3">
        <v>78.599999999999994</v>
      </c>
      <c r="AH8" s="3">
        <v>1134.1099999999999</v>
      </c>
      <c r="AI8" s="3">
        <v>1105.6600000000001</v>
      </c>
      <c r="AJ8" s="39">
        <f>IF(AF8="","",1-(AG8*AI8/AF8/AH8))</f>
        <v>2.8792648348265004E-2</v>
      </c>
      <c r="AK8" s="38">
        <v>7.5200000000000003E-2</v>
      </c>
      <c r="AL8" s="34">
        <v>100</v>
      </c>
      <c r="AM8" s="28">
        <v>266.33</v>
      </c>
      <c r="AN8" s="37">
        <f>AL8-AQ8</f>
        <v>14.709999999999994</v>
      </c>
      <c r="AO8" s="37">
        <f>AN8-AP8</f>
        <v>-9.9999999999766942E-3</v>
      </c>
      <c r="AP8" s="37">
        <f>AM8-AR8</f>
        <v>14.71999999999997</v>
      </c>
      <c r="AQ8" s="28">
        <v>85.29</v>
      </c>
      <c r="AR8" s="28">
        <v>251.61</v>
      </c>
      <c r="BB8" s="111">
        <f>(AM8-AL8)/AK8/1000</f>
        <v>2.2118351063829782</v>
      </c>
      <c r="BE8" s="109">
        <f>AL8/AJ8/1000</f>
        <v>3.4731087877168418</v>
      </c>
      <c r="BG8" s="32" t="s">
        <v>0</v>
      </c>
      <c r="BH8" s="31">
        <f>IF(OR(AE8="",Y8=""),"",Y8/AE8)</f>
        <v>1.0644808743169398</v>
      </c>
      <c r="BI8" s="30" t="str">
        <f>IF(OR(AE8="",Y8=""),"",IF(Y8/AE8&gt;1.05,"OC",IF(Y8/AE8&lt;0.95,"UC","OK")))</f>
        <v>OC</v>
      </c>
      <c r="BJ8" s="28">
        <f>(AM8-AL8)/2</f>
        <v>83.164999999999992</v>
      </c>
      <c r="BL8" s="37">
        <f>IF(BZ8="=",BJ8,"")</f>
        <v>83.164999999999992</v>
      </c>
      <c r="BM8" s="110">
        <f>AN8/(AM8-AL8)</f>
        <v>8.8438646065051377E-2</v>
      </c>
      <c r="BN8" s="110" t="str">
        <f>IF(BM8="","",IF(AND(BM8&gt;=3/4,BM8&lt;=1.5),"HS",IF(AND(BM8&gt;=0.5,BM8&lt;=1),"NC",IF(AND(BM8&gt;=0,BM8&lt;=0.5),"OC",IF(BM8&lt;0,"H-OC","")))))</f>
        <v>OC</v>
      </c>
      <c r="BO8" s="109">
        <f>IF(BX8="","",BX8)</f>
        <v>5.5000000000046043</v>
      </c>
      <c r="BP8" s="110"/>
      <c r="BQ8" s="27">
        <f>BJ8/AL8</f>
        <v>0.83164999999999989</v>
      </c>
      <c r="BR8" s="26">
        <f>AL8/W8</f>
        <v>1.0683760683760684</v>
      </c>
      <c r="BS8" s="26" t="str">
        <f>IF(OR(BR8="",BH8=""),"",IF(AND(BR8&lt;1,BH8&gt;1),"NO",""))</f>
        <v/>
      </c>
      <c r="BT8" s="25" t="str">
        <f>IF(AA8="","",AA8/W8)</f>
        <v/>
      </c>
      <c r="BU8" s="332">
        <f>BU7</f>
        <v>0.213938574650371</v>
      </c>
      <c r="BV8" s="23">
        <v>0.21264268150941695</v>
      </c>
      <c r="BW8" s="22">
        <f>(BQ8/BU8)^(1/0.8)</f>
        <v>5.4583875449397485</v>
      </c>
      <c r="BX8" s="21">
        <f>(BQ8/BV8)^(1/0.8)</f>
        <v>5.5000000000046043</v>
      </c>
      <c r="BY8" s="20">
        <f>BU8*BW8^0.8</f>
        <v>0.83164999999999978</v>
      </c>
      <c r="BZ8" s="19" t="str">
        <f>IF(BR8&lt;0.85,"",IF(AND(BR8&gt;=0.85,BR8&lt;=1.15),"=","&gt;"))</f>
        <v>=</v>
      </c>
      <c r="CA8" s="19" t="str">
        <f>IF(BZ8="","",IF(AND(BQ8&gt;=0.2,BQ8&lt;=0.451),"OK","NO"))</f>
        <v>NO</v>
      </c>
      <c r="CB8" s="18" t="str">
        <f>IF(BZ8="","",IF(AL8&lt;=CF7/1.11,"OC","NC"))</f>
        <v>OC</v>
      </c>
      <c r="CC8" s="18" t="str">
        <f>IF(BZ8="","",IF(CA8="OK","NC","OC"))</f>
        <v>OC</v>
      </c>
      <c r="CD8" s="12">
        <f>IF(BQ8="","",IF(BW8="","",BW8*AL8))</f>
        <v>545.83875449397488</v>
      </c>
      <c r="CE8" s="17">
        <f>IF(BQ8="","",IF(BX8="","",BX8*AL8))</f>
        <v>550.00000000046043</v>
      </c>
      <c r="CG8" s="15">
        <f>CG7</f>
        <v>550</v>
      </c>
      <c r="CH8" s="14">
        <f>CG8/W8</f>
        <v>5.8760683760683756</v>
      </c>
      <c r="CL8" s="11">
        <f>IFERROR(CE8-CG8,"")</f>
        <v>4.6043169277254492E-10</v>
      </c>
      <c r="CN8" s="7">
        <f>IF(OR(BS8="NO",BG8="TX-CID"),"",BH8)</f>
        <v>1.0644808743169398</v>
      </c>
      <c r="CO8" s="7">
        <f>IF(CN8="","",BQ8)</f>
        <v>0.83164999999999989</v>
      </c>
      <c r="CP8" s="10">
        <f>IF(CO8="","",BR8)</f>
        <v>1.0683760683760684</v>
      </c>
      <c r="CQ8" s="9">
        <f>IF(CO8="","",BV8)</f>
        <v>0.21264268150941695</v>
      </c>
      <c r="CR8" s="8">
        <f>IF(CU8="","",BX8)</f>
        <v>5.5000000000046043</v>
      </c>
      <c r="CS8" s="8">
        <f>IF(CR8="","",LN(CR8))</f>
        <v>1.7047480922392624</v>
      </c>
      <c r="CT8" s="8">
        <f>IF(CS8="","",BM8)</f>
        <v>8.8438646065051377E-2</v>
      </c>
      <c r="CU8" s="7">
        <f>IF(CO8="","",BU8)</f>
        <v>0.213938574650371</v>
      </c>
      <c r="CV8" s="6">
        <f>IF(CR8="","",CH7)</f>
        <v>5.8760683760683756</v>
      </c>
      <c r="CW8" s="5">
        <f>IF(CU8="","",E8)</f>
        <v>5.2</v>
      </c>
      <c r="CY8" s="4">
        <f>IF(CW8="","",IF(H8=1,$DJ$3*CV8^0.8*W8,IF(H8=2,$DK$3*CV8^0.8*W8,IF(H8=3,$DL$3*CV8^0.8*W8,"ERR"))))</f>
        <v>77.192537422280921</v>
      </c>
      <c r="CZ8" s="4" t="str">
        <f>IF(CY8="","",IF(BI8="OK",BJ8,""))</f>
        <v/>
      </c>
      <c r="DA8" s="4" t="str">
        <f>IF(CY8="","",IF(BK8="","",BK8))</f>
        <v/>
      </c>
      <c r="DB8" s="6">
        <f>IF(CW8="","",BM8)</f>
        <v>8.8438646065051377E-2</v>
      </c>
      <c r="DD8" s="4">
        <f>IF(OR(CH8="",W8=""),"",IF(H8=1,$DJ$3*CH8^0.8*W8,IF(H8=2,$DK$3*CH8^0.8*W8,IF(H8=3,$DL$3*CH8^0.8*W8,"ERR"))))</f>
        <v>77.192537422280921</v>
      </c>
      <c r="DE8" s="4">
        <f>IF(OR(CH8="",W8=""),"",IF(H8=1,$DJ$3*W8,IF(H8=2,$DK$3*W8,IF(H8=3,$DL$3*W8,"ERR"))))</f>
        <v>18.720000000000002</v>
      </c>
      <c r="DF8" s="3">
        <f>IF(DE8="","",-1.485*LN(E8)+7.098)</f>
        <v>4.6497419410027376</v>
      </c>
      <c r="DG8" s="4">
        <f>IF(OR(DF8="",W8=""),"",IF(H8=1,$DJ$3*DF8^0.8*W8,IF(H8=2,$DK$3*DF8^0.8*W8,IF(H8=3,$DL$3*CH8^0.8*W8,"ERR"))))</f>
        <v>64.010161759626541</v>
      </c>
    </row>
    <row r="9" spans="1:116" s="162" customFormat="1" hidden="1">
      <c r="A9" s="213" t="str">
        <f>IF(B9="","",IF(F9&lt;10,CONCATENATE(B9," - 0",F9),CONCATENATE(B9," - ",F9)))</f>
        <v>LR09 - 05.25</v>
      </c>
      <c r="B9" s="459" t="s">
        <v>14</v>
      </c>
      <c r="C9" s="459">
        <v>5.05</v>
      </c>
      <c r="D9" s="459">
        <v>5.35</v>
      </c>
      <c r="E9" s="459">
        <v>5.2</v>
      </c>
      <c r="F9" s="459">
        <f>IF(E9="","",CEILING(E9,0.25))</f>
        <v>5.25</v>
      </c>
      <c r="G9" s="459" t="s">
        <v>13</v>
      </c>
      <c r="H9" s="458">
        <v>1</v>
      </c>
      <c r="I9" s="163">
        <v>18.989999999999998</v>
      </c>
      <c r="J9" s="163">
        <v>14.18</v>
      </c>
      <c r="K9" s="210">
        <v>0.33900000000000002</v>
      </c>
      <c r="L9" s="205">
        <v>0.97399999999999998</v>
      </c>
      <c r="M9" s="209">
        <v>0.97</v>
      </c>
      <c r="N9" s="208">
        <v>9.5</v>
      </c>
      <c r="O9" s="163"/>
      <c r="P9" s="163"/>
      <c r="Q9" s="207"/>
      <c r="R9" s="207">
        <f>IF(L9="","",L9/(1+L9))</f>
        <v>0.49341438703140827</v>
      </c>
      <c r="S9" s="207" t="str">
        <f>IF(R9="","",IF(R9&lt;0.3,"S",IF(R9&lt;0.45,"L",IF(AND(R9&lt;0.5,R9&gt;=0.45),"C",IF(R9&gt;=0.5,"SC","")))))</f>
        <v>C</v>
      </c>
      <c r="T9" s="206">
        <f>L9*9.81/($P$28*(1+L9))</f>
        <v>0.33320755875021452</v>
      </c>
      <c r="U9" s="186">
        <f>N9</f>
        <v>9.5</v>
      </c>
      <c r="V9" s="186">
        <f>IF(E9="","",IF(E9&lt;=10,IF(E9&lt;=N9,18*E9,18*N9+(18-0)*(E9-N9)),IF(AND(E9&gt;10,N9&lt;=10),18*N9+(18-0)*(10-N9)+(17.5-0)*(E9-10),IF(E9&lt;N9,(18*0)+17.5*(E9-10),(18*0)+17.5*(N9-10)+(17.5-0)*(E9-N9)))))</f>
        <v>93.600000000000009</v>
      </c>
      <c r="W9" s="186">
        <f>IF(E9="","",IF(E9&lt;=10,IF(E9&lt;=N9,18*E9,18*N9+(18-10)*(E9-N9)),IF(AND(E9&gt;10,N9&lt;=10),18*N9+(18-10)*(10-N9)+(17.5-10)*(E9-10),IF(E9&lt;N9,(18*10)+17.5*(E9-10),(18*10)+17.5*(N9-10)+(17.5-10)*(E9-N9)))))</f>
        <v>93.600000000000009</v>
      </c>
      <c r="X9" s="197"/>
      <c r="Y9" s="205">
        <f>Y8</f>
        <v>0.97399999999999998</v>
      </c>
      <c r="Z9" s="164"/>
      <c r="AA9" s="189"/>
      <c r="AB9" s="204"/>
      <c r="AC9" s="203"/>
      <c r="AD9" s="202"/>
      <c r="AE9" s="201">
        <v>0.88600000000000001</v>
      </c>
      <c r="AF9" s="200">
        <v>78.900000000000006</v>
      </c>
      <c r="AG9" s="164">
        <v>78.2</v>
      </c>
      <c r="AH9" s="164">
        <v>1134.1099999999999</v>
      </c>
      <c r="AI9" s="164">
        <v>1093.1199999999999</v>
      </c>
      <c r="AJ9" s="199">
        <f>IF(AF9="","",1-(AG9*AI9/AF9/AH9))</f>
        <v>4.4694209165249021E-2</v>
      </c>
      <c r="AK9" s="198">
        <v>4.1300000000000003E-2</v>
      </c>
      <c r="AL9" s="197">
        <v>200</v>
      </c>
      <c r="AM9" s="189">
        <v>393.39</v>
      </c>
      <c r="AN9" s="186">
        <f>AL9-AQ9</f>
        <v>31.169999999999987</v>
      </c>
      <c r="AO9" s="186">
        <f>AN9-AP9</f>
        <v>2.8421709430404007E-14</v>
      </c>
      <c r="AP9" s="186">
        <f>AM9-AR9</f>
        <v>31.169999999999959</v>
      </c>
      <c r="AQ9" s="189">
        <v>168.83</v>
      </c>
      <c r="AR9" s="189">
        <v>362.22</v>
      </c>
      <c r="AS9" s="196"/>
      <c r="AT9" s="66"/>
      <c r="AU9" s="192"/>
      <c r="AV9" s="192"/>
      <c r="AW9" s="195"/>
      <c r="AX9" s="192"/>
      <c r="AY9" s="192"/>
      <c r="AZ9" s="192"/>
      <c r="BA9" s="195"/>
      <c r="BB9" s="194">
        <f>(AM9-AL9)/AK9/1000</f>
        <v>4.6825665859564163</v>
      </c>
      <c r="BC9" s="189"/>
      <c r="BD9" s="189"/>
      <c r="BE9" s="187">
        <f>AL9/AJ9/1000</f>
        <v>4.4748526427782842</v>
      </c>
      <c r="BF9" s="193"/>
      <c r="BG9" s="192" t="s">
        <v>0</v>
      </c>
      <c r="BH9" s="191">
        <f>IF(OR(AE9="",Y9=""),"",Y9/AE9)</f>
        <v>1.0993227990970653</v>
      </c>
      <c r="BI9" s="190" t="str">
        <f>IF(OR(AE9="",Y9=""),"",IF(Y9/AE9&gt;1.05,"OC",IF(Y9/AE9&lt;0.95,"UC","OK")))</f>
        <v>OC</v>
      </c>
      <c r="BJ9" s="189">
        <f>(AM9-AL9)/2</f>
        <v>96.694999999999993</v>
      </c>
      <c r="BK9" s="189"/>
      <c r="BL9" s="186" t="str">
        <f>IF(BZ9="=",BJ9,"")</f>
        <v/>
      </c>
      <c r="BM9" s="188">
        <f>AN9/(AM9-AL9)</f>
        <v>0.1611768964269093</v>
      </c>
      <c r="BN9" s="188" t="str">
        <f>IF(BM9="","",IF(AND(BM9&gt;=3/4,BM9&lt;=1.5),"HS",IF(AND(BM9&gt;=0.5,BM9&lt;=1),"NC",IF(AND(BM9&gt;=0,BM9&lt;=0.5),"OC",IF(BM9&lt;0,"H-OC","")))))</f>
        <v>OC</v>
      </c>
      <c r="BO9" s="187">
        <f>IF(BX9="","",BX9)</f>
        <v>2.7499999999973386</v>
      </c>
      <c r="BP9" s="188"/>
      <c r="BQ9" s="185">
        <f>BJ9/AL9</f>
        <v>0.48347499999999999</v>
      </c>
      <c r="BR9" s="184">
        <f>AL9/W9</f>
        <v>2.1367521367521367</v>
      </c>
      <c r="BS9" s="184" t="str">
        <f>IF(OR(BR9="",BH9=""),"",IF(AND(BR9&lt;1,BH9&gt;1),"NO",""))</f>
        <v/>
      </c>
      <c r="BT9" s="183" t="str">
        <f>IF(AA9="","",AA9/W9)</f>
        <v/>
      </c>
      <c r="BU9" s="331">
        <f>BU8</f>
        <v>0.213938574650371</v>
      </c>
      <c r="BV9" s="181">
        <v>0.21523250833307309</v>
      </c>
      <c r="BW9" s="180">
        <f>(BQ9/BU9)^(1/0.8)</f>
        <v>2.770806227517717</v>
      </c>
      <c r="BX9" s="179">
        <f>(BQ9/BV9)^(1/0.8)</f>
        <v>2.7499999999973386</v>
      </c>
      <c r="BY9" s="178">
        <f>BU9*BW9^0.8</f>
        <v>0.48347499999999993</v>
      </c>
      <c r="BZ9" s="177" t="str">
        <f>IF(BR9&lt;0.85,"",IF(AND(BR9&gt;=0.85,BR9&lt;=1.15),"=","&gt;"))</f>
        <v>&gt;</v>
      </c>
      <c r="CA9" s="177" t="str">
        <f>IF(BZ9="","",IF(AND(BQ9&gt;=0.2,BQ9&lt;=0.451),"OK","NO"))</f>
        <v>NO</v>
      </c>
      <c r="CB9" s="176" t="str">
        <f>IF(BZ9="","",IF(AL9&lt;=CF7/1.11,"OC","NC"))</f>
        <v>OC</v>
      </c>
      <c r="CC9" s="176" t="str">
        <f>IF(BZ9="","",IF(CA9="OK","NC","OC"))</f>
        <v>OC</v>
      </c>
      <c r="CD9" s="172">
        <f>IF(BQ9="","",IF(BW9="","",BW9*AL9))</f>
        <v>554.16124550354334</v>
      </c>
      <c r="CE9" s="175">
        <f>IF(BQ9="","",IF(BX9="","",BX9*AL9))</f>
        <v>549.99999999946772</v>
      </c>
      <c r="CF9" s="174"/>
      <c r="CG9" s="66">
        <f>CG8</f>
        <v>550</v>
      </c>
      <c r="CH9" s="220">
        <f>CG9/W9</f>
        <v>5.8760683760683756</v>
      </c>
      <c r="CI9" s="173"/>
      <c r="CJ9" s="172"/>
      <c r="CK9" s="172"/>
      <c r="CL9" s="11">
        <f>IFERROR(CE9-CG9,"")</f>
        <v>-5.3228177421260625E-10</v>
      </c>
      <c r="CM9" s="163"/>
      <c r="CN9" s="168">
        <f>IF(OR(BS9="NO",BG9="TX-CID"),"",BH9)</f>
        <v>1.0993227990970653</v>
      </c>
      <c r="CO9" s="168">
        <f>IF(CN9="","",BQ9)</f>
        <v>0.48347499999999999</v>
      </c>
      <c r="CP9" s="171">
        <f>IF(CO9="","",BR9)</f>
        <v>2.1367521367521367</v>
      </c>
      <c r="CQ9" s="170">
        <f>IF(CO9="","",BV9)</f>
        <v>0.21523250833307309</v>
      </c>
      <c r="CR9" s="169">
        <f>IF(CU9="","",BX9)</f>
        <v>2.7499999999973386</v>
      </c>
      <c r="CS9" s="169">
        <f>IF(CR9="","",LN(CR9))</f>
        <v>1.0116009116775122</v>
      </c>
      <c r="CT9" s="169">
        <f>IF(CS9="","",BM9)</f>
        <v>0.1611768964269093</v>
      </c>
      <c r="CU9" s="168">
        <f>IF(CO9="","",BU9)</f>
        <v>0.213938574650371</v>
      </c>
      <c r="CV9" s="166">
        <f>IF(CR9="","",CH7)</f>
        <v>5.8760683760683756</v>
      </c>
      <c r="CW9" s="167">
        <f>IF(CU9="","",E9)</f>
        <v>5.2</v>
      </c>
      <c r="CX9" s="167"/>
      <c r="CY9" s="165">
        <f>IF(CW9="","",IF(H9=1,$DJ$3*CV9^0.8*W9,IF(H9=2,$DK$3*CV9^0.8*W9,IF(H9=3,$DL$3*CV9^0.8*W9,"ERR"))))</f>
        <v>77.192537422280921</v>
      </c>
      <c r="CZ9" s="165" t="str">
        <f>IF(CY9="","",IF(BI9="OK",BJ9,""))</f>
        <v/>
      </c>
      <c r="DA9" s="165" t="str">
        <f>IF(CY9="","",IF(BK9="","",BK9))</f>
        <v/>
      </c>
      <c r="DB9" s="166">
        <f>IF(CW9="","",BM9)</f>
        <v>0.1611768964269093</v>
      </c>
      <c r="DC9" s="165"/>
      <c r="DD9" s="165">
        <f>IF(OR(CH9="",W9=""),"",IF(H9=1,$DJ$3*CH9^0.8*W9,IF(H9=2,$DK$3*CH9^0.8*W9,IF(H9=3,$DL$3*CH9^0.8*W9,"ERR"))))</f>
        <v>77.192537422280921</v>
      </c>
      <c r="DE9" s="165">
        <f>IF(OR(CH9="",W9=""),"",IF(H9=1,$DJ$3*W9,IF(H9=2,$DK$3*W9,IF(H9=3,$DL$3*W9,"ERR"))))</f>
        <v>18.720000000000002</v>
      </c>
      <c r="DF9" s="164">
        <f>IF(DE9="","",-1.485*LN(E9)+7.098)</f>
        <v>4.6497419410027376</v>
      </c>
      <c r="DG9" s="165">
        <f>IF(OR(DF9="",W9=""),"",IF(H9=1,$DJ$3*DF9^0.8*W9,IF(H9=2,$DK$3*DF9^0.8*W9,IF(H9=3,$DL$3*CH9^0.8*W9,"ERR"))))</f>
        <v>64.010161759626541</v>
      </c>
      <c r="DH9" s="164"/>
      <c r="DJ9" s="163"/>
      <c r="DK9" s="163"/>
      <c r="DL9" s="163"/>
    </row>
    <row r="10" spans="1:116" s="116" customFormat="1" hidden="1">
      <c r="A10" s="161" t="str">
        <f>IF(B10="","",IF(F10&lt;10,CONCATENATE(B10," - 0",F10),CONCATENATE(B10," - ",F10)))</f>
        <v>TRT05 - 04.75</v>
      </c>
      <c r="B10" s="457" t="s">
        <v>2</v>
      </c>
      <c r="C10" s="457">
        <v>4.5999999999999996</v>
      </c>
      <c r="D10" s="457">
        <v>4.9000000000000004</v>
      </c>
      <c r="E10" s="456">
        <f>AVERAGE(D10,C10)</f>
        <v>4.75</v>
      </c>
      <c r="F10" s="456">
        <f>IF(E10="","",CEILING(E10,0.25))</f>
        <v>4.75</v>
      </c>
      <c r="G10" s="456" t="s">
        <v>12</v>
      </c>
      <c r="H10" s="455">
        <v>1</v>
      </c>
      <c r="I10" s="154">
        <v>18.760000000000002</v>
      </c>
      <c r="J10" s="154">
        <v>14.07</v>
      </c>
      <c r="K10" s="154">
        <v>0.33300000000000002</v>
      </c>
      <c r="L10" s="124">
        <v>0.95399999999999996</v>
      </c>
      <c r="M10" s="320">
        <v>0.96</v>
      </c>
      <c r="N10" s="319">
        <v>9.3000000000000007</v>
      </c>
      <c r="O10" s="155">
        <f>(P10*(1+AVERAGE(L10:L12))+(9.81*M10*AVERAGE(L10:L12)))/(1+AVERAGE(L10:L12))</f>
        <v>18.684694863910714</v>
      </c>
      <c r="P10" s="154">
        <f>AVERAGE(J10:J12)</f>
        <v>14.093333333333334</v>
      </c>
      <c r="Q10" s="153">
        <f>AVERAGE(K10:K12)</f>
        <v>0.33366666666666672</v>
      </c>
      <c r="R10" s="153">
        <f>IF(L10="","",L10/(1+L10))</f>
        <v>0.48822927328556803</v>
      </c>
      <c r="S10" s="153" t="str">
        <f>IF(R10="","",IF(R10&lt;0.3,"S",IF(R10&lt;0.45,"L",IF(AND(R10&lt;0.5,R10&gt;=0.45),"C",IF(R10&gt;=0.5,"SC","")))))</f>
        <v>C</v>
      </c>
      <c r="T10" s="290">
        <f>L10*9.81/($P$7*(1+L10))</f>
        <v>0.33816398006105602</v>
      </c>
      <c r="U10" s="289">
        <f>N10</f>
        <v>9.3000000000000007</v>
      </c>
      <c r="V10" s="289">
        <f>IF(E10="","",IF(E10&lt;=10,IF(E10&lt;=N10,18*E10,18*N10+(18-0)*(E10-N10)),IF(AND(E10&gt;10,N10&lt;=10),18*N10+(18-0)*(10-N10)+(17.5-0)*(E10-10),IF(E10&lt;N10,(18*0)+17.5*(E10-10),(18*0)+17.5*(N10-10)+(17.5-0)*(E10-N10)))))</f>
        <v>85.5</v>
      </c>
      <c r="W10" s="141">
        <f>IF(E10="","",IF(E10&lt;=10,IF(E10&lt;=N10,18*E10,18*N10+(18-10)*(E10-N10)),IF(AND(E10&gt;10,N10&lt;=10),18*N10+(18-10)*(10-N10)+(17.5-10)*(E10-10),IF(E10&lt;N10,(18*10)+17.5*(E10-10),(18*10)+17.5*(N10-10)+(17.5-10)*(E10-N10)))))</f>
        <v>85.5</v>
      </c>
      <c r="X10" s="142">
        <v>80</v>
      </c>
      <c r="Y10" s="124">
        <v>1.0840000000000001</v>
      </c>
      <c r="Z10" s="315">
        <v>6.2</v>
      </c>
      <c r="AA10" s="136">
        <v>500</v>
      </c>
      <c r="AB10" s="318">
        <v>0.32</v>
      </c>
      <c r="AC10" s="454"/>
      <c r="AD10" s="147">
        <f>9.81*AE10/P10/(1+AE10)</f>
        <v>0.33597353832088306</v>
      </c>
      <c r="AE10" s="453">
        <v>0.93300000000000005</v>
      </c>
      <c r="AF10" s="316">
        <v>79.14</v>
      </c>
      <c r="AG10" s="315">
        <v>78.88</v>
      </c>
      <c r="AH10" s="315">
        <v>1148.49</v>
      </c>
      <c r="AI10" s="315">
        <v>1139.5899999999999</v>
      </c>
      <c r="AJ10" s="144">
        <f>IF(AF10="","",1-(AG10*AI10/AF10/AH10))</f>
        <v>1.1009163842744751E-2</v>
      </c>
      <c r="AK10" s="143">
        <v>7.5600000000000001E-2</v>
      </c>
      <c r="AL10" s="142">
        <v>50</v>
      </c>
      <c r="AM10" s="136">
        <v>111.3</v>
      </c>
      <c r="AN10" s="141">
        <f>AL10-AQ10</f>
        <v>2.5</v>
      </c>
      <c r="AO10" s="141">
        <f>AN10-AP10</f>
        <v>0</v>
      </c>
      <c r="AP10" s="141">
        <f>AM10-AR10</f>
        <v>2.5</v>
      </c>
      <c r="AQ10" s="136">
        <v>47.5</v>
      </c>
      <c r="AR10" s="136">
        <v>108.8</v>
      </c>
      <c r="AS10" s="314"/>
      <c r="AT10" s="139">
        <v>6</v>
      </c>
      <c r="AU10" s="133">
        <v>19</v>
      </c>
      <c r="AV10" s="133">
        <v>1</v>
      </c>
      <c r="AW10" s="138">
        <v>24</v>
      </c>
      <c r="AX10" s="133">
        <v>4</v>
      </c>
      <c r="AY10" s="133">
        <v>19</v>
      </c>
      <c r="AZ10" s="133">
        <v>0</v>
      </c>
      <c r="BA10" s="138">
        <v>23</v>
      </c>
      <c r="BB10" s="111">
        <f>(AM10-AL10)/AK10/1000</f>
        <v>0.81084656084656082</v>
      </c>
      <c r="BC10" s="135"/>
      <c r="BD10" s="135"/>
      <c r="BE10" s="109">
        <f>AL10/AJ10/1000</f>
        <v>4.5416709855718018</v>
      </c>
      <c r="BF10" s="313"/>
      <c r="BG10" s="133" t="s">
        <v>0</v>
      </c>
      <c r="BH10" s="132">
        <f>IF(OR(AE10="",Y10=""),"",Y10/AE10)</f>
        <v>1.1618435155412647</v>
      </c>
      <c r="BI10" s="121" t="str">
        <f>IF(OR(AE10="",Y10=""),"",IF(Y10/AE10&gt;1.05,"OC",IF(Y10/AE10&lt;0.95,"UC","OK")))</f>
        <v>OC</v>
      </c>
      <c r="BJ10" s="141">
        <f>(AM10-AL10)/2</f>
        <v>30.65</v>
      </c>
      <c r="BK10" s="37">
        <f>AVERAGE(BJ10:BJ12)+(_xlfn.COVARIANCE.P(AL10:AL12,BJ10:BJ12)/_xlfn.STDEV.P(AL10:AL12)^2)*(W10-AVERAGE(AL10:AL12))</f>
        <v>47.238374999999991</v>
      </c>
      <c r="BL10" s="37" t="str">
        <f>IF(BZ10="=",BJ10,"")</f>
        <v/>
      </c>
      <c r="BM10" s="110">
        <f>AN10/(AM10-AL10)</f>
        <v>4.0783034257748776E-2</v>
      </c>
      <c r="BN10" s="110" t="str">
        <f>IF(BM10="","",IF(AND(BM10&gt;=3/4,BM10&lt;=1.5),"HS",IF(AND(BM10&gt;=0.5,BM10&lt;=1),"NC",IF(AND(BM10&gt;=0,BM10&lt;=0.5),"OC",IF(BM10&lt;0,"H-OC","")))))</f>
        <v>OC</v>
      </c>
      <c r="BO10" s="109">
        <f>IF(BX10="","",BX10)</f>
        <v>9.9999999999510898</v>
      </c>
      <c r="BP10" s="110"/>
      <c r="BQ10" s="27">
        <f>BJ10/AL10</f>
        <v>0.61299999999999999</v>
      </c>
      <c r="BR10" s="26">
        <f>AL10/W10</f>
        <v>0.58479532163742687</v>
      </c>
      <c r="BS10" s="26" t="str">
        <f>IF(OR(BR10="",BH10=""),"",IF(AND(BR10&lt;1,BH10&gt;1),"NO",""))</f>
        <v>NO</v>
      </c>
      <c r="BT10" s="25">
        <f>IF(AA10="","",AA10/W10)</f>
        <v>5.8479532163742691</v>
      </c>
      <c r="BU10" s="332">
        <v>0.16644459356414734</v>
      </c>
      <c r="BV10" s="23">
        <v>9.7153952698246407E-2</v>
      </c>
      <c r="BW10" s="22">
        <f>(BQ10/BU10)^(1/0.8)</f>
        <v>5.1019767700550771</v>
      </c>
      <c r="BX10" s="21">
        <f>(BQ10/BV10)^(1/0.8)</f>
        <v>9.9999999999510898</v>
      </c>
      <c r="BY10" s="20">
        <f>BU10*BW10^0.8</f>
        <v>0.61299999999999999</v>
      </c>
      <c r="BZ10" s="19" t="str">
        <f>IF(BR10&lt;0.85,"",IF(AND(BR10&gt;=0.85,BR10&lt;=1.15),"=","&gt;"))</f>
        <v/>
      </c>
      <c r="CA10" s="19" t="str">
        <f>IF(BZ10="","",IF(AND(BQ10&gt;=0.2,BQ10&lt;=0.451),"OK","NO"))</f>
        <v/>
      </c>
      <c r="CB10" s="18" t="str">
        <f>IF(BZ10="","",IF(AL10&lt;=CF10/1.11,"OC","NC"))</f>
        <v/>
      </c>
      <c r="CC10" s="18" t="str">
        <f>IF(BZ10="","",IF(CA10="OK","NC","OC"))</f>
        <v/>
      </c>
      <c r="CD10" s="12">
        <f>IF(BQ10="","",IF(BW10="","",BW10*AL10))</f>
        <v>255.09883850275386</v>
      </c>
      <c r="CE10" s="17">
        <f>IF(BQ10="","",IF(BX10="","",BX10*AL10))</f>
        <v>499.99999999755448</v>
      </c>
      <c r="CF10" s="16">
        <f>AVERAGE(CD10:CD12)</f>
        <v>500.00000000227573</v>
      </c>
      <c r="CG10" s="139">
        <v>500</v>
      </c>
      <c r="CH10" s="127">
        <f>CG10/W10</f>
        <v>5.8479532163742691</v>
      </c>
      <c r="CI10" s="452" t="str">
        <f>IF(BQ10&lt;0.28,"Y","")</f>
        <v/>
      </c>
      <c r="CJ10" s="126" t="str">
        <f>IF(BQ10&lt;0.8,"Y","")</f>
        <v>Y</v>
      </c>
      <c r="CK10" s="126" t="str">
        <f>IF(BQ10&lt;BQ24,"","ERR")</f>
        <v/>
      </c>
      <c r="CL10" s="125">
        <f>IFERROR(CE10-CG10,"")</f>
        <v>-2.4455175662296824E-9</v>
      </c>
      <c r="CM10" s="117"/>
      <c r="CN10" s="121" t="str">
        <f>IF(OR(BS10="NO",BG10="TX-CID"),"",BH10)</f>
        <v/>
      </c>
      <c r="CO10" s="121" t="str">
        <f>IF(CN10="","",BQ10)</f>
        <v/>
      </c>
      <c r="CP10" s="124" t="str">
        <f>IF(CO10="","",BR10)</f>
        <v/>
      </c>
      <c r="CQ10" s="123" t="str">
        <f>IF(CO10="","",BV10)</f>
        <v/>
      </c>
      <c r="CR10" s="122" t="str">
        <f>IF(CU10="","",BX10)</f>
        <v/>
      </c>
      <c r="CS10" s="122" t="str">
        <f>IF(CR10="","",LN(CR10))</f>
        <v/>
      </c>
      <c r="CT10" s="122" t="str">
        <f>IF(CS10="","",BM10)</f>
        <v/>
      </c>
      <c r="CU10" s="121" t="str">
        <f>IF(CO10="","",BU10)</f>
        <v/>
      </c>
      <c r="CV10" s="120" t="str">
        <f>IF(CR10="","",CH10)</f>
        <v/>
      </c>
      <c r="CW10" s="451" t="str">
        <f>IF(CU10="","",E10)</f>
        <v/>
      </c>
      <c r="CX10" s="451"/>
      <c r="CY10" s="119" t="str">
        <f>IF(CW10="","",IF(H10=1,$DJ$3*CV10^0.8*W10,IF(H10=2,$DK$3*CV10^0.8*W10,IF(H10=3,$DL$3*CV10^0.8*W10,"ERR"))))</f>
        <v/>
      </c>
      <c r="CZ10" s="119" t="str">
        <f>IF(CY10="","",IF(BI10="OK",BJ10,""))</f>
        <v/>
      </c>
      <c r="DA10" s="119" t="str">
        <f>IF(CY10="","",IF(BK10="","",BK10))</f>
        <v/>
      </c>
      <c r="DB10" s="120" t="str">
        <f>IF(CW10="","",BM10)</f>
        <v/>
      </c>
      <c r="DC10" s="119"/>
      <c r="DD10" s="119">
        <f>IF(OR(CH10="",W10=""),"",IF(H10=1,$DJ$3*CH10^0.8*W10,IF(H10=2,$DK$3*CH10^0.8*W10,IF(H10=3,$DL$3*CH10^0.8*W10,"ERR"))))</f>
        <v>70.242380626035185</v>
      </c>
      <c r="DE10" s="119">
        <f>IF(OR(CH10="",W10=""),"",IF(H10=1,$DJ$3*W10,IF(H10=2,$DK$3*W10,IF(H10=3,$DL$3*W10,"ERR"))))</f>
        <v>17.100000000000001</v>
      </c>
      <c r="DF10" s="118">
        <f>IF(DE10="","",-1.485*LN(E10)+7.098)</f>
        <v>4.7841552422008728</v>
      </c>
      <c r="DG10" s="119">
        <f>IF(OR(DF10="",W10=""),"",IF(H10=1,$DJ$3*DF10^0.8*W10,IF(H10=2,$DK$3*DF10^0.8*W10,IF(H10=3,$DL$3*CH10^0.8*W10,"ERR"))))</f>
        <v>59.819161535169499</v>
      </c>
      <c r="DH10" s="118"/>
      <c r="DJ10" s="117"/>
      <c r="DK10" s="117"/>
      <c r="DL10" s="117"/>
    </row>
    <row r="11" spans="1:116" hidden="1">
      <c r="A11" s="115" t="str">
        <f>IF(B11="","",IF(F11&lt;10,CONCATENATE(B11," - 0",F11),CONCATENATE(B11," - ",F11)))</f>
        <v>TRT05 - 04.75</v>
      </c>
      <c r="B11" s="450" t="s">
        <v>2</v>
      </c>
      <c r="C11" s="450">
        <v>4.5999999999999996</v>
      </c>
      <c r="D11" s="450">
        <v>4.9000000000000004</v>
      </c>
      <c r="E11" s="449">
        <f>AVERAGE(D11,C11)</f>
        <v>4.75</v>
      </c>
      <c r="F11" s="449">
        <f>IF(E11="","",CEILING(E11,0.25))</f>
        <v>4.75</v>
      </c>
      <c r="G11" s="449" t="s">
        <v>12</v>
      </c>
      <c r="H11" s="448">
        <v>1</v>
      </c>
      <c r="I11" s="217">
        <v>18.850000000000001</v>
      </c>
      <c r="J11" s="217">
        <v>14.11</v>
      </c>
      <c r="K11" s="217">
        <v>0.33600000000000002</v>
      </c>
      <c r="L11" s="10">
        <v>0.94899999999999995</v>
      </c>
      <c r="M11" s="309">
        <v>0.97</v>
      </c>
      <c r="N11" s="308">
        <v>9.3000000000000007</v>
      </c>
      <c r="O11" s="218"/>
      <c r="P11" s="217"/>
      <c r="Q11" s="216"/>
      <c r="R11" s="216">
        <f>IF(L11="","",L11/(1+L11))</f>
        <v>0.48691636736788096</v>
      </c>
      <c r="S11" s="216" t="str">
        <f>IF(R11="","",IF(R11&lt;0.3,"S",IF(R11&lt;0.45,"L",IF(AND(R11&lt;0.5,R11&gt;=0.45),"C",IF(R11&gt;=0.5,"SC","")))))</f>
        <v>C</v>
      </c>
      <c r="T11" s="288">
        <f>L11*9.81/($P$7*(1+L11))</f>
        <v>0.33725461736024331</v>
      </c>
      <c r="U11" s="287">
        <f>N11</f>
        <v>9.3000000000000007</v>
      </c>
      <c r="V11" s="287">
        <f>IF(E11="","",IF(E11&lt;=10,IF(E11&lt;=N11,18*E11,18*N11+(18-0)*(E11-N11)),IF(AND(E11&gt;10,N11&lt;=10),18*N11+(18-0)*(10-N11)+(17.5-0)*(E11-10),IF(E11&lt;N11,(18*0)+17.5*(E11-10),(18*0)+17.5*(N11-10)+(17.5-0)*(E11-N11)))))</f>
        <v>85.5</v>
      </c>
      <c r="W11" s="37">
        <f>IF(E11="","",IF(E11&lt;=10,IF(E11&lt;=N11,18*E11,18*N11+(18-10)*(E11-N11)),IF(AND(E11&gt;10,N11&lt;=10),18*N11+(18-10)*(10-N11)+(17.5-10)*(E11-10),IF(E11&lt;N11,(18*10)+17.5*(E11-10),(18*10)+17.5*(N11-10)+(17.5-10)*(E11-N11)))))</f>
        <v>85.5</v>
      </c>
      <c r="Y11" s="45">
        <f>Y10</f>
        <v>1.0840000000000001</v>
      </c>
      <c r="AB11" s="324">
        <v>0.41699999999999998</v>
      </c>
      <c r="AC11" s="406"/>
      <c r="AD11" s="42">
        <f>9.81*AE11/P10/(1+AE11)</f>
        <v>0.33087243291860291</v>
      </c>
      <c r="AE11" s="326">
        <v>0.90600000000000003</v>
      </c>
      <c r="AF11" s="306">
        <v>79.03</v>
      </c>
      <c r="AG11" s="305">
        <v>78.05</v>
      </c>
      <c r="AH11" s="305">
        <v>1149.0899999999999</v>
      </c>
      <c r="AI11" s="305">
        <v>1137.8900000000001</v>
      </c>
      <c r="AJ11" s="39">
        <f>IF(AF11="","",1-(AG11*AI11/AF11/AH11))</f>
        <v>2.2026333141607513E-2</v>
      </c>
      <c r="AK11" s="38">
        <v>4.9299999999999997E-2</v>
      </c>
      <c r="AL11" s="34">
        <v>100</v>
      </c>
      <c r="AM11" s="28">
        <v>207.1</v>
      </c>
      <c r="AN11" s="37">
        <f>AL11-AQ11</f>
        <v>11.239999999999995</v>
      </c>
      <c r="AO11" s="37">
        <f>AN11-AP11</f>
        <v>1.4210854715202004E-14</v>
      </c>
      <c r="AP11" s="37">
        <f>AM11-AR11</f>
        <v>11.239999999999981</v>
      </c>
      <c r="AQ11" s="28">
        <v>88.76</v>
      </c>
      <c r="AR11" s="28">
        <v>195.86</v>
      </c>
      <c r="AS11" s="328"/>
      <c r="BB11" s="111">
        <f>(AM11-AL11)/AK11/1000</f>
        <v>2.1724137931034484</v>
      </c>
      <c r="BC11" s="109"/>
      <c r="BD11" s="109"/>
      <c r="BE11" s="109">
        <f>AL11/AJ11/1000</f>
        <v>4.5400203182753573</v>
      </c>
      <c r="BF11" s="304"/>
      <c r="BG11" s="32" t="s">
        <v>0</v>
      </c>
      <c r="BH11" s="31">
        <f>IF(OR(AE11="",Y11=""),"",Y11/AE11)</f>
        <v>1.196467991169978</v>
      </c>
      <c r="BI11" s="7" t="str">
        <f>IF(OR(AE11="",Y11=""),"",IF(Y11/AE11&gt;1.05,"OC",IF(Y11/AE11&lt;0.95,"UC","OK")))</f>
        <v>OC</v>
      </c>
      <c r="BJ11" s="37">
        <f>(AM11-AL11)/2</f>
        <v>53.55</v>
      </c>
      <c r="BK11" s="37"/>
      <c r="BL11" s="37" t="str">
        <f>IF(BZ11="=",BJ11,"")</f>
        <v/>
      </c>
      <c r="BM11" s="110">
        <f>AN11/(AM11-AL11)</f>
        <v>0.10494864612511667</v>
      </c>
      <c r="BN11" s="110" t="str">
        <f>IF(BM11="","",IF(AND(BM11&gt;=3/4,BM11&lt;=1.5),"HS",IF(AND(BM11&gt;=0.5,BM11&lt;=1),"NC",IF(AND(BM11&gt;=0,BM11&lt;=0.5),"OC",IF(BM11&lt;0,"H-OC","")))))</f>
        <v>OC</v>
      </c>
      <c r="BO11" s="109">
        <f>IF(BX11="","",BX11)</f>
        <v>4.9999999999882698</v>
      </c>
      <c r="BP11" s="110"/>
      <c r="BQ11" s="27">
        <f>BJ11/AL11</f>
        <v>0.53549999999999998</v>
      </c>
      <c r="BR11" s="26">
        <f>AL11/W11</f>
        <v>1.1695906432748537</v>
      </c>
      <c r="BS11" s="26" t="str">
        <f>IF(OR(BR11="",BH11=""),"",IF(AND(BR11&lt;1,BH11&gt;1),"NO",""))</f>
        <v/>
      </c>
      <c r="BT11" s="25" t="str">
        <f>IF(AA11="","",AA11/W11)</f>
        <v/>
      </c>
      <c r="BU11" s="332">
        <f>BU10</f>
        <v>0.16644459356414734</v>
      </c>
      <c r="BV11" s="23">
        <v>0.14776904674277344</v>
      </c>
      <c r="BW11" s="22">
        <f>(BQ11/BU11)^(1/0.8)</f>
        <v>4.3088584534390488</v>
      </c>
      <c r="BX11" s="21">
        <f>(BQ11/BV11)^(1/0.8)</f>
        <v>4.9999999999882698</v>
      </c>
      <c r="BY11" s="20">
        <f>BU11*BW11^0.8</f>
        <v>0.53549999999999998</v>
      </c>
      <c r="BZ11" s="19" t="str">
        <f>IF(BR11&lt;0.85,"",IF(AND(BR11&gt;=0.85,BR11&lt;=1.15),"=","&gt;"))</f>
        <v>&gt;</v>
      </c>
      <c r="CA11" s="19" t="str">
        <f>IF(BZ11="","",IF(AND(BQ11&gt;=0.2,BQ11&lt;=0.451),"OK","NO"))</f>
        <v>NO</v>
      </c>
      <c r="CB11" s="18" t="str">
        <f>IF(BZ11="","",IF(AL11&lt;=CF10/1.11,"OC","NC"))</f>
        <v>OC</v>
      </c>
      <c r="CC11" s="18" t="str">
        <f>IF(BZ11="","",IF(CA11="OK","NC","OC"))</f>
        <v>OC</v>
      </c>
      <c r="CD11" s="12">
        <f>IF(BQ11="","",IF(BW11="","",BW11*AL11))</f>
        <v>430.88584534390486</v>
      </c>
      <c r="CE11" s="17">
        <f>IF(BQ11="","",IF(BX11="","",BX11*AL11))</f>
        <v>499.99999999882698</v>
      </c>
      <c r="CG11" s="15">
        <f>CG10</f>
        <v>500</v>
      </c>
      <c r="CH11" s="14">
        <f>CG11/W11</f>
        <v>5.8479532163742691</v>
      </c>
      <c r="CI11" s="13" t="str">
        <f>IF(BQ11&lt;0.28,"Y","")</f>
        <v/>
      </c>
      <c r="CJ11" s="12" t="str">
        <f>IF(BQ11&lt;0.8,"Y","")</f>
        <v>Y</v>
      </c>
      <c r="CK11" s="12" t="str">
        <f>IF(BQ11&lt;BQ10,"","ERR")</f>
        <v/>
      </c>
      <c r="CL11" s="11">
        <f>IFERROR(CE11-CG11,"")</f>
        <v>-1.1730207916116342E-9</v>
      </c>
      <c r="CN11" s="7">
        <f>IF(OR(BS11="NO",BG11="TX-CID"),"",BH11)</f>
        <v>1.196467991169978</v>
      </c>
      <c r="CO11" s="7">
        <f>IF(CN11="","",BQ11)</f>
        <v>0.53549999999999998</v>
      </c>
      <c r="CP11" s="10">
        <f>IF(CO11="","",BR11)</f>
        <v>1.1695906432748537</v>
      </c>
      <c r="CQ11" s="9">
        <f>IF(CO11="","",BV11)</f>
        <v>0.14776904674277344</v>
      </c>
      <c r="CR11" s="8">
        <f>IF(CU11="","",BX11)</f>
        <v>4.9999999999882698</v>
      </c>
      <c r="CS11" s="8">
        <f>IF(CR11="","",LN(CR11))</f>
        <v>1.6094379124317544</v>
      </c>
      <c r="CT11" s="8">
        <f>IF(CS11="","",BM11)</f>
        <v>0.10494864612511667</v>
      </c>
      <c r="CU11" s="7">
        <f>IF(CO11="","",BU11)</f>
        <v>0.16644459356414734</v>
      </c>
      <c r="CV11" s="6">
        <f>IF(CR11="","",CH10)</f>
        <v>5.8479532163742691</v>
      </c>
      <c r="CW11" s="5">
        <f>IF(CU11="","",E11)</f>
        <v>4.75</v>
      </c>
      <c r="CY11" s="4">
        <f>IF(CW11="","",IF(H11=1,$DJ$3*CV11^0.8*W11,IF(H11=2,$DK$3*CV11^0.8*W11,IF(H11=3,$DL$3*CV11^0.8*W11,"ERR"))))</f>
        <v>70.242380626035185</v>
      </c>
      <c r="CZ11" s="4" t="str">
        <f>IF(CY11="","",IF(BI11="OK",BJ11,""))</f>
        <v/>
      </c>
      <c r="DA11" s="4" t="str">
        <f>IF(CY11="","",IF(BK11="","",BK11))</f>
        <v/>
      </c>
      <c r="DB11" s="6">
        <f>IF(CW11="","",BM11)</f>
        <v>0.10494864612511667</v>
      </c>
      <c r="DD11" s="4">
        <f>IF(OR(CH11="",W11=""),"",IF(H11=1,$DJ$3*CH11^0.8*W11,IF(H11=2,$DK$3*CH11^0.8*W11,IF(H11=3,$DL$3*CH11^0.8*W11,"ERR"))))</f>
        <v>70.242380626035185</v>
      </c>
      <c r="DE11" s="4">
        <f>IF(OR(CH11="",W11=""),"",IF(H11=1,$DJ$3*W11,IF(H11=2,$DK$3*W11,IF(H11=3,$DL$3*W11,"ERR"))))</f>
        <v>17.100000000000001</v>
      </c>
      <c r="DF11" s="3">
        <f>IF(DE11="","",-1.485*LN(E11)+7.098)</f>
        <v>4.7841552422008728</v>
      </c>
      <c r="DG11" s="4">
        <f>IF(OR(DF11="",W11=""),"",IF(H11=1,$DJ$3*DF11^0.8*W11,IF(H11=2,$DK$3*DF11^0.8*W11,IF(H11=3,$DL$3*CH11^0.8*W11,"ERR"))))</f>
        <v>59.819161535169499</v>
      </c>
    </row>
    <row r="12" spans="1:116" s="52" customFormat="1" ht="15" hidden="1" thickBot="1">
      <c r="A12" s="108" t="str">
        <f>IF(B12="","",IF(F12&lt;10,CONCATENATE(B12," - 0",F12),CONCATENATE(B12," - ",F12)))</f>
        <v>TRT05 - 04.75</v>
      </c>
      <c r="B12" s="447" t="s">
        <v>2</v>
      </c>
      <c r="C12" s="447">
        <v>4.5999999999999996</v>
      </c>
      <c r="D12" s="447">
        <v>4.9000000000000004</v>
      </c>
      <c r="E12" s="446">
        <f>AVERAGE(D12,C12)</f>
        <v>4.75</v>
      </c>
      <c r="F12" s="446">
        <f>IF(E12="","",CEILING(E12,0.25))</f>
        <v>4.75</v>
      </c>
      <c r="G12" s="446" t="s">
        <v>12</v>
      </c>
      <c r="H12" s="445">
        <v>1</v>
      </c>
      <c r="I12" s="441">
        <v>18.78</v>
      </c>
      <c r="J12" s="441">
        <v>14.1</v>
      </c>
      <c r="K12" s="441">
        <v>0.33200000000000002</v>
      </c>
      <c r="L12" s="61">
        <v>0.95099999999999996</v>
      </c>
      <c r="M12" s="444">
        <v>0.96</v>
      </c>
      <c r="N12" s="443">
        <v>9.3000000000000007</v>
      </c>
      <c r="O12" s="442"/>
      <c r="P12" s="441"/>
      <c r="Q12" s="440"/>
      <c r="R12" s="440">
        <f>IF(L12="","",L12/(1+L12))</f>
        <v>0.48744233726294206</v>
      </c>
      <c r="S12" s="440" t="str">
        <f>IF(R12="","",IF(R12&lt;0.3,"S",IF(R12&lt;0.45,"L",IF(AND(R12&lt;0.5,R12&gt;=0.45),"C",IF(R12&gt;=0.5,"SC","")))))</f>
        <v>C</v>
      </c>
      <c r="T12" s="439">
        <f>L12*9.81/($P$7*(1+L12))</f>
        <v>0.33761892176155295</v>
      </c>
      <c r="U12" s="438">
        <f>N12</f>
        <v>9.3000000000000007</v>
      </c>
      <c r="V12" s="438">
        <f>IF(E12="","",IF(E12&lt;=10,IF(E12&lt;=N12,18*E12,18*N12+(18-0)*(E12-N12)),IF(AND(E12&gt;10,N12&lt;=10),18*N12+(18-0)*(10-N12)+(17.5-0)*(E12-10),IF(E12&lt;N12,(18*0)+17.5*(E12-10),(18*0)+17.5*(N12-10)+(17.5-0)*(E12-N12)))))</f>
        <v>85.5</v>
      </c>
      <c r="W12" s="79">
        <f>IF(E12="","",IF(E12&lt;=10,IF(E12&lt;=N12,18*E12,18*N12+(18-10)*(E12-N12)),IF(AND(E12&gt;10,N12&lt;=10),18*N12+(18-10)*(10-N12)+(17.5-10)*(E12-10),IF(E12&lt;N12,(18*10)+17.5*(E12-10),(18*10)+17.5*(N12-10)+(17.5-10)*(E12-N12)))))</f>
        <v>85.5</v>
      </c>
      <c r="X12" s="92"/>
      <c r="Y12" s="205">
        <f>Y11</f>
        <v>1.0840000000000001</v>
      </c>
      <c r="Z12" s="54"/>
      <c r="AA12" s="83"/>
      <c r="AB12" s="437">
        <v>0.38800000000000001</v>
      </c>
      <c r="AC12" s="436"/>
      <c r="AD12" s="97">
        <f>9.81*AE12/P10/(1+AE12)</f>
        <v>0.32699967193411394</v>
      </c>
      <c r="AE12" s="435">
        <v>0.88600000000000001</v>
      </c>
      <c r="AF12" s="434">
        <v>79.09</v>
      </c>
      <c r="AG12" s="433">
        <v>77.69</v>
      </c>
      <c r="AH12" s="433">
        <v>1146.08</v>
      </c>
      <c r="AI12" s="433">
        <v>1128.1199999999999</v>
      </c>
      <c r="AJ12" s="94">
        <f>IF(AF12="","",1-(AG12*AI12/AF12/AH12))</f>
        <v>3.3094766701510347E-2</v>
      </c>
      <c r="AK12" s="93">
        <v>6.0999999999999999E-2</v>
      </c>
      <c r="AL12" s="92">
        <v>200</v>
      </c>
      <c r="AM12" s="83">
        <v>404.65</v>
      </c>
      <c r="AN12" s="79">
        <f>AL12-AQ12</f>
        <v>53.800000000000011</v>
      </c>
      <c r="AO12" s="79">
        <f>AN12-AP12</f>
        <v>-9.9999999999909051E-3</v>
      </c>
      <c r="AP12" s="79">
        <f>AM12-AR12</f>
        <v>53.81</v>
      </c>
      <c r="AQ12" s="83">
        <v>146.19999999999999</v>
      </c>
      <c r="AR12" s="83">
        <v>350.84</v>
      </c>
      <c r="AS12" s="432"/>
      <c r="AT12" s="90"/>
      <c r="AU12" s="86"/>
      <c r="AV12" s="86"/>
      <c r="AW12" s="89"/>
      <c r="AX12" s="86"/>
      <c r="AY12" s="86"/>
      <c r="AZ12" s="86"/>
      <c r="BA12" s="89"/>
      <c r="BB12" s="88">
        <f>(AM12-AL12)/AK12/1000</f>
        <v>3.3549180327868848</v>
      </c>
      <c r="BC12" s="80"/>
      <c r="BD12" s="80"/>
      <c r="BE12" s="80">
        <f>AL12/AJ12/1000</f>
        <v>6.0432515449904223</v>
      </c>
      <c r="BF12" s="431"/>
      <c r="BG12" s="86" t="s">
        <v>0</v>
      </c>
      <c r="BH12" s="430">
        <f>IF(OR(AE12="",Y12=""),"",Y12/AE12)</f>
        <v>1.2234762979683973</v>
      </c>
      <c r="BI12" s="58" t="str">
        <f>IF(OR(AE12="",Y12=""),"",IF(Y12/AE12&gt;1.05,"OC",IF(Y12/AE12&lt;0.95,"UC","OK")))</f>
        <v>OC</v>
      </c>
      <c r="BJ12" s="79">
        <f>(AM12-AL12)/2</f>
        <v>102.32499999999999</v>
      </c>
      <c r="BK12" s="79"/>
      <c r="BL12" s="79" t="str">
        <f>IF(BZ12="=",BJ12,"")</f>
        <v/>
      </c>
      <c r="BM12" s="429">
        <f>AN12/(AM12-AL12)</f>
        <v>0.26288785731737119</v>
      </c>
      <c r="BN12" s="429" t="str">
        <f>IF(BM12="","",IF(AND(BM12&gt;=3/4,BM12&lt;=1.5),"HS",IF(AND(BM12&gt;=0.5,BM12&lt;=1),"NC",IF(AND(BM12&gt;=0,BM12&lt;=0.5),"OC",IF(BM12&lt;0,"H-OC","")))))</f>
        <v>OC</v>
      </c>
      <c r="BO12" s="80">
        <f>IF(BX12="","",BX12)</f>
        <v>2.4999999999732609</v>
      </c>
      <c r="BP12" s="429"/>
      <c r="BQ12" s="78">
        <f>BJ12/AL12</f>
        <v>0.511625</v>
      </c>
      <c r="BR12" s="77">
        <f>AL12/W12</f>
        <v>2.3391812865497075</v>
      </c>
      <c r="BS12" s="77" t="str">
        <f>IF(OR(BR12="",BH12=""),"",IF(AND(BR12&lt;1,BH12&gt;1),"NO",""))</f>
        <v/>
      </c>
      <c r="BT12" s="76" t="str">
        <f>IF(AA12="","",AA12/W12)</f>
        <v/>
      </c>
      <c r="BU12" s="428">
        <f>BU11</f>
        <v>0.16644459356414734</v>
      </c>
      <c r="BV12" s="74">
        <v>0.24581011541640319</v>
      </c>
      <c r="BW12" s="73">
        <f>(BQ12/BU12)^(1/0.8)</f>
        <v>4.0700765808008414</v>
      </c>
      <c r="BX12" s="72">
        <f>(BQ12/BV12)^(1/0.8)</f>
        <v>2.4999999999732609</v>
      </c>
      <c r="BY12" s="71">
        <f>BU12*BW12^0.8</f>
        <v>0.511625</v>
      </c>
      <c r="BZ12" s="70" t="str">
        <f>IF(BR12&lt;0.85,"",IF(AND(BR12&gt;=0.85,BR12&lt;=1.15),"=","&gt;"))</f>
        <v>&gt;</v>
      </c>
      <c r="CA12" s="70" t="str">
        <f>IF(BZ12="","",IF(AND(BQ12&gt;=0.2,BQ12&lt;=0.451),"OK","NO"))</f>
        <v>NO</v>
      </c>
      <c r="CB12" s="69" t="str">
        <f>IF(BZ12="","",IF(AL12&lt;=CF10/1.11,"OC","NC"))</f>
        <v>OC</v>
      </c>
      <c r="CC12" s="69" t="str">
        <f>IF(BZ12="","",IF(CA12="OK","NC","OC"))</f>
        <v>OC</v>
      </c>
      <c r="CD12" s="63">
        <f>IF(BQ12="","",IF(BW12="","",BW12*AL12))</f>
        <v>814.01531616016825</v>
      </c>
      <c r="CE12" s="68">
        <f>IF(BQ12="","",IF(BX12="","",BX12*AL12))</f>
        <v>499.99999999465217</v>
      </c>
      <c r="CF12" s="67"/>
      <c r="CG12" s="90">
        <f>CG11</f>
        <v>500</v>
      </c>
      <c r="CH12" s="65">
        <f>CG12/W12</f>
        <v>5.8479532163742691</v>
      </c>
      <c r="CI12" s="64" t="str">
        <f>IF(BQ12&lt;0.28,"Y","")</f>
        <v/>
      </c>
      <c r="CJ12" s="63" t="str">
        <f>IF(BQ12&lt;0.8,"Y","")</f>
        <v>Y</v>
      </c>
      <c r="CK12" s="63" t="str">
        <f>IF(BQ12&lt;BQ11,"","ERR")</f>
        <v/>
      </c>
      <c r="CL12" s="62">
        <f>IFERROR(CE12-CG12,"")</f>
        <v>-5.347828846424818E-9</v>
      </c>
      <c r="CM12" s="53"/>
      <c r="CN12" s="58">
        <f>IF(OR(BS12="NO",BG12="TX-CID"),"",BH12)</f>
        <v>1.2234762979683973</v>
      </c>
      <c r="CO12" s="58">
        <f>IF(CN12="","",BQ12)</f>
        <v>0.511625</v>
      </c>
      <c r="CP12" s="61">
        <f>IF(CO12="","",BR12)</f>
        <v>2.3391812865497075</v>
      </c>
      <c r="CQ12" s="60">
        <f>IF(CO12="","",BV12)</f>
        <v>0.24581011541640319</v>
      </c>
      <c r="CR12" s="59">
        <f>IF(CU12="","",BX12)</f>
        <v>2.4999999999732609</v>
      </c>
      <c r="CS12" s="59">
        <f>IF(CR12="","",LN(CR12))</f>
        <v>0.91629073186345944</v>
      </c>
      <c r="CT12" s="59">
        <f>IF(CS12="","",BM12)</f>
        <v>0.26288785731737119</v>
      </c>
      <c r="CU12" s="58">
        <f>IF(CO12="","",BU12)</f>
        <v>0.16644459356414734</v>
      </c>
      <c r="CV12" s="56">
        <f>IF(CR12="","",CH10)</f>
        <v>5.8479532163742691</v>
      </c>
      <c r="CW12" s="57">
        <f>IF(CU12="","",E12)</f>
        <v>4.75</v>
      </c>
      <c r="CX12" s="57"/>
      <c r="CY12" s="55">
        <f>IF(CW12="","",IF(H12=1,$DJ$3*CV12^0.8*W12,IF(H12=2,$DK$3*CV12^0.8*W12,IF(H12=3,$DL$3*CV12^0.8*W12,"ERR"))))</f>
        <v>70.242380626035185</v>
      </c>
      <c r="CZ12" s="55" t="str">
        <f>IF(CY12="","",IF(BI12="OK",BJ12,""))</f>
        <v/>
      </c>
      <c r="DA12" s="55" t="str">
        <f>IF(CY12="","",IF(BK12="","",BK12))</f>
        <v/>
      </c>
      <c r="DB12" s="56">
        <f>IF(CW12="","",BM12)</f>
        <v>0.26288785731737119</v>
      </c>
      <c r="DC12" s="55"/>
      <c r="DD12" s="55">
        <f>IF(OR(CH12="",W12=""),"",IF(H12=1,$DJ$3*CH12^0.8*W12,IF(H12=2,$DK$3*CH12^0.8*W12,IF(H12=3,$DL$3*CH12^0.8*W12,"ERR"))))</f>
        <v>70.242380626035185</v>
      </c>
      <c r="DE12" s="55">
        <f>IF(OR(CH12="",W12=""),"",IF(H12=1,$DJ$3*W12,IF(H12=2,$DK$3*W12,IF(H12=3,$DL$3*W12,"ERR"))))</f>
        <v>17.100000000000001</v>
      </c>
      <c r="DF12" s="54">
        <f>IF(DE12="","",-1.485*LN(E12)+7.098)</f>
        <v>4.7841552422008728</v>
      </c>
      <c r="DG12" s="55">
        <f>IF(OR(DF12="",W12=""),"",IF(H12=1,$DJ$3*DF12^0.8*W12,IF(H12=2,$DK$3*DF12^0.8*W12,IF(H12=3,$DL$3*CH12^0.8*W12,"ERR"))))</f>
        <v>59.819161535169499</v>
      </c>
      <c r="DH12" s="54"/>
      <c r="DJ12" s="53"/>
      <c r="DK12" s="53"/>
      <c r="DL12" s="53"/>
    </row>
    <row r="13" spans="1:116" hidden="1">
      <c r="A13" s="427" t="str">
        <f>IF(B13="","",IF(F13&lt;10,CONCATENATE(B13," - 0",F13),CONCATENATE(B13," - ",F13)))</f>
        <v>LR03 - 09.75</v>
      </c>
      <c r="B13" s="414" t="s">
        <v>11</v>
      </c>
      <c r="C13" s="414">
        <v>9.6</v>
      </c>
      <c r="D13" s="414">
        <v>9.9</v>
      </c>
      <c r="E13" s="426">
        <f>AVERAGE(D13,C13)</f>
        <v>9.75</v>
      </c>
      <c r="F13" s="426">
        <f>IF(E13="","",CEILING(E13,0.25))</f>
        <v>9.75</v>
      </c>
      <c r="G13" s="426" t="s">
        <v>1</v>
      </c>
      <c r="H13" s="425">
        <v>2</v>
      </c>
      <c r="I13" s="217">
        <v>17.97</v>
      </c>
      <c r="J13" s="217">
        <v>12.94</v>
      </c>
      <c r="K13" s="217">
        <v>0.38900000000000001</v>
      </c>
      <c r="L13" s="10">
        <v>1.083</v>
      </c>
      <c r="M13" s="309">
        <v>0.97</v>
      </c>
      <c r="N13" s="308">
        <v>2</v>
      </c>
      <c r="O13" s="218">
        <f>(P13*(1+AVERAGE(L13:L15))+(9.81*M13*AVERAGE(L13:L15)))/(1+AVERAGE(L13:L15))</f>
        <v>18.057230678851173</v>
      </c>
      <c r="P13" s="217">
        <f>AVERAGE(J13:J15)</f>
        <v>13.199999999999998</v>
      </c>
      <c r="Q13" s="216">
        <f>AVERAGE(K13:K15)</f>
        <v>0.36566666666666664</v>
      </c>
      <c r="R13" s="216">
        <f>IF(L13="","",L13/(1+L13))</f>
        <v>0.51992318771003354</v>
      </c>
      <c r="S13" s="216" t="str">
        <f>IF(R13="","",IF(R13&lt;0.3,"S",IF(R13&lt;0.45,"L",IF(AND(R13&lt;0.5,R13&gt;=0.45),"C",IF(R13&gt;=0.5,"SC","")))))</f>
        <v>SC</v>
      </c>
      <c r="T13" s="288">
        <f>L13*9.81/($P$76*(1+L13))</f>
        <v>0.43568734095405143</v>
      </c>
      <c r="U13" s="287">
        <f>N13</f>
        <v>2</v>
      </c>
      <c r="V13" s="287">
        <f>IF(E13="","",IF(E13&lt;=10,IF(E13&lt;=N13,18*E13,18*N13+(18-0)*(E13-N13)),IF(AND(E13&gt;10,N13&lt;=10),18*N13+(18-0)*(10-N13)+(17.5-0)*(E13-10),IF(E13&lt;N13,(18*0)+17.5*(E13-10),(18*0)+17.5*(N13-10)+(17.5-0)*(E13-N13)))))</f>
        <v>175.5</v>
      </c>
      <c r="W13" s="37">
        <f>IF(E13="","",IF(E13&lt;=10,IF(E13&lt;=N13,18*E13,18*N13+(18-10)*(E13-N13)),IF(AND(E13&gt;10,N13&lt;=10),18*N13+(18-10)*(10-N13)+(17.5-10)*(E13-10),IF(E13&lt;N13,(18*10)+17.5*(E13-10),(18*10)+17.5*(N13-10)+(17.5-10)*(E13-N13)))))</f>
        <v>98</v>
      </c>
      <c r="X13" s="34">
        <v>177</v>
      </c>
      <c r="Y13" s="10">
        <v>1.165</v>
      </c>
      <c r="Z13" s="305">
        <v>3.4</v>
      </c>
      <c r="AA13" s="28">
        <v>600</v>
      </c>
      <c r="AB13" s="424">
        <v>0.40799999999999997</v>
      </c>
      <c r="AC13" s="330"/>
      <c r="AD13" s="42">
        <f>9.81*AE13/P13/(1+AE13)</f>
        <v>0.38398325936991973</v>
      </c>
      <c r="AE13" s="326">
        <v>1.069</v>
      </c>
      <c r="AF13" s="306">
        <v>79.599999999999994</v>
      </c>
      <c r="AG13" s="305">
        <v>79.5</v>
      </c>
      <c r="AH13" s="305">
        <v>1116.28</v>
      </c>
      <c r="AI13" s="305">
        <v>1110.0999999999999</v>
      </c>
      <c r="AJ13" s="39">
        <f>IF(AF13="","",1-(AG13*AI13/AF13/AH13))</f>
        <v>6.7855717113536329E-3</v>
      </c>
      <c r="AK13" s="38">
        <v>5.6000000000000001E-2</v>
      </c>
      <c r="AL13" s="34">
        <v>50</v>
      </c>
      <c r="AM13" s="28">
        <v>155.4</v>
      </c>
      <c r="AN13" s="37">
        <f>AL13-AQ13</f>
        <v>9.18</v>
      </c>
      <c r="AO13" s="37">
        <f>AN13-AP13</f>
        <v>0</v>
      </c>
      <c r="AP13" s="37">
        <f>AM13-AR13</f>
        <v>9.1800000000000068</v>
      </c>
      <c r="AQ13" s="28">
        <v>40.82</v>
      </c>
      <c r="AR13" s="28">
        <v>146.22</v>
      </c>
      <c r="AT13" s="15">
        <v>20</v>
      </c>
      <c r="AU13" s="32">
        <v>21</v>
      </c>
      <c r="AV13" s="32">
        <v>10</v>
      </c>
      <c r="AW13" s="35">
        <v>29</v>
      </c>
      <c r="BB13" s="111">
        <f>(AM13-AL13)/AK13/1000</f>
        <v>1.8821428571428571</v>
      </c>
      <c r="BC13" s="109"/>
      <c r="BD13" s="109"/>
      <c r="BE13" s="109">
        <f>AL13/AJ13/1000</f>
        <v>7.3685758734728122</v>
      </c>
      <c r="BF13" s="304"/>
      <c r="BG13" s="32" t="s">
        <v>0</v>
      </c>
      <c r="BH13" s="31">
        <f>IF(OR(AE13="",Y13=""),"",Y13/AE13)</f>
        <v>1.0898035547240412</v>
      </c>
      <c r="BI13" s="7" t="str">
        <f>IF(OR(AE13="",Y13=""),"",IF(Y13/AE13&gt;1.05,"OC",IF(Y13/AE13&lt;0.95,"UC","OK")))</f>
        <v>OC</v>
      </c>
      <c r="BJ13" s="215">
        <f>(AM13-AL13)/2</f>
        <v>52.7</v>
      </c>
      <c r="BK13" s="37">
        <f>AVERAGE(BJ13:BJ15)+(_xlfn.COVARIANCE.P(AL13:AL15,BJ13:BJ15)/_xlfn.STDEV.P(AL13:AL15)^2)*(W13-AVERAGE(AL13:AL15))</f>
        <v>81.878221052631588</v>
      </c>
      <c r="BL13" s="37" t="str">
        <f>IF(BZ13="=",BJ13,"")</f>
        <v/>
      </c>
      <c r="BM13" s="110">
        <f>AN13/(AM13-AL13)</f>
        <v>8.7096774193548374E-2</v>
      </c>
      <c r="BN13" s="110" t="str">
        <f>IF(BM13="","",IF(AND(BM13&gt;=3/4,BM13&lt;=1.5),"HS",IF(AND(BM13&gt;=0.5,BM13&lt;=1),"NC",IF(AND(BM13&gt;=0,BM13&lt;=0.5),"OC",IF(BM13&lt;0,"H-OC","")))))</f>
        <v>OC</v>
      </c>
      <c r="BO13" s="109">
        <f>IF(BX13="","",BX13)</f>
        <v>11.923199999977475</v>
      </c>
      <c r="BP13" s="110"/>
      <c r="BQ13" s="27">
        <f>BJ13/AL13</f>
        <v>1.054</v>
      </c>
      <c r="BR13" s="26">
        <f>AL13/W13</f>
        <v>0.51020408163265307</v>
      </c>
      <c r="BS13" s="26" t="str">
        <f>IF(OR(BR13="",BH13=""),"",IF(AND(BR13&lt;1,BH13&gt;1),"NO",""))</f>
        <v>NO</v>
      </c>
      <c r="BT13" s="25">
        <f>IF(AA13="","",AA13/W13)</f>
        <v>6.1224489795918364</v>
      </c>
      <c r="BU13" s="332">
        <v>0.257900805962609</v>
      </c>
      <c r="BV13" s="23">
        <v>0.14511969193203464</v>
      </c>
      <c r="BW13" s="22">
        <f>(BQ13/BU13)^(1/0.8)</f>
        <v>5.810786105727451</v>
      </c>
      <c r="BX13" s="21">
        <f>(BQ13/BV13)^(1/0.8)</f>
        <v>11.923199999977475</v>
      </c>
      <c r="BY13" s="20">
        <f>BU13*BW13^0.8</f>
        <v>1.054</v>
      </c>
      <c r="BZ13" s="19" t="str">
        <f>IF(BR13&lt;0.85,"",IF(AND(BR13&gt;=0.85,BR13&lt;=1.15),"=","&gt;"))</f>
        <v/>
      </c>
      <c r="CA13" s="19" t="str">
        <f>IF(BZ13="","",IF(AND(BQ13&gt;=0.2,BQ13&lt;=0.451),"OK","NO"))</f>
        <v/>
      </c>
      <c r="CB13" s="18" t="str">
        <f>IF(BZ13="","",IF(AL13&lt;=CF13/1.11,"OC","NC"))</f>
        <v/>
      </c>
      <c r="CC13" s="18" t="str">
        <f>IF(BZ13="","",IF(CA13="OK","NC","OC"))</f>
        <v/>
      </c>
      <c r="CD13" s="12">
        <f>IF(BQ13="","",IF(BW13="","",BW13*AL13))</f>
        <v>290.53930528637255</v>
      </c>
      <c r="CE13" s="17">
        <f>IF(BQ13="","",IF(BX13="","",BX13*AL13))</f>
        <v>596.15999999887379</v>
      </c>
      <c r="CF13" s="16">
        <f>AVERAGE(CD13:CD15)</f>
        <v>596.16000000404097</v>
      </c>
      <c r="CG13" s="15">
        <f>'[1]Oed s''p'!N8</f>
        <v>596.16</v>
      </c>
      <c r="CH13" s="237">
        <f>CG13/W13</f>
        <v>6.0832653061224491</v>
      </c>
      <c r="CI13" s="13" t="str">
        <f>IF(BQ13&lt;0.28,"Y","")</f>
        <v/>
      </c>
      <c r="CJ13" s="12" t="str">
        <f>IF(BQ13&lt;0.8,"Y","")</f>
        <v/>
      </c>
      <c r="CL13" s="234">
        <f>IFERROR(CE13-CG13,"")</f>
        <v>-1.1261818144703284E-9</v>
      </c>
      <c r="CN13" s="7" t="str">
        <f>IF(OR(BS13="NO",BG13="TX-CID"),"",BH13)</f>
        <v/>
      </c>
      <c r="CO13" s="7" t="str">
        <f>IF(CN13="","",BQ13)</f>
        <v/>
      </c>
      <c r="CP13" s="10" t="str">
        <f>IF(CO13="","",BR13)</f>
        <v/>
      </c>
      <c r="CQ13" s="9" t="str">
        <f>IF(CO13="","",BV13)</f>
        <v/>
      </c>
      <c r="CR13" s="8" t="str">
        <f>IF(CU13="","",BX13)</f>
        <v/>
      </c>
      <c r="CS13" s="8" t="str">
        <f>IF(CR13="","",LN(CR13))</f>
        <v/>
      </c>
      <c r="CT13" s="8" t="str">
        <f>IF(CS13="","",BM13)</f>
        <v/>
      </c>
      <c r="CU13" s="7" t="str">
        <f>IF(CO13="","",BU13)</f>
        <v/>
      </c>
      <c r="CV13" s="6" t="str">
        <f>IF(CR13="","",CH13)</f>
        <v/>
      </c>
      <c r="CW13" s="5" t="str">
        <f>IF(CU13="","",E13)</f>
        <v/>
      </c>
      <c r="CY13" s="4" t="str">
        <f>IF(CW13="","",IF(H13=1,$DJ$3*CV13^0.8*W13,IF(H13=2,$DK$3*CV13^0.8*W13,IF(H13=3,$DL$3*CV13^0.8*W13,"ERR"))))</f>
        <v/>
      </c>
      <c r="CZ13" s="4" t="str">
        <f>IF(CY13="","",IF(BI13="OK",BJ13,""))</f>
        <v/>
      </c>
      <c r="DA13" s="4" t="str">
        <f>IF(CY13="","",IF(BK13="","",BK13))</f>
        <v/>
      </c>
      <c r="DB13" s="6" t="str">
        <f>IF(CW13="","",BM13)</f>
        <v/>
      </c>
      <c r="DD13" s="4">
        <f>IF(OR(CH13="",W13=""),"",IF(H13=1,$DJ$3*CH13^0.8*W13,IF(H13=2,$DK$3*CH13^0.8*W13,IF(H13=3,$DL$3*CH13^0.8*W13,"ERR"))))</f>
        <v>112.17581818711716</v>
      </c>
      <c r="DE13" s="4">
        <f>IF(OR(CH13="",W13=""),"",IF(H13=1,$DJ$3*W13,IF(H13=2,$DK$3*W13,IF(H13=3,$DL$3*W13,"ERR"))))</f>
        <v>26.46</v>
      </c>
      <c r="DF13" s="3">
        <f>IF(DE13="","",-1.485*LN(E13)+7.098)</f>
        <v>3.716258081760512</v>
      </c>
      <c r="DG13" s="4">
        <f>IF(OR(DF13="",W13=""),"",IF(H13=1,$DJ$3*DF13^0.8*W13,IF(H13=2,$DK$3*DF13^0.8*W13,IF(H13=3,$DL$3*CH13^0.8*W13,"ERR"))))</f>
        <v>75.626592555610728</v>
      </c>
    </row>
    <row r="14" spans="1:116" hidden="1">
      <c r="A14" s="427" t="str">
        <f>IF(B14="","",IF(F14&lt;10,CONCATENATE(B14," - 0",F14),CONCATENATE(B14," - ",F14)))</f>
        <v>LR03 - 09.75</v>
      </c>
      <c r="B14" s="414" t="s">
        <v>11</v>
      </c>
      <c r="C14" s="414">
        <v>9.6</v>
      </c>
      <c r="D14" s="414">
        <v>9.9</v>
      </c>
      <c r="E14" s="426">
        <f>AVERAGE(D14,C14)</f>
        <v>9.75</v>
      </c>
      <c r="F14" s="426">
        <f>IF(E14="","",CEILING(E14,0.25))</f>
        <v>9.75</v>
      </c>
      <c r="G14" s="426" t="s">
        <v>1</v>
      </c>
      <c r="H14" s="425">
        <v>2</v>
      </c>
      <c r="I14" s="217">
        <v>18</v>
      </c>
      <c r="J14" s="217">
        <v>13.14</v>
      </c>
      <c r="K14" s="217">
        <v>0.37</v>
      </c>
      <c r="L14" s="10">
        <v>1.0509999999999999</v>
      </c>
      <c r="M14" s="309">
        <v>0.95</v>
      </c>
      <c r="N14" s="308">
        <v>2</v>
      </c>
      <c r="O14" s="218"/>
      <c r="P14" s="217"/>
      <c r="Q14" s="216"/>
      <c r="R14" s="216">
        <f>IF(L14="","",L14/(1+L14))</f>
        <v>0.51243295953193557</v>
      </c>
      <c r="S14" s="216" t="str">
        <f>IF(R14="","",IF(R14&lt;0.3,"S",IF(R14&lt;0.45,"L",IF(AND(R14&lt;0.5,R14&gt;=0.45),"C",IF(R14&gt;=0.5,"SC","")))))</f>
        <v>SC</v>
      </c>
      <c r="T14" s="288">
        <f>L14*9.81/($P$76*(1+L14))</f>
        <v>0.42941064917496757</v>
      </c>
      <c r="U14" s="287">
        <f>N14</f>
        <v>2</v>
      </c>
      <c r="V14" s="287">
        <f>IF(E14="","",IF(E14&lt;=10,IF(E14&lt;=N14,18*E14,18*N14+(18-0)*(E14-N14)),IF(AND(E14&gt;10,N14&lt;=10),18*N14+(18-0)*(10-N14)+(17.5-0)*(E14-10),IF(E14&lt;N14,(18*0)+17.5*(E14-10),(18*0)+17.5*(N14-10)+(17.5-0)*(E14-N14)))))</f>
        <v>175.5</v>
      </c>
      <c r="W14" s="37">
        <f>IF(E14="","",IF(E14&lt;=10,IF(E14&lt;=N14,18*E14,18*N14+(18-10)*(E14-N14)),IF(AND(E14&gt;10,N14&lt;=10),18*N14+(18-10)*(10-N14)+(17.5-10)*(E14-10),IF(E14&lt;N14,(18*10)+17.5*(E14-10),(18*10)+17.5*(N14-10)+(17.5-10)*(E14-N14)))))</f>
        <v>98</v>
      </c>
      <c r="Y14" s="45">
        <f>Y13</f>
        <v>1.165</v>
      </c>
      <c r="AB14" s="424">
        <v>0.40600000000000003</v>
      </c>
      <c r="AC14" s="330"/>
      <c r="AD14" s="42">
        <f>9.81*AE14/P13/(1+AE14)</f>
        <v>0.36535679622868239</v>
      </c>
      <c r="AE14" s="326">
        <v>0.96699999999999997</v>
      </c>
      <c r="AF14" s="306">
        <v>79.400000000000006</v>
      </c>
      <c r="AG14" s="305">
        <v>78.900000000000006</v>
      </c>
      <c r="AH14" s="305">
        <v>1122.21</v>
      </c>
      <c r="AI14" s="305">
        <v>1082.97</v>
      </c>
      <c r="AJ14" s="39">
        <f>IF(AF14="","",1-(AG14*AI14/AF14/AH14))</f>
        <v>4.1043753243560355E-2</v>
      </c>
      <c r="AK14" s="38">
        <v>3.3000000000000002E-2</v>
      </c>
      <c r="AL14" s="34">
        <v>150</v>
      </c>
      <c r="AM14" s="28">
        <v>381</v>
      </c>
      <c r="AN14" s="37">
        <f>AL14-AQ14</f>
        <v>52.28</v>
      </c>
      <c r="AO14" s="37">
        <f>AN14-AP14</f>
        <v>0</v>
      </c>
      <c r="AP14" s="37">
        <f>AM14-AR14</f>
        <v>52.279999999999973</v>
      </c>
      <c r="AQ14" s="28">
        <v>97.72</v>
      </c>
      <c r="AR14" s="28">
        <v>328.72</v>
      </c>
      <c r="BB14" s="111">
        <f>(AM14-AL14)/AK14/1000</f>
        <v>7</v>
      </c>
      <c r="BC14" s="109"/>
      <c r="BD14" s="109"/>
      <c r="BE14" s="109">
        <f>AL14/AJ14/1000</f>
        <v>3.6546365316513678</v>
      </c>
      <c r="BF14" s="304"/>
      <c r="BG14" s="32" t="s">
        <v>0</v>
      </c>
      <c r="BH14" s="31">
        <f>IF(OR(AE14="",Y14=""),"",Y14/AE14)</f>
        <v>1.2047569803516029</v>
      </c>
      <c r="BI14" s="7" t="str">
        <f>IF(OR(AE14="",Y14=""),"",IF(Y14/AE14&gt;1.05,"OC",IF(Y14/AE14&lt;0.95,"UC","OK")))</f>
        <v>OC</v>
      </c>
      <c r="BJ14" s="37">
        <f>(AM14-AL14)/2</f>
        <v>115.5</v>
      </c>
      <c r="BK14" s="37"/>
      <c r="BL14" s="37" t="str">
        <f>IF(BZ14="=",BJ14,"")</f>
        <v/>
      </c>
      <c r="BM14" s="110">
        <f>AN14/(AM14-AL14)</f>
        <v>0.22632034632034634</v>
      </c>
      <c r="BN14" s="110" t="str">
        <f>IF(BM14="","",IF(AND(BM14&gt;=3/4,BM14&lt;=1.5),"HS",IF(AND(BM14&gt;=0.5,BM14&lt;=1),"NC",IF(AND(BM14&gt;=0,BM14&lt;=0.5),"OC",IF(BM14&lt;0,"H-OC","")))))</f>
        <v>OC</v>
      </c>
      <c r="BO14" s="109">
        <f>IF(BX14="","",BX14)</f>
        <v>3.9744000000595325</v>
      </c>
      <c r="BP14" s="110"/>
      <c r="BQ14" s="27">
        <f>BJ14/AL14</f>
        <v>0.77</v>
      </c>
      <c r="BR14" s="26">
        <f>AL14/W14</f>
        <v>1.5306122448979591</v>
      </c>
      <c r="BS14" s="26" t="str">
        <f>IF(OR(BR14="",BH14=""),"",IF(AND(BR14&lt;1,BH14&gt;1),"NO",""))</f>
        <v/>
      </c>
      <c r="BT14" s="25" t="str">
        <f>IF(AA14="","",AA14/W14)</f>
        <v/>
      </c>
      <c r="BU14" s="332">
        <f>BU13</f>
        <v>0.257900805962609</v>
      </c>
      <c r="BV14" s="23">
        <v>0.25531331575738242</v>
      </c>
      <c r="BW14" s="22">
        <f>(BQ14/BU14)^(1/0.8)</f>
        <v>3.9246192732550171</v>
      </c>
      <c r="BX14" s="21">
        <f>(BQ14/BV14)^(1/0.8)</f>
        <v>3.9744000000595325</v>
      </c>
      <c r="BY14" s="20">
        <f>BU14*BW14^0.8</f>
        <v>0.77</v>
      </c>
      <c r="BZ14" s="19" t="str">
        <f>IF(BR14&lt;0.85,"",IF(AND(BR14&gt;=0.85,BR14&lt;=1.15),"=","&gt;"))</f>
        <v>&gt;</v>
      </c>
      <c r="CA14" s="19" t="str">
        <f>IF(BZ14="","",IF(AND(BQ14&gt;=0.2,BQ14&lt;=0.451),"OK","NO"))</f>
        <v>NO</v>
      </c>
      <c r="CB14" s="18" t="str">
        <f>IF(BZ14="","",IF(AL14&lt;=CF13/1.11,"OC","NC"))</f>
        <v>OC</v>
      </c>
      <c r="CC14" s="18" t="str">
        <f>IF(BZ14="","",IF(CA14="OK","NC","OC"))</f>
        <v>OC</v>
      </c>
      <c r="CD14" s="12">
        <f>IF(BQ14="","",IF(BW14="","",BW14*AL14))</f>
        <v>588.69289098825254</v>
      </c>
      <c r="CE14" s="17">
        <f>IF(BQ14="","",IF(BX14="","",BX14*AL14))</f>
        <v>596.16000000892984</v>
      </c>
      <c r="CG14" s="15">
        <f>CG13</f>
        <v>596.16</v>
      </c>
      <c r="CH14" s="14">
        <f>CG14/W14</f>
        <v>6.0832653061224491</v>
      </c>
      <c r="CI14" s="13" t="str">
        <f>IF(BQ14&lt;0.28,"Y","")</f>
        <v/>
      </c>
      <c r="CJ14" s="12" t="str">
        <f>IF(BQ14&lt;0.8,"Y","")</f>
        <v>Y</v>
      </c>
      <c r="CK14" s="12" t="str">
        <f>IF(BQ14&lt;BQ13,"","ERR")</f>
        <v/>
      </c>
      <c r="CL14" s="11">
        <f>IFERROR(CE14-CG14,"")</f>
        <v>8.9298737293574959E-9</v>
      </c>
      <c r="CN14" s="7">
        <f>IF(OR(BS14="NO",BG14="TX-CID"),"",BH14)</f>
        <v>1.2047569803516029</v>
      </c>
      <c r="CO14" s="7">
        <f>IF(CN14="","",BQ14)</f>
        <v>0.77</v>
      </c>
      <c r="CP14" s="10">
        <f>IF(CO14="","",BR14)</f>
        <v>1.5306122448979591</v>
      </c>
      <c r="CQ14" s="9">
        <f>IF(CO14="","",BV14)</f>
        <v>0.25531331575738242</v>
      </c>
      <c r="CR14" s="8">
        <f>IF(CU14="","",BX14)</f>
        <v>3.9744000000595325</v>
      </c>
      <c r="CS14" s="8">
        <f>IF(CR14="","",LN(CR14))</f>
        <v>1.3798737933319469</v>
      </c>
      <c r="CT14" s="8">
        <f>IF(CS14="","",BM14)</f>
        <v>0.22632034632034634</v>
      </c>
      <c r="CU14" s="7">
        <f>IF(CO14="","",BU14)</f>
        <v>0.257900805962609</v>
      </c>
      <c r="CV14" s="6">
        <f>IF(CR14="","",CH13)</f>
        <v>6.0832653061224491</v>
      </c>
      <c r="CW14" s="5">
        <f>IF(CU14="","",E14)</f>
        <v>9.75</v>
      </c>
      <c r="CY14" s="4">
        <f>IF(CW14="","",IF(H14=1,$DJ$3*CV14^0.8*W14,IF(H14=2,$DK$3*CV14^0.8*W14,IF(H14=3,$DL$3*CV14^0.8*W14,"ERR"))))</f>
        <v>112.17581818711716</v>
      </c>
      <c r="CZ14" s="4" t="str">
        <f>IF(CY14="","",IF(BI14="OK",BJ14,""))</f>
        <v/>
      </c>
      <c r="DA14" s="4" t="str">
        <f>IF(CY14="","",IF(BK14="","",BK14))</f>
        <v/>
      </c>
      <c r="DB14" s="6">
        <f>IF(CW14="","",BM14)</f>
        <v>0.22632034632034634</v>
      </c>
      <c r="DD14" s="4">
        <f>IF(OR(CH14="",W14=""),"",IF(H14=1,$DJ$3*CH14^0.8*W14,IF(H14=2,$DK$3*CH14^0.8*W14,IF(H14=3,$DL$3*CH14^0.8*W14,"ERR"))))</f>
        <v>112.17581818711716</v>
      </c>
      <c r="DE14" s="4">
        <f>IF(OR(CH14="",W14=""),"",IF(H14=1,$DJ$3*W14,IF(H14=2,$DK$3*W14,IF(H14=3,$DL$3*W14,"ERR"))))</f>
        <v>26.46</v>
      </c>
      <c r="DF14" s="3">
        <f>IF(DE14="","",-1.485*LN(E14)+7.098)</f>
        <v>3.716258081760512</v>
      </c>
      <c r="DG14" s="4">
        <f>IF(OR(DF14="",W14=""),"",IF(H14=1,$DJ$3*DF14^0.8*W14,IF(H14=2,$DK$3*DF14^0.8*W14,IF(H14=3,$DL$3*CH14^0.8*W14,"ERR"))))</f>
        <v>75.626592555610728</v>
      </c>
    </row>
    <row r="15" spans="1:116" s="162" customFormat="1" hidden="1">
      <c r="A15" s="423" t="str">
        <f>IF(B15="","",IF(F15&lt;10,CONCATENATE(B15," - 0",F15),CONCATENATE(B15," - ",F15)))</f>
        <v>LR03 - 09.75</v>
      </c>
      <c r="B15" s="412" t="s">
        <v>11</v>
      </c>
      <c r="C15" s="412">
        <v>9.6</v>
      </c>
      <c r="D15" s="412">
        <v>9.9</v>
      </c>
      <c r="E15" s="422">
        <f>AVERAGE(D15,C15)</f>
        <v>9.75</v>
      </c>
      <c r="F15" s="422">
        <f>IF(E15="","",CEILING(E15,0.25))</f>
        <v>9.75</v>
      </c>
      <c r="G15" s="422" t="s">
        <v>1</v>
      </c>
      <c r="H15" s="421">
        <v>2</v>
      </c>
      <c r="I15" s="222">
        <v>18.09</v>
      </c>
      <c r="J15" s="222">
        <v>13.52</v>
      </c>
      <c r="K15" s="222">
        <v>0.33800000000000002</v>
      </c>
      <c r="L15" s="171">
        <v>0.99399999999999999</v>
      </c>
      <c r="M15" s="299">
        <v>0.92</v>
      </c>
      <c r="N15" s="298">
        <v>2</v>
      </c>
      <c r="O15" s="223"/>
      <c r="P15" s="222"/>
      <c r="Q15" s="221"/>
      <c r="R15" s="221">
        <f>IF(L15="","",L15/(1+L15))</f>
        <v>0.49849548645937813</v>
      </c>
      <c r="S15" s="221" t="str">
        <f>IF(R15="","",IF(R15&lt;0.3,"S",IF(R15&lt;0.45,"L",IF(AND(R15&lt;0.5,R15&gt;=0.45),"C",IF(R15&gt;=0.5,"SC","")))))</f>
        <v>C</v>
      </c>
      <c r="T15" s="285">
        <f>L15*9.81/($P$76*(1+L15))</f>
        <v>0.41773126897777613</v>
      </c>
      <c r="U15" s="284">
        <f>N15</f>
        <v>2</v>
      </c>
      <c r="V15" s="284">
        <f>IF(E15="","",IF(E15&lt;=10,IF(E15&lt;=N15,18*E15,18*N15+(18-0)*(E15-N15)),IF(AND(E15&gt;10,N15&lt;=10),18*N15+(18-0)*(10-N15)+(17.5-0)*(E15-10),IF(E15&lt;N15,(18*0)+17.5*(E15-10),(18*0)+17.5*(N15-10)+(17.5-0)*(E15-N15)))))</f>
        <v>175.5</v>
      </c>
      <c r="W15" s="186">
        <f>IF(E15="","",IF(E15&lt;=10,IF(E15&lt;=N15,18*E15,18*N15+(18-10)*(E15-N15)),IF(AND(E15&gt;10,N15&lt;=10),18*N15+(18-10)*(10-N15)+(17.5-10)*(E15-10),IF(E15&lt;N15,(18*10)+17.5*(E15-10),(18*10)+17.5*(N15-10)+(17.5-10)*(E15-N15)))))</f>
        <v>98</v>
      </c>
      <c r="X15" s="197"/>
      <c r="Y15" s="205">
        <f>Y14</f>
        <v>1.165</v>
      </c>
      <c r="Z15" s="164"/>
      <c r="AA15" s="189"/>
      <c r="AB15" s="420">
        <v>0.39900000000000002</v>
      </c>
      <c r="AC15" s="329"/>
      <c r="AD15" s="202">
        <f>9.81*AE15/P13/(1+AE15)</f>
        <v>0.34954738058551627</v>
      </c>
      <c r="AE15" s="325">
        <v>0.88800000000000001</v>
      </c>
      <c r="AF15" s="296">
        <v>79.5</v>
      </c>
      <c r="AG15" s="295">
        <v>78.2</v>
      </c>
      <c r="AH15" s="295">
        <v>1121.21</v>
      </c>
      <c r="AI15" s="295">
        <v>1080.32</v>
      </c>
      <c r="AJ15" s="199">
        <f>IF(AF15="","",1-(AG15*AI15/AF15/AH15))</f>
        <v>5.222537264463667E-2</v>
      </c>
      <c r="AK15" s="198">
        <v>4.1000000000000002E-2</v>
      </c>
      <c r="AL15" s="197">
        <v>300</v>
      </c>
      <c r="AM15" s="189">
        <v>675.71</v>
      </c>
      <c r="AN15" s="186">
        <f>AL15-AQ15</f>
        <v>121.63999999999999</v>
      </c>
      <c r="AO15" s="186">
        <f>AN15-AP15</f>
        <v>0</v>
      </c>
      <c r="AP15" s="186">
        <f>AM15-AR15</f>
        <v>121.63999999999999</v>
      </c>
      <c r="AQ15" s="189">
        <v>178.36</v>
      </c>
      <c r="AR15" s="189">
        <v>554.07000000000005</v>
      </c>
      <c r="AS15" s="196"/>
      <c r="AT15" s="66"/>
      <c r="AU15" s="192"/>
      <c r="AV15" s="192"/>
      <c r="AW15" s="195"/>
      <c r="AX15" s="192"/>
      <c r="AY15" s="192"/>
      <c r="AZ15" s="192"/>
      <c r="BA15" s="195"/>
      <c r="BB15" s="194">
        <f>(AM15-AL15)/AK15/1000</f>
        <v>9.1636585365853662</v>
      </c>
      <c r="BC15" s="187"/>
      <c r="BD15" s="187"/>
      <c r="BE15" s="187">
        <f>AL15/AJ15/1000</f>
        <v>5.7443343112422722</v>
      </c>
      <c r="BF15" s="294"/>
      <c r="BG15" s="192" t="s">
        <v>0</v>
      </c>
      <c r="BH15" s="191">
        <f>IF(OR(AE15="",Y15=""),"",Y15/AE15)</f>
        <v>1.3119369369369369</v>
      </c>
      <c r="BI15" s="168" t="str">
        <f>IF(OR(AE15="",Y15=""),"",IF(Y15/AE15&gt;1.05,"OC",IF(Y15/AE15&lt;0.95,"UC","OK")))</f>
        <v>OC</v>
      </c>
      <c r="BJ15" s="186">
        <f>(AM15-AL15)/2</f>
        <v>187.85500000000002</v>
      </c>
      <c r="BK15" s="186"/>
      <c r="BL15" s="186" t="str">
        <f>IF(BZ15="=",BJ15,"")</f>
        <v/>
      </c>
      <c r="BM15" s="188">
        <f>AN15/(AM15-AL15)</f>
        <v>0.32376034707620233</v>
      </c>
      <c r="BN15" s="188" t="str">
        <f>IF(BM15="","",IF(AND(BM15&gt;=3/4,BM15&lt;=1.5),"HS",IF(AND(BM15&gt;=0.5,BM15&lt;=1),"NC",IF(AND(BM15&gt;=0,BM15&lt;=0.5),"OC",IF(BM15&lt;0,"H-OC","")))))</f>
        <v>OC</v>
      </c>
      <c r="BO15" s="187">
        <f>IF(BX15="","",BX15)</f>
        <v>1.9871999999948839</v>
      </c>
      <c r="BP15" s="188"/>
      <c r="BQ15" s="185">
        <f>BJ15/AL15</f>
        <v>0.62618333333333343</v>
      </c>
      <c r="BR15" s="184">
        <f>AL15/W15</f>
        <v>3.0612244897959182</v>
      </c>
      <c r="BS15" s="184" t="str">
        <f>IF(OR(BR15="",BH15=""),"",IF(AND(BR15&lt;1,BH15&gt;1),"NO",""))</f>
        <v/>
      </c>
      <c r="BT15" s="183" t="str">
        <f>IF(AA15="","",AA15/W15)</f>
        <v/>
      </c>
      <c r="BU15" s="331">
        <f>BU14</f>
        <v>0.257900805962609</v>
      </c>
      <c r="BV15" s="181">
        <v>0.36149994981330008</v>
      </c>
      <c r="BW15" s="180">
        <f>(BQ15/BU15)^(1/0.8)</f>
        <v>3.0308260124583262</v>
      </c>
      <c r="BX15" s="179">
        <f>(BQ15/BV15)^(1/0.8)</f>
        <v>1.9871999999948839</v>
      </c>
      <c r="BY15" s="178">
        <f>BU15*BW15^0.8</f>
        <v>0.62618333333333365</v>
      </c>
      <c r="BZ15" s="177" t="str">
        <f>IF(BR15&lt;0.85,"",IF(AND(BR15&gt;=0.85,BR15&lt;=1.15),"=","&gt;"))</f>
        <v>&gt;</v>
      </c>
      <c r="CA15" s="177" t="str">
        <f>IF(BZ15="","",IF(AND(BQ15&gt;=0.2,BQ15&lt;=0.451),"OK","NO"))</f>
        <v>NO</v>
      </c>
      <c r="CB15" s="176" t="str">
        <f>IF(BZ15="","",IF(AL15&lt;=CF13/1.11,"OC","NC"))</f>
        <v>OC</v>
      </c>
      <c r="CC15" s="176" t="str">
        <f>IF(BZ15="","",IF(CA15="OK","NC","OC"))</f>
        <v>OC</v>
      </c>
      <c r="CD15" s="172">
        <f>IF(BQ15="","",IF(BW15="","",BW15*AL15))</f>
        <v>909.24780373749786</v>
      </c>
      <c r="CE15" s="175">
        <f>IF(BQ15="","",IF(BX15="","",BX15*AL15))</f>
        <v>596.1599999984652</v>
      </c>
      <c r="CF15" s="174"/>
      <c r="CG15" s="66">
        <f>CG14</f>
        <v>596.16</v>
      </c>
      <c r="CH15" s="14">
        <f>CG15/W15</f>
        <v>6.0832653061224491</v>
      </c>
      <c r="CI15" s="173" t="str">
        <f>IF(BQ15&lt;0.28,"Y","")</f>
        <v/>
      </c>
      <c r="CJ15" s="172" t="str">
        <f>IF(BQ15&lt;0.8,"Y","")</f>
        <v>Y</v>
      </c>
      <c r="CK15" s="172" t="str">
        <f>IF(BQ15&lt;BQ14,"","ERR")</f>
        <v/>
      </c>
      <c r="CL15" s="11">
        <f>IFERROR(CE15-CG15,"")</f>
        <v>-1.5347723092418164E-9</v>
      </c>
      <c r="CM15" s="163"/>
      <c r="CN15" s="168">
        <f>IF(OR(BS15="NO",BG15="TX-CID"),"",BH15)</f>
        <v>1.3119369369369369</v>
      </c>
      <c r="CO15" s="168">
        <f>IF(CN15="","",BQ15)</f>
        <v>0.62618333333333343</v>
      </c>
      <c r="CP15" s="171">
        <f>IF(CO15="","",BR15)</f>
        <v>3.0612244897959182</v>
      </c>
      <c r="CQ15" s="170">
        <f>IF(CO15="","",BV15)</f>
        <v>0.36149994981330008</v>
      </c>
      <c r="CR15" s="169">
        <f>IF(CU15="","",BX15)</f>
        <v>1.9871999999948839</v>
      </c>
      <c r="CS15" s="169">
        <f>IF(CR15="","",LN(CR15))</f>
        <v>0.68672661275444802</v>
      </c>
      <c r="CT15" s="169">
        <f>IF(CS15="","",BM15)</f>
        <v>0.32376034707620233</v>
      </c>
      <c r="CU15" s="168">
        <f>IF(CO15="","",BU15)</f>
        <v>0.257900805962609</v>
      </c>
      <c r="CV15" s="166">
        <f>IF(CR15="","",CH13)</f>
        <v>6.0832653061224491</v>
      </c>
      <c r="CW15" s="167">
        <f>IF(CU15="","",E15)</f>
        <v>9.75</v>
      </c>
      <c r="CX15" s="167"/>
      <c r="CY15" s="165">
        <f>IF(CW15="","",IF(H15=1,$DJ$3*CV15^0.8*W15,IF(H15=2,$DK$3*CV15^0.8*W15,IF(H15=3,$DL$3*CV15^0.8*W15,"ERR"))))</f>
        <v>112.17581818711716</v>
      </c>
      <c r="CZ15" s="165" t="str">
        <f>IF(CY15="","",IF(BI15="OK",BJ15,""))</f>
        <v/>
      </c>
      <c r="DA15" s="165" t="str">
        <f>IF(CY15="","",IF(BK15="","",BK15))</f>
        <v/>
      </c>
      <c r="DB15" s="166">
        <f>IF(CW15="","",BM15)</f>
        <v>0.32376034707620233</v>
      </c>
      <c r="DC15" s="165"/>
      <c r="DD15" s="165">
        <f>IF(OR(CH15="",W15=""),"",IF(H15=1,$DJ$3*CH15^0.8*W15,IF(H15=2,$DK$3*CH15^0.8*W15,IF(H15=3,$DL$3*CH15^0.8*W15,"ERR"))))</f>
        <v>112.17581818711716</v>
      </c>
      <c r="DE15" s="165">
        <f>IF(OR(CH15="",W15=""),"",IF(H15=1,$DJ$3*W15,IF(H15=2,$DK$3*W15,IF(H15=3,$DL$3*W15,"ERR"))))</f>
        <v>26.46</v>
      </c>
      <c r="DF15" s="164">
        <f>IF(DE15="","",-1.485*LN(E15)+7.098)</f>
        <v>3.716258081760512</v>
      </c>
      <c r="DG15" s="165">
        <f>IF(OR(DF15="",W15=""),"",IF(H15=1,$DJ$3*DF15^0.8*W15,IF(H15=2,$DK$3*DF15^0.8*W15,IF(H15=3,$DL$3*CH15^0.8*W15,"ERR"))))</f>
        <v>75.626592555610728</v>
      </c>
      <c r="DH15" s="164"/>
      <c r="DJ15" s="163"/>
      <c r="DK15" s="163"/>
      <c r="DL15" s="163"/>
    </row>
    <row r="16" spans="1:116" hidden="1">
      <c r="A16" s="115" t="str">
        <f>IF(B16="","",IF(F16&lt;10,CONCATENATE(B16," - 0",F16),CONCATENATE(B16," - ",F16)))</f>
        <v>LR10 - 03.5</v>
      </c>
      <c r="B16" s="414" t="s">
        <v>10</v>
      </c>
      <c r="C16" s="414">
        <v>3.35</v>
      </c>
      <c r="D16" s="414">
        <v>3.65</v>
      </c>
      <c r="E16" s="414">
        <v>3.5</v>
      </c>
      <c r="F16" s="414">
        <f>IF(E16="","",CEILING(E16,0.25))</f>
        <v>3.5</v>
      </c>
      <c r="G16" s="414" t="s">
        <v>8</v>
      </c>
      <c r="H16" s="413">
        <v>2</v>
      </c>
      <c r="I16" s="2">
        <v>18.510000000000002</v>
      </c>
      <c r="J16" s="2">
        <v>13.76</v>
      </c>
      <c r="K16" s="112">
        <v>0.34499999999999997</v>
      </c>
      <c r="L16" s="45">
        <v>1.034</v>
      </c>
      <c r="M16" s="49">
        <v>0.93</v>
      </c>
      <c r="N16" s="48">
        <v>5.5</v>
      </c>
      <c r="O16" s="218">
        <f>(P16*(1+AVERAGE(L16:L18))+(9.81*M16*AVERAGE(L16:L18)))/(1+AVERAGE(L16:L18))</f>
        <v>18.446482940885886</v>
      </c>
      <c r="P16" s="217">
        <f>AVERAGE(J16:J18)</f>
        <v>13.829999999999998</v>
      </c>
      <c r="Q16" s="216">
        <f>AVERAGE(K16:K18)</f>
        <v>0.33633333333333332</v>
      </c>
      <c r="R16" s="47">
        <f>IF(L16="","",L16/(1+L16))</f>
        <v>0.50835791543756148</v>
      </c>
      <c r="S16" s="47" t="str">
        <f>IF(R16="","",IF(R16&lt;0.3,"S",IF(R16&lt;0.45,"L",IF(AND(R16&lt;0.5,R16&gt;=0.45),"C",IF(R16&gt;=0.5,"SC","")))))</f>
        <v>SC</v>
      </c>
      <c r="T16" s="46">
        <f>L16*9.81/($P$28*(1+L16))</f>
        <v>0.3432990695577659</v>
      </c>
      <c r="U16" s="37">
        <f>N16</f>
        <v>5.5</v>
      </c>
      <c r="V16" s="37">
        <f>IF(E16="","",IF(E16&lt;=10,IF(E16&lt;=N16,18*E16,18*N16+(18-0)*(E16-N16)),IF(AND(E16&gt;10,N16&lt;=10),18*N16+(18-0)*(10-N16)+(17.5-0)*(E16-10),IF(E16&lt;N16,(18*0)+17.5*(E16-10),(18*0)+17.5*(N16-10)+(17.5-0)*(E16-N16)))))</f>
        <v>63</v>
      </c>
      <c r="W16" s="37">
        <f>IF(E16="","",IF(E16&lt;=10,IF(E16&lt;=N16,18*E16,18*N16+(18-10)*(E16-N16)),IF(AND(E16&gt;10,N16&lt;=10),18*N16+(18-10)*(10-N16)+(17.5-10)*(E16-10),IF(E16&lt;N16,(18*10)+17.5*(E16-10),(18*10)+17.5*(N16-10)+(17.5-10)*(E16-N16)))))</f>
        <v>63</v>
      </c>
      <c r="Y16" s="45">
        <v>1.085</v>
      </c>
      <c r="Z16" s="3">
        <v>5.8</v>
      </c>
      <c r="AA16" s="28">
        <v>386.28000000000003</v>
      </c>
      <c r="AE16" s="41">
        <v>1.012</v>
      </c>
      <c r="AF16" s="40">
        <v>79.64</v>
      </c>
      <c r="AG16" s="3">
        <v>78.95</v>
      </c>
      <c r="AH16" s="3">
        <v>1134.1099999999999</v>
      </c>
      <c r="AI16" s="3">
        <v>1131.6099999999999</v>
      </c>
      <c r="AJ16" s="39">
        <f>IF(AF16="","",1-(AG16*AI16/AF16/AH16))</f>
        <v>1.0849261005807964E-2</v>
      </c>
      <c r="AK16" s="38">
        <v>6.2899999999999998E-2</v>
      </c>
      <c r="AL16" s="34">
        <v>50</v>
      </c>
      <c r="AM16" s="28">
        <v>180.73</v>
      </c>
      <c r="AN16" s="37">
        <f>AL16-AQ16</f>
        <v>-4.9600000000000009</v>
      </c>
      <c r="AO16" s="37">
        <f>AN16-AP16</f>
        <v>7.1054273576010019E-15</v>
      </c>
      <c r="AP16" s="37">
        <f>AM16-AR16</f>
        <v>-4.960000000000008</v>
      </c>
      <c r="AQ16" s="28">
        <v>54.96</v>
      </c>
      <c r="AR16" s="28">
        <v>185.69</v>
      </c>
      <c r="AT16" s="15">
        <v>50</v>
      </c>
      <c r="AU16" s="32">
        <v>9</v>
      </c>
      <c r="AV16" s="32">
        <v>30</v>
      </c>
      <c r="AW16" s="35">
        <v>17</v>
      </c>
      <c r="BB16" s="111">
        <f>(AM16-AL16)/AK16/1000</f>
        <v>2.0783783783783782</v>
      </c>
      <c r="BE16" s="109">
        <f>AL16/AJ16/1000</f>
        <v>4.6086088235164926</v>
      </c>
      <c r="BG16" s="32" t="s">
        <v>0</v>
      </c>
      <c r="BH16" s="31">
        <f>IF(OR(AE16="",Y16=""),"",Y16/AE16)</f>
        <v>1.0721343873517786</v>
      </c>
      <c r="BI16" s="30" t="str">
        <f>IF(OR(AE16="",Y16=""),"",IF(Y16/AE16&gt;1.05,"OC",IF(Y16/AE16&lt;0.95,"UC","OK")))</f>
        <v>OC</v>
      </c>
      <c r="BJ16" s="215">
        <f>(AM16-AL16)/2</f>
        <v>65.364999999999995</v>
      </c>
      <c r="BK16" s="37">
        <f>AVERAGE(BJ16:BJ18)+(_xlfn.COVARIANCE.P(AL16:AL18,BJ16:BJ18)/_xlfn.STDEV.P(AL16:AL18)^2)*(W16-AVERAGE(AL16:AL18))</f>
        <v>69.457450000000009</v>
      </c>
      <c r="BL16" s="37" t="str">
        <f>IF(BZ16="=",BJ16,"")</f>
        <v/>
      </c>
      <c r="BM16" s="110">
        <f>AN16/(AM16-AL16)</f>
        <v>-3.7940794002906765E-2</v>
      </c>
      <c r="BN16" s="214" t="str">
        <f>IF(BM16="","",IF(AND(BM16&gt;=3/4,BM16&lt;=1.5),"HS",IF(AND(BM16&gt;=0.5,BM16&lt;=1),"NC",IF(AND(BM16&gt;=0,BM16&lt;=0.5),"OC",IF(BM16&lt;0,"H-OC","")))))</f>
        <v>H-OC</v>
      </c>
      <c r="BO16" s="109">
        <f>IF(BX16="","",BX16)</f>
        <v>7.2200000000351263</v>
      </c>
      <c r="BP16" s="37"/>
      <c r="BQ16" s="27">
        <f>BJ16/AL16</f>
        <v>1.3072999999999999</v>
      </c>
      <c r="BR16" s="26">
        <f>AL16/W16</f>
        <v>0.79365079365079361</v>
      </c>
      <c r="BS16" s="26" t="str">
        <f>IF(OR(BR16="",BH16=""),"",IF(AND(BR16&lt;1,BH16&gt;1),"NO",""))</f>
        <v>NO</v>
      </c>
      <c r="BU16" s="332">
        <v>0.27994505103187389</v>
      </c>
      <c r="BV16" s="23">
        <v>0.26887195383887663</v>
      </c>
      <c r="BW16" s="22">
        <f>(BQ16/BU16)^(1/0.8)</f>
        <v>6.8648030768341624</v>
      </c>
      <c r="BX16" s="21">
        <f>(BQ16/BV16)^(1/0.8)</f>
        <v>7.2200000000351263</v>
      </c>
      <c r="BY16" s="20">
        <f>BU16*BW16^0.8</f>
        <v>1.3073000000000001</v>
      </c>
      <c r="BZ16" s="19" t="str">
        <f>IF(BR16&lt;0.85,"",IF(AND(BR16&gt;=0.85,BR16&lt;=1.15),"=","&gt;"))</f>
        <v/>
      </c>
      <c r="CA16" s="19" t="str">
        <f>IF(BZ16="","",IF(AND(BQ16&gt;=0.2,BQ16&lt;=0.451),"OK","NO"))</f>
        <v/>
      </c>
      <c r="CB16" s="18" t="str">
        <f>IF(BZ16="","",IF(AL16&lt;=CF16/1.11,"OC","NC"))</f>
        <v/>
      </c>
      <c r="CC16" s="18" t="str">
        <f>IF(BZ16="","",IF(CA16="OK","NC","OC"))</f>
        <v/>
      </c>
      <c r="CD16" s="12">
        <f>IF(BQ16="","",IF(BW16="","",BW16*AL16))</f>
        <v>343.24015384170809</v>
      </c>
      <c r="CE16" s="17">
        <f>IF(BQ16="","",IF(BX16="","",BX16*AL16))</f>
        <v>361.00000000175629</v>
      </c>
      <c r="CF16" s="16">
        <f>AVERAGE(CD16:CD18)</f>
        <v>360.99999999609116</v>
      </c>
      <c r="CG16" s="15">
        <f>'[1]Oed s''p'!N20</f>
        <v>361</v>
      </c>
      <c r="CH16" s="127">
        <f>CG16/W16</f>
        <v>5.7301587301587302</v>
      </c>
      <c r="CI16" s="13" t="str">
        <f>IF(BQ16&lt;0.28,"Y","")</f>
        <v/>
      </c>
      <c r="CJ16" s="12" t="str">
        <f>IF(BQ16&lt;0.8,"Y","")</f>
        <v/>
      </c>
      <c r="CL16" s="125">
        <f>IFERROR(CE16-CG16,"")</f>
        <v>1.7562911125423852E-9</v>
      </c>
      <c r="CN16" s="7" t="str">
        <f>IF(OR(BS16="NO",BG16="TX-CID"),"",BH16)</f>
        <v/>
      </c>
      <c r="CO16" s="7" t="str">
        <f>IF(CN16="","",BQ16)</f>
        <v/>
      </c>
      <c r="CP16" s="10" t="str">
        <f>IF(CO16="","",BR16)</f>
        <v/>
      </c>
      <c r="CQ16" s="9" t="str">
        <f>IF(CO16="","",BV16)</f>
        <v/>
      </c>
      <c r="CR16" s="8" t="str">
        <f>IF(CU16="","",BX16)</f>
        <v/>
      </c>
      <c r="CS16" s="8" t="str">
        <f>IF(CR16="","",LN(CR16))</f>
        <v/>
      </c>
      <c r="CT16" s="8" t="str">
        <f>IF(CS16="","",BM16)</f>
        <v/>
      </c>
      <c r="CU16" s="7" t="str">
        <f>IF(CO16="","",BU16)</f>
        <v/>
      </c>
      <c r="CV16" s="6" t="str">
        <f>IF(CR16="","",CH16)</f>
        <v/>
      </c>
      <c r="CW16" s="5" t="str">
        <f>IF(CU16="","",E16)</f>
        <v/>
      </c>
      <c r="CY16" s="4" t="str">
        <f>IF(CW16="","",IF(H16=1,$DJ$3*CV16^0.8*W16,IF(H16=2,$DK$3*CV16^0.8*W16,IF(H16=3,$DL$3*CV16^0.8*W16,"ERR"))))</f>
        <v/>
      </c>
      <c r="CZ16" s="4" t="str">
        <f>IF(CY16="","",IF(BI16="OK",BJ16,""))</f>
        <v/>
      </c>
      <c r="DA16" s="4" t="str">
        <f>IF(CY16="","",IF(BK16="","",BK16))</f>
        <v/>
      </c>
      <c r="DB16" s="6" t="str">
        <f>IF(CW16="","",BM16)</f>
        <v/>
      </c>
      <c r="DD16" s="4">
        <f>IF(OR(CH16="",W16=""),"",IF(H16=1,$DJ$3*CH16^0.8*W16,IF(H16=2,$DK$3*CH16^0.8*W16,IF(H16=3,$DL$3*CH16^0.8*W16,"ERR"))))</f>
        <v>68.744449033832311</v>
      </c>
      <c r="DE16" s="4">
        <f>IF(OR(CH16="",W16=""),"",IF(H16=1,$DJ$3*W16,IF(H16=2,$DK$3*W16,IF(H16=3,$DL$3*W16,"ERR"))))</f>
        <v>17.010000000000002</v>
      </c>
      <c r="DF16" s="3">
        <f>IF(DE16="","",-1.485*LN(E16)+7.098)</f>
        <v>5.237646991784378</v>
      </c>
      <c r="DG16" s="4">
        <f>IF(OR(DF16="",W16=""),"",IF(H16=1,$DJ$3*DF16^0.8*W16,IF(H16=2,$DK$3*DF16^0.8*W16,IF(H16=3,$DL$3*CH16^0.8*W16,"ERR"))))</f>
        <v>63.975441713790005</v>
      </c>
    </row>
    <row r="17" spans="1:116" hidden="1">
      <c r="A17" s="51" t="str">
        <f>IF(B17="","",IF(F17&lt;10,CONCATENATE(B17," - 0",F17),CONCATENATE(B17," - ",F17)))</f>
        <v>LR10 - 03.5</v>
      </c>
      <c r="B17" s="414" t="s">
        <v>10</v>
      </c>
      <c r="C17" s="414">
        <v>3.35</v>
      </c>
      <c r="D17" s="414">
        <v>3.65</v>
      </c>
      <c r="E17" s="414">
        <v>3.5</v>
      </c>
      <c r="F17" s="414">
        <f>IF(E17="","",CEILING(E17,0.25))</f>
        <v>3.5</v>
      </c>
      <c r="G17" s="414" t="s">
        <v>8</v>
      </c>
      <c r="H17" s="413">
        <v>2</v>
      </c>
      <c r="I17" s="2">
        <v>18.48</v>
      </c>
      <c r="J17" s="2">
        <v>13.78</v>
      </c>
      <c r="K17" s="112">
        <v>0.34100000000000003</v>
      </c>
      <c r="L17" s="45">
        <v>1.032</v>
      </c>
      <c r="M17" s="49">
        <v>0.93</v>
      </c>
      <c r="N17" s="48">
        <v>5.5</v>
      </c>
      <c r="R17" s="47">
        <f>IF(L17="","",L17/(1+L17))</f>
        <v>0.50787401574803148</v>
      </c>
      <c r="S17" s="47" t="str">
        <f>IF(R17="","",IF(R17&lt;0.3,"S",IF(R17&lt;0.45,"L",IF(AND(R17&lt;0.5,R17&gt;=0.45),"C",IF(R17&gt;=0.5,"SC","")))))</f>
        <v>SC</v>
      </c>
      <c r="T17" s="46">
        <f>L17*9.81/($P$28*(1+L17))</f>
        <v>0.34297228736724572</v>
      </c>
      <c r="U17" s="37">
        <f>N17</f>
        <v>5.5</v>
      </c>
      <c r="V17" s="37">
        <f>IF(E17="","",IF(E17&lt;=10,IF(E17&lt;=N17,18*E17,18*N17+(18-0)*(E17-N17)),IF(AND(E17&gt;10,N17&lt;=10),18*N17+(18-0)*(10-N17)+(17.5-0)*(E17-10),IF(E17&lt;N17,(18*0)+17.5*(E17-10),(18*0)+17.5*(N17-10)+(17.5-0)*(E17-N17)))))</f>
        <v>63</v>
      </c>
      <c r="W17" s="37">
        <f>IF(E17="","",IF(E17&lt;=10,IF(E17&lt;=N17,18*E17,18*N17+(18-10)*(E17-N17)),IF(AND(E17&gt;10,N17&lt;=10),18*N17+(18-10)*(10-N17)+(17.5-10)*(E17-10),IF(E17&lt;N17,(18*10)+17.5*(E17-10),(18*10)+17.5*(N17-10)+(17.5-10)*(E17-N17)))))</f>
        <v>63</v>
      </c>
      <c r="Y17" s="45">
        <f>Y16</f>
        <v>1.085</v>
      </c>
      <c r="AE17" s="41">
        <v>0.96899999999999997</v>
      </c>
      <c r="AF17" s="40">
        <v>79.2</v>
      </c>
      <c r="AG17" s="3">
        <v>77.7</v>
      </c>
      <c r="AH17" s="3">
        <v>1128.1500000000001</v>
      </c>
      <c r="AI17" s="3">
        <v>1114.54</v>
      </c>
      <c r="AJ17" s="39">
        <f>IF(AF17="","",1-(AG17*AI17/AF17/AH17))</f>
        <v>3.0774907699518961E-2</v>
      </c>
      <c r="AK17" s="38">
        <v>0.10539999999999999</v>
      </c>
      <c r="AL17" s="34">
        <v>100</v>
      </c>
      <c r="AM17" s="28">
        <v>257.37</v>
      </c>
      <c r="AN17" s="37">
        <f>AL17-AQ17</f>
        <v>1.5999999999999943</v>
      </c>
      <c r="AO17" s="37">
        <f>AN17-AP17</f>
        <v>0</v>
      </c>
      <c r="AP17" s="37">
        <f>AM17-AR17</f>
        <v>1.5999999999999943</v>
      </c>
      <c r="AQ17" s="28">
        <v>98.4</v>
      </c>
      <c r="AR17" s="28">
        <v>255.77</v>
      </c>
      <c r="BB17" s="111">
        <f>(AM17-AL17)/AK17/1000</f>
        <v>1.4930740037950665</v>
      </c>
      <c r="BE17" s="109">
        <f>AL17/AJ17/1000</f>
        <v>3.2494004848489957</v>
      </c>
      <c r="BG17" s="32" t="s">
        <v>0</v>
      </c>
      <c r="BH17" s="31">
        <f>IF(OR(AE17="",Y17=""),"",Y17/AE17)</f>
        <v>1.1197110423116614</v>
      </c>
      <c r="BI17" s="30" t="str">
        <f>IF(OR(AE17="",Y17=""),"",IF(Y17/AE17&gt;1.05,"OC",IF(Y17/AE17&lt;0.95,"UC","OK")))</f>
        <v>OC</v>
      </c>
      <c r="BJ17" s="37">
        <f>(AM17-AL17)/2</f>
        <v>78.685000000000002</v>
      </c>
      <c r="BL17" s="37" t="str">
        <f>IF(BZ17="=",BJ17,"")</f>
        <v/>
      </c>
      <c r="BM17" s="110">
        <f>AN17/(AM17-AL17)</f>
        <v>1.0167122069009304E-2</v>
      </c>
      <c r="BN17" s="37" t="str">
        <f>IF(BM17="","",IF(AND(BM17&gt;=3/4,BM17&lt;=1.5),"HS",IF(AND(BM17&gt;=0.5,BM17&lt;=1),"NC",IF(AND(BM17&gt;=0,BM17&lt;=0.5),"OC",IF(BM17&lt;0,"H-OC","")))))</f>
        <v>OC</v>
      </c>
      <c r="BO17" s="109">
        <f>IF(BX17="","",BX17)</f>
        <v>3.6099999999960732</v>
      </c>
      <c r="BP17" s="37"/>
      <c r="BQ17" s="27">
        <f>BJ17/AL17</f>
        <v>0.78685000000000005</v>
      </c>
      <c r="BR17" s="26">
        <f>AL17/W17</f>
        <v>1.5873015873015872</v>
      </c>
      <c r="BS17" s="26" t="str">
        <f>IF(OR(BR17="",BH17=""),"",IF(AND(BR17&lt;1,BH17&gt;1),"NO",""))</f>
        <v/>
      </c>
      <c r="BU17" s="332">
        <f>BU16</f>
        <v>0.27994505103187389</v>
      </c>
      <c r="BV17" s="23">
        <v>0.28176444350970864</v>
      </c>
      <c r="BW17" s="22">
        <f>(BQ17/BU17)^(1/0.8)</f>
        <v>3.6393510009658057</v>
      </c>
      <c r="BX17" s="21">
        <f>(BQ17/BV17)^(1/0.8)</f>
        <v>3.6099999999960732</v>
      </c>
      <c r="BY17" s="20">
        <f>BU17*BW17^0.8</f>
        <v>0.78684999999999994</v>
      </c>
      <c r="BZ17" s="19" t="str">
        <f>IF(BR17&lt;0.85,"",IF(AND(BR17&gt;=0.85,BR17&lt;=1.15),"=","&gt;"))</f>
        <v>&gt;</v>
      </c>
      <c r="CA17" s="19" t="str">
        <f>IF(BZ17="","",IF(AND(BQ17&gt;=0.2,BQ17&lt;=0.451),"OK","NO"))</f>
        <v>NO</v>
      </c>
      <c r="CB17" s="18" t="str">
        <f>IF(BZ17="","",IF(AL17&lt;=CF16/1.11,"OC","NC"))</f>
        <v>OC</v>
      </c>
      <c r="CC17" s="18" t="str">
        <f>IF(BZ17="","",IF(CA17="OK","NC","OC"))</f>
        <v>OC</v>
      </c>
      <c r="CD17" s="12">
        <f>IF(BQ17="","",IF(BW17="","",BW17*AL17))</f>
        <v>363.93510009658058</v>
      </c>
      <c r="CE17" s="17">
        <f>IF(BQ17="","",IF(BX17="","",BX17*AL17))</f>
        <v>360.99999999960733</v>
      </c>
      <c r="CG17" s="15">
        <f>CG16</f>
        <v>361</v>
      </c>
      <c r="CH17" s="14">
        <f>CG17/W17</f>
        <v>5.7301587301587302</v>
      </c>
      <c r="CI17" s="13" t="str">
        <f>IF(BQ17&lt;0.28,"Y","")</f>
        <v/>
      </c>
      <c r="CJ17" s="12" t="str">
        <f>IF(BQ17&lt;0.8,"Y","")</f>
        <v>Y</v>
      </c>
      <c r="CK17" s="12" t="str">
        <f>IF(BQ17&lt;BQ16,"","ERR")</f>
        <v/>
      </c>
      <c r="CL17" s="11">
        <f>IFERROR(CE17-CG17,"")</f>
        <v>-3.9267433749046177E-10</v>
      </c>
      <c r="CN17" s="7">
        <f>IF(OR(BS17="NO",BG17="TX-CID"),"",BH17)</f>
        <v>1.1197110423116614</v>
      </c>
      <c r="CO17" s="7">
        <f>IF(CN17="","",BQ17)</f>
        <v>0.78685000000000005</v>
      </c>
      <c r="CP17" s="10">
        <f>IF(CO17="","",BR17)</f>
        <v>1.5873015873015872</v>
      </c>
      <c r="CQ17" s="9">
        <f>IF(CO17="","",BV17)</f>
        <v>0.28176444350970864</v>
      </c>
      <c r="CR17" s="8">
        <f>IF(CU17="","",BX17)</f>
        <v>3.6099999999960732</v>
      </c>
      <c r="CS17" s="8">
        <f>IF(CR17="","",LN(CR17))</f>
        <v>1.2837077723437018</v>
      </c>
      <c r="CT17" s="8">
        <f>IF(CS17="","",BM17)</f>
        <v>1.0167122069009304E-2</v>
      </c>
      <c r="CU17" s="7">
        <f>IF(CO17="","",BU17)</f>
        <v>0.27994505103187389</v>
      </c>
      <c r="CV17" s="6">
        <f>IF(CR17="","",CH16)</f>
        <v>5.7301587301587302</v>
      </c>
      <c r="CW17" s="5">
        <f>IF(CU17="","",E17)</f>
        <v>3.5</v>
      </c>
      <c r="CY17" s="4">
        <f>IF(CW17="","",IF(H17=1,$DJ$3*CV17^0.8*W17,IF(H17=2,$DK$3*CV17^0.8*W17,IF(H17=3,$DL$3*CV17^0.8*W17,"ERR"))))</f>
        <v>68.744449033832311</v>
      </c>
      <c r="CZ17" s="4" t="str">
        <f>IF(CY17="","",IF(BI17="OK",BJ17,""))</f>
        <v/>
      </c>
      <c r="DA17" s="4" t="str">
        <f>IF(CY17="","",IF(BK17="","",BK17))</f>
        <v/>
      </c>
      <c r="DB17" s="6">
        <f>IF(CW17="","",BM17)</f>
        <v>1.0167122069009304E-2</v>
      </c>
      <c r="DD17" s="4">
        <f>IF(OR(CH17="",W17=""),"",IF(H17=1,$DJ$3*CH17^0.8*W17,IF(H17=2,$DK$3*CH17^0.8*W17,IF(H17=3,$DL$3*CH17^0.8*W17,"ERR"))))</f>
        <v>68.744449033832311</v>
      </c>
      <c r="DE17" s="4">
        <f>IF(OR(CH17="",W17=""),"",IF(H17=1,$DJ$3*W17,IF(H17=2,$DK$3*W17,IF(H17=3,$DL$3*W17,"ERR"))))</f>
        <v>17.010000000000002</v>
      </c>
      <c r="DF17" s="3">
        <f>IF(DE17="","",-1.485*LN(E17)+7.098)</f>
        <v>5.237646991784378</v>
      </c>
      <c r="DG17" s="4">
        <f>IF(OR(DF17="",W17=""),"",IF(H17=1,$DJ$3*DF17^0.8*W17,IF(H17=2,$DK$3*DF17^0.8*W17,IF(H17=3,$DL$3*CH17^0.8*W17,"ERR"))))</f>
        <v>63.975441713790005</v>
      </c>
    </row>
    <row r="18" spans="1:116" s="162" customFormat="1" ht="15.75" hidden="1" customHeight="1">
      <c r="A18" s="286" t="str">
        <f>IF(B18="","",IF(F18&lt;10,CONCATENATE(B18," - 0",F18),CONCATENATE(B18," - ",F18)))</f>
        <v>LR10 - 03.5</v>
      </c>
      <c r="B18" s="412" t="s">
        <v>10</v>
      </c>
      <c r="C18" s="412">
        <v>3.35</v>
      </c>
      <c r="D18" s="412">
        <v>3.65</v>
      </c>
      <c r="E18" s="412">
        <v>3.5</v>
      </c>
      <c r="F18" s="412">
        <f>IF(E18="","",CEILING(E18,0.25))</f>
        <v>3.5</v>
      </c>
      <c r="G18" s="412" t="s">
        <v>8</v>
      </c>
      <c r="H18" s="411">
        <v>2</v>
      </c>
      <c r="I18" s="163">
        <v>18.46</v>
      </c>
      <c r="J18" s="163">
        <v>13.95</v>
      </c>
      <c r="K18" s="210">
        <v>0.32300000000000001</v>
      </c>
      <c r="L18" s="205">
        <v>1.0069999999999999</v>
      </c>
      <c r="M18" s="209">
        <v>0.9</v>
      </c>
      <c r="N18" s="208">
        <v>5.5</v>
      </c>
      <c r="O18" s="163"/>
      <c r="P18" s="163"/>
      <c r="Q18" s="207"/>
      <c r="R18" s="207">
        <f>IF(L18="","",L18/(1+L18))</f>
        <v>0.50174389636273042</v>
      </c>
      <c r="S18" s="207" t="str">
        <f>IF(R18="","",IF(R18&lt;0.3,"S",IF(R18&lt;0.45,"L",IF(AND(R18&lt;0.5,R18&gt;=0.45),"C",IF(R18&gt;=0.5,"SC","")))))</f>
        <v>SC</v>
      </c>
      <c r="T18" s="206">
        <f>L18*9.81/($P$28*(1+L18))</f>
        <v>0.33883255782366128</v>
      </c>
      <c r="U18" s="186">
        <f>N18</f>
        <v>5.5</v>
      </c>
      <c r="V18" s="186">
        <f>IF(E18="","",IF(E18&lt;=10,IF(E18&lt;=N18,18*E18,18*N18+(18-0)*(E18-N18)),IF(AND(E18&gt;10,N18&lt;=10),18*N18+(18-0)*(10-N18)+(17.5-0)*(E18-10),IF(E18&lt;N18,(18*0)+17.5*(E18-10),(18*0)+17.5*(N18-10)+(17.5-0)*(E18-N18)))))</f>
        <v>63</v>
      </c>
      <c r="W18" s="186">
        <f>IF(E18="","",IF(E18&lt;=10,IF(E18&lt;=N18,18*E18,18*N18+(18-10)*(E18-N18)),IF(AND(E18&gt;10,N18&lt;=10),18*N18+(18-10)*(10-N18)+(17.5-10)*(E18-10),IF(E18&lt;N18,(18*10)+17.5*(E18-10),(18*10)+17.5*(N18-10)+(17.5-10)*(E18-N18)))))</f>
        <v>63</v>
      </c>
      <c r="X18" s="197"/>
      <c r="Y18" s="205">
        <f>Y17</f>
        <v>1.085</v>
      </c>
      <c r="Z18" s="164"/>
      <c r="AA18" s="189"/>
      <c r="AB18" s="204"/>
      <c r="AC18" s="203"/>
      <c r="AD18" s="202"/>
      <c r="AE18" s="201">
        <v>0.88</v>
      </c>
      <c r="AF18" s="200">
        <v>79.5</v>
      </c>
      <c r="AG18" s="164">
        <v>78.849999999999994</v>
      </c>
      <c r="AH18" s="164">
        <v>1128.1500000000001</v>
      </c>
      <c r="AI18" s="164">
        <v>1065.55</v>
      </c>
      <c r="AJ18" s="199">
        <f>IF(AF18="","",1-(AG18*AI18/AF18/AH18))</f>
        <v>6.3211491401992004E-2</v>
      </c>
      <c r="AK18" s="198">
        <v>6.7400000000000002E-2</v>
      </c>
      <c r="AL18" s="197">
        <v>200</v>
      </c>
      <c r="AM18" s="189">
        <v>385.48</v>
      </c>
      <c r="AN18" s="186">
        <f>AL18-AQ18</f>
        <v>75.97</v>
      </c>
      <c r="AO18" s="186">
        <f>AN18-AP18</f>
        <v>0</v>
      </c>
      <c r="AP18" s="186">
        <f>AM18-AR18</f>
        <v>75.970000000000027</v>
      </c>
      <c r="AQ18" s="189">
        <v>124.03</v>
      </c>
      <c r="AR18" s="189">
        <v>309.51</v>
      </c>
      <c r="AS18" s="196"/>
      <c r="AT18" s="66"/>
      <c r="AU18" s="192"/>
      <c r="AV18" s="192"/>
      <c r="AW18" s="195"/>
      <c r="AX18" s="192"/>
      <c r="AY18" s="192"/>
      <c r="AZ18" s="192"/>
      <c r="BA18" s="195"/>
      <c r="BB18" s="194">
        <f>(AM18-AL18)/AK18/1000</f>
        <v>2.7519287833827892</v>
      </c>
      <c r="BC18" s="189"/>
      <c r="BD18" s="189"/>
      <c r="BE18" s="187">
        <f>AL18/AJ18/1000</f>
        <v>3.163981667955035</v>
      </c>
      <c r="BF18" s="193"/>
      <c r="BG18" s="192" t="s">
        <v>0</v>
      </c>
      <c r="BH18" s="191">
        <f>IF(OR(AE18="",Y18=""),"",Y18/AE18)</f>
        <v>1.2329545454545454</v>
      </c>
      <c r="BI18" s="190" t="str">
        <f>IF(OR(AE18="",Y18=""),"",IF(Y18/AE18&gt;1.05,"OC",IF(Y18/AE18&lt;0.95,"UC","OK")))</f>
        <v>OC</v>
      </c>
      <c r="BJ18" s="186">
        <f>(AM18-AL18)/2</f>
        <v>92.740000000000009</v>
      </c>
      <c r="BK18" s="189"/>
      <c r="BL18" s="186" t="str">
        <f>IF(BZ18="=",BJ18,"")</f>
        <v/>
      </c>
      <c r="BM18" s="188">
        <f>AN18/(AM18-AL18)</f>
        <v>0.40958593918481773</v>
      </c>
      <c r="BN18" s="186" t="str">
        <f>IF(BM18="","",IF(AND(BM18&gt;=3/4,BM18&lt;=1.5),"HS",IF(AND(BM18&gt;=0.5,BM18&lt;=1),"NC",IF(AND(BM18&gt;=0,BM18&lt;=0.5),"OC",IF(BM18&lt;0,"H-OC","")))))</f>
        <v>OC</v>
      </c>
      <c r="BO18" s="187">
        <f>IF(BX18="","",BX18)</f>
        <v>1.8049999999929836</v>
      </c>
      <c r="BP18" s="186"/>
      <c r="BQ18" s="185">
        <f>BJ18/AL18</f>
        <v>0.46370000000000006</v>
      </c>
      <c r="BR18" s="184">
        <f>AL18/W18</f>
        <v>3.1746031746031744</v>
      </c>
      <c r="BS18" s="184" t="str">
        <f>IF(OR(BR18="",BH18=""),"",IF(AND(BR18&lt;1,BH18&gt;1),"NO",""))</f>
        <v/>
      </c>
      <c r="BT18" s="183"/>
      <c r="BU18" s="331">
        <f>BU17</f>
        <v>0.27994505103187389</v>
      </c>
      <c r="BV18" s="181">
        <v>0.28910481903370999</v>
      </c>
      <c r="BW18" s="180">
        <f>(BQ18/BU18)^(1/0.8)</f>
        <v>1.8791237302499233</v>
      </c>
      <c r="BX18" s="179">
        <f>(BQ18/BV18)^(1/0.8)</f>
        <v>1.8049999999929836</v>
      </c>
      <c r="BY18" s="178">
        <f>BU18*BW18^0.8</f>
        <v>0.46370000000000006</v>
      </c>
      <c r="BZ18" s="177" t="str">
        <f>IF(BR18&lt;0.85,"",IF(AND(BR18&gt;=0.85,BR18&lt;=1.15),"=","&gt;"))</f>
        <v>&gt;</v>
      </c>
      <c r="CA18" s="177" t="str">
        <f>IF(BZ18="","",IF(AND(BQ18&gt;=0.2,BQ18&lt;=0.451),"OK","NO"))</f>
        <v>NO</v>
      </c>
      <c r="CB18" s="176" t="str">
        <f>IF(BZ18="","",IF(AL18&lt;=CF16/1.11,"OC","NC"))</f>
        <v>OC</v>
      </c>
      <c r="CC18" s="176" t="str">
        <f>IF(BZ18="","",IF(CA18="OK","NC","OC"))</f>
        <v>OC</v>
      </c>
      <c r="CD18" s="172">
        <f>IF(BQ18="","",IF(BW18="","",BW18*AL18))</f>
        <v>375.82474604998464</v>
      </c>
      <c r="CE18" s="175">
        <f>IF(BQ18="","",IF(BX18="","",BX18*AL18))</f>
        <v>360.99999999859671</v>
      </c>
      <c r="CF18" s="16"/>
      <c r="CG18" s="66">
        <f>CG17</f>
        <v>361</v>
      </c>
      <c r="CH18" s="14">
        <f>CG18/W18</f>
        <v>5.7301587301587302</v>
      </c>
      <c r="CI18" s="173" t="str">
        <f>IF(BQ18&lt;0.28,"Y","")</f>
        <v/>
      </c>
      <c r="CJ18" s="172" t="str">
        <f>IF(BQ18&lt;0.8,"Y","")</f>
        <v>Y</v>
      </c>
      <c r="CK18" s="172" t="str">
        <f>IF(BQ18&lt;BQ17,"","ERR")</f>
        <v/>
      </c>
      <c r="CL18" s="11">
        <f>IFERROR(CE18-CG18,"")</f>
        <v>-1.4032934814167675E-9</v>
      </c>
      <c r="CM18" s="163"/>
      <c r="CN18" s="168">
        <f>IF(OR(BS18="NO",BG18="TX-CID"),"",BH18)</f>
        <v>1.2329545454545454</v>
      </c>
      <c r="CO18" s="168">
        <f>IF(CN18="","",BQ18)</f>
        <v>0.46370000000000006</v>
      </c>
      <c r="CP18" s="171">
        <f>IF(CO18="","",BR18)</f>
        <v>3.1746031746031744</v>
      </c>
      <c r="CQ18" s="170">
        <f>IF(CO18="","",BV18)</f>
        <v>0.28910481903370999</v>
      </c>
      <c r="CR18" s="169">
        <f>IF(CU18="","",BX18)</f>
        <v>1.8049999999929836</v>
      </c>
      <c r="CS18" s="169">
        <f>IF(CR18="","",LN(CR18))</f>
        <v>0.59056059178095699</v>
      </c>
      <c r="CT18" s="169">
        <f>IF(CS18="","",BM18)</f>
        <v>0.40958593918481773</v>
      </c>
      <c r="CU18" s="168">
        <f>IF(CO18="","",BU18)</f>
        <v>0.27994505103187389</v>
      </c>
      <c r="CV18" s="166">
        <f>IF(CR18="","",CH16)</f>
        <v>5.7301587301587302</v>
      </c>
      <c r="CW18" s="167">
        <f>IF(CU18="","",E18)</f>
        <v>3.5</v>
      </c>
      <c r="CX18" s="167"/>
      <c r="CY18" s="165">
        <f>IF(CW18="","",IF(H18=1,$DJ$3*CV18^0.8*W18,IF(H18=2,$DK$3*CV18^0.8*W18,IF(H18=3,$DL$3*CV18^0.8*W18,"ERR"))))</f>
        <v>68.744449033832311</v>
      </c>
      <c r="CZ18" s="165" t="str">
        <f>IF(CY18="","",IF(BI18="OK",BJ18,""))</f>
        <v/>
      </c>
      <c r="DA18" s="165" t="str">
        <f>IF(CY18="","",IF(BK18="","",BK18))</f>
        <v/>
      </c>
      <c r="DB18" s="166">
        <f>IF(CW18="","",BM18)</f>
        <v>0.40958593918481773</v>
      </c>
      <c r="DC18" s="165"/>
      <c r="DD18" s="165">
        <f>IF(OR(CH18="",W18=""),"",IF(H18=1,$DJ$3*CH18^0.8*W18,IF(H18=2,$DK$3*CH18^0.8*W18,IF(H18=3,$DL$3*CH18^0.8*W18,"ERR"))))</f>
        <v>68.744449033832311</v>
      </c>
      <c r="DE18" s="165">
        <f>IF(OR(CH18="",W18=""),"",IF(H18=1,$DJ$3*W18,IF(H18=2,$DK$3*W18,IF(H18=3,$DL$3*W18,"ERR"))))</f>
        <v>17.010000000000002</v>
      </c>
      <c r="DF18" s="164">
        <f>IF(DE18="","",-1.485*LN(E18)+7.098)</f>
        <v>5.237646991784378</v>
      </c>
      <c r="DG18" s="165">
        <f>IF(OR(DF18="",W18=""),"",IF(H18=1,$DJ$3*DF18^0.8*W18,IF(H18=2,$DK$3*DF18^0.8*W18,IF(H18=3,$DL$3*CH18^0.8*W18,"ERR"))))</f>
        <v>63.975441713790005</v>
      </c>
      <c r="DH18" s="164"/>
      <c r="DJ18" s="163"/>
      <c r="DK18" s="163"/>
      <c r="DL18" s="163"/>
    </row>
    <row r="19" spans="1:116" s="367" customFormat="1" hidden="1">
      <c r="A19" s="398" t="str">
        <f>IF(B19="","",IF(F19&lt;10,CONCATENATE(B19," - 0",F19),CONCATENATE(B19," - ",F19)))</f>
        <v>LR10 - 07</v>
      </c>
      <c r="B19" s="410" t="s">
        <v>10</v>
      </c>
      <c r="C19" s="410">
        <v>6.7</v>
      </c>
      <c r="D19" s="410">
        <v>7</v>
      </c>
      <c r="E19" s="410">
        <v>6.85</v>
      </c>
      <c r="F19" s="410">
        <f>IF(E19="","",CEILING(E19,0.25))</f>
        <v>7</v>
      </c>
      <c r="G19" s="410" t="s">
        <v>8</v>
      </c>
      <c r="H19" s="409">
        <v>2</v>
      </c>
      <c r="I19" s="368">
        <v>18.420000000000002</v>
      </c>
      <c r="J19" s="368">
        <v>13.42</v>
      </c>
      <c r="K19" s="386">
        <v>0.373</v>
      </c>
      <c r="L19" s="391">
        <v>1.087</v>
      </c>
      <c r="M19" s="395">
        <v>0.94</v>
      </c>
      <c r="N19" s="394">
        <v>5.5</v>
      </c>
      <c r="O19" s="401">
        <f>(P19*(1+AVERAGE(L19:L21))+(9.81*M19*AVERAGE(L19:L21)))/(1+AVERAGE(L19:L21))</f>
        <v>17.852792075875787</v>
      </c>
      <c r="P19" s="401">
        <f>AVERAGE(J19:J21)</f>
        <v>12.863333333333335</v>
      </c>
      <c r="Q19" s="400">
        <f>AVERAGE(K19:K21)</f>
        <v>0.38033333333333336</v>
      </c>
      <c r="R19" s="393">
        <f>IF(L19="","",L19/(1+L19))</f>
        <v>0.52084331576425491</v>
      </c>
      <c r="S19" s="393" t="str">
        <f>IF(R19="","",IF(R19&lt;0.3,"S",IF(R19&lt;0.45,"L",IF(AND(R19&lt;0.5,R19&gt;=0.45),"C",IF(R19&gt;=0.5,"SC","")))))</f>
        <v>SC</v>
      </c>
      <c r="T19" s="392">
        <f>L19*9.81/($P$28*(1+L19))</f>
        <v>0.35173058244474587</v>
      </c>
      <c r="U19" s="341">
        <f>N19</f>
        <v>5.5</v>
      </c>
      <c r="V19" s="341">
        <f>IF(E19="","",IF(E19&lt;=10,IF(E19&lt;=N19,18*E19,18*N19+(18-0)*(E19-N19)),IF(AND(E19&gt;10,N19&lt;=10),18*N19+(18-0)*(10-N19)+(17.5-0)*(E19-10),IF(E19&lt;N19,(18*0)+17.5*(E19-10),(18*0)+17.5*(N19-10)+(17.5-0)*(E19-N19)))))</f>
        <v>123.3</v>
      </c>
      <c r="W19" s="341">
        <f>IF(E19="","",IF(E19&lt;=10,IF(E19&lt;=N19,18*E19,18*N19+(18-10)*(E19-N19)),IF(AND(E19&gt;10,N19&lt;=10),18*N19+(18-10)*(10-N19)+(17.5-10)*(E19-10),IF(E19&lt;N19,(18*10)+17.5*(E19-10),(18*10)+17.5*(N19-10)+(17.5-10)*(E19-N19)))))</f>
        <v>109.8</v>
      </c>
      <c r="X19" s="385"/>
      <c r="Y19" s="391">
        <v>1.163</v>
      </c>
      <c r="Z19" s="369">
        <v>3.2</v>
      </c>
      <c r="AA19" s="341">
        <v>366.40000000000003</v>
      </c>
      <c r="AB19" s="390"/>
      <c r="AC19" s="389"/>
      <c r="AD19" s="389"/>
      <c r="AE19" s="388">
        <v>1.08</v>
      </c>
      <c r="AF19" s="375">
        <v>79</v>
      </c>
      <c r="AG19" s="369">
        <v>79</v>
      </c>
      <c r="AH19" s="369">
        <v>1134.1099999999999</v>
      </c>
      <c r="AI19" s="369">
        <v>1130.32</v>
      </c>
      <c r="AJ19" s="387">
        <f>IF(AF19="","",1-(AG19*AI19/AF19/AH19))</f>
        <v>3.3418275123223706E-3</v>
      </c>
      <c r="AK19" s="386">
        <v>0.106</v>
      </c>
      <c r="AL19" s="385">
        <v>50</v>
      </c>
      <c r="AM19" s="341">
        <v>178.55</v>
      </c>
      <c r="AN19" s="341">
        <f>AL19-AQ19</f>
        <v>0</v>
      </c>
      <c r="AO19" s="341">
        <f>AN19-AP19</f>
        <v>0</v>
      </c>
      <c r="AP19" s="341">
        <f>AM19-AR19</f>
        <v>0</v>
      </c>
      <c r="AQ19" s="341">
        <v>50</v>
      </c>
      <c r="AR19" s="341">
        <v>178.55</v>
      </c>
      <c r="AS19" s="372"/>
      <c r="AT19" s="375"/>
      <c r="AU19" s="369"/>
      <c r="AV19" s="369">
        <v>20</v>
      </c>
      <c r="AW19" s="384">
        <v>26</v>
      </c>
      <c r="AX19" s="369"/>
      <c r="AY19" s="369"/>
      <c r="AZ19" s="369"/>
      <c r="BA19" s="384"/>
      <c r="BB19" s="375">
        <f>(AM19-AL19)/AK19/1000</f>
        <v>1.2127358490566038</v>
      </c>
      <c r="BC19" s="341"/>
      <c r="BD19" s="341"/>
      <c r="BE19" s="369">
        <f>AL19/AJ19/1000</f>
        <v>14.961873350923785</v>
      </c>
      <c r="BF19" s="383"/>
      <c r="BG19" s="382" t="s">
        <v>4</v>
      </c>
      <c r="BH19" s="381">
        <f>IF(OR(AE19="",Y19=""),"",Y19/AE19)</f>
        <v>1.0768518518518517</v>
      </c>
      <c r="BI19" s="417" t="str">
        <f>IF(OR(AE19="",Y19=""),"",IF(Y19/AE19&gt;1.05,"OC",IF(Y19/AE19&lt;0.95,"UC","OK")))</f>
        <v>OC</v>
      </c>
      <c r="BJ19" s="378"/>
      <c r="BK19" s="341"/>
      <c r="BL19" s="341"/>
      <c r="BM19" s="377"/>
      <c r="BN19" s="341"/>
      <c r="BO19" s="369" t="str">
        <f>IF(BX19="","",BX19)</f>
        <v/>
      </c>
      <c r="BP19" s="341"/>
      <c r="BQ19" s="379"/>
      <c r="BR19" s="341"/>
      <c r="BS19" s="341" t="str">
        <f>IF(OR(BR19="",BH19=""),"",IF(AND(BR19&lt;1,BH19&gt;1),"NO",""))</f>
        <v/>
      </c>
      <c r="BT19" s="378"/>
      <c r="BU19" s="332"/>
      <c r="BV19" s="332"/>
      <c r="BW19" s="378"/>
      <c r="BX19" s="378"/>
      <c r="BY19" s="332"/>
      <c r="BZ19" s="377"/>
      <c r="CA19" s="377" t="str">
        <f>IF(BZ19="","",IF(AND(BQ19&gt;=0.2,BQ19&lt;=0.451),"OK","NO"))</f>
        <v/>
      </c>
      <c r="CB19" s="332" t="str">
        <f>IF(BZ19="","",IF(AL19&lt;=CF19,"OC","NC"))</f>
        <v/>
      </c>
      <c r="CC19" s="332" t="str">
        <f>IF(BZ19="","",IF(CA19="OK","NC","OC"))</f>
        <v/>
      </c>
      <c r="CD19" s="369"/>
      <c r="CE19" s="369" t="str">
        <f>IF(BQ19="","",IF(BX19="","",BX19*AL19))</f>
        <v/>
      </c>
      <c r="CF19" s="419"/>
      <c r="CG19" s="375">
        <f>'[1]Oed s''p'!N23</f>
        <v>387.4</v>
      </c>
      <c r="CH19" s="399">
        <f>CG19/W19</f>
        <v>3.5282331511839709</v>
      </c>
      <c r="CI19" s="375"/>
      <c r="CJ19" s="369"/>
      <c r="CK19" s="369"/>
      <c r="CL19" s="399" t="str">
        <f>IFERROR(CE19-CG19,"")</f>
        <v/>
      </c>
      <c r="CM19" s="368"/>
      <c r="CN19" s="373" t="str">
        <f>IF(OR(BS19="NO",BG19="TX-CID"),"",BH19)</f>
        <v/>
      </c>
      <c r="CO19" s="373" t="str">
        <f>IF(CN19="","",BQ19)</f>
        <v/>
      </c>
      <c r="CP19" s="374" t="str">
        <f>IF(CO19="","",BR19)</f>
        <v/>
      </c>
      <c r="CQ19" s="373" t="str">
        <f>IF(CO19="","",BV19)</f>
        <v/>
      </c>
      <c r="CR19" s="371" t="str">
        <f>IF(CU19="","",BX19)</f>
        <v/>
      </c>
      <c r="CS19" s="371" t="str">
        <f>IF(CR19="","",LN(CR19))</f>
        <v/>
      </c>
      <c r="CT19" s="371" t="str">
        <f>IF(CS19="","",BM19)</f>
        <v/>
      </c>
      <c r="CU19" s="373" t="str">
        <f>IF(CO19="","",BU19)</f>
        <v/>
      </c>
      <c r="CV19" s="371" t="str">
        <f>IF(CR19="","",CH19)</f>
        <v/>
      </c>
      <c r="CW19" s="372" t="str">
        <f>IF(CU19="","",E19)</f>
        <v/>
      </c>
      <c r="CX19" s="372"/>
      <c r="CY19" s="370" t="str">
        <f>IF(CW19="","",IF(H19=1,$DJ$3*CV19^0.8*W19,IF(H19=2,$DK$3*CV19^0.8*W19,IF(H19=3,$DL$3*CV19^0.8*W19,"ERR"))))</f>
        <v/>
      </c>
      <c r="CZ19" s="370" t="str">
        <f>IF(CY19="","",IF(BI19="OK",BJ19,""))</f>
        <v/>
      </c>
      <c r="DA19" s="370" t="str">
        <f>IF(CY19="","",IF(BK19="","",BK19))</f>
        <v/>
      </c>
      <c r="DB19" s="371" t="str">
        <f>IF(CW19="","",BM19)</f>
        <v/>
      </c>
      <c r="DC19" s="370"/>
      <c r="DD19" s="370">
        <f>IF(OR(CH19="",W19=""),"",IF(H19=1,$DJ$3*CH19^0.8*W19,IF(H19=2,$DK$3*CH19^0.8*W19,IF(H19=3,$DL$3*CH19^0.8*W19,"ERR"))))</f>
        <v>81.285283597637616</v>
      </c>
      <c r="DE19" s="370">
        <f>IF(OR(CH19="",W19=""),"",IF(H19=1,$DJ$3*W19,IF(H19=2,$DK$3*W19,IF(H19=3,$DL$3*W19,"ERR"))))</f>
        <v>29.646000000000001</v>
      </c>
      <c r="DF19" s="369">
        <f>IF(DE19="","",-1.485*LN(E19)+7.098)</f>
        <v>4.2404907513729109</v>
      </c>
      <c r="DG19" s="370">
        <f>IF(OR(DF19="",W19=""),"",IF(H19=1,$DJ$3*DF19^0.8*W19,IF(H19=2,$DK$3*DF19^0.8*W19,IF(H19=3,$DL$3*CH19^0.8*W19,"ERR"))))</f>
        <v>94.167057629478421</v>
      </c>
      <c r="DH19" s="369"/>
      <c r="DJ19" s="368"/>
      <c r="DK19" s="368"/>
      <c r="DL19" s="368"/>
    </row>
    <row r="20" spans="1:116" s="367" customFormat="1" hidden="1">
      <c r="A20" s="398" t="str">
        <f>IF(B20="","",IF(F20&lt;10,CONCATENATE(B20," - 0",F20),CONCATENATE(B20," - ",F20)))</f>
        <v>LR10 - 07</v>
      </c>
      <c r="B20" s="410" t="s">
        <v>10</v>
      </c>
      <c r="C20" s="410">
        <v>6.7</v>
      </c>
      <c r="D20" s="410">
        <v>7</v>
      </c>
      <c r="E20" s="410">
        <v>6.85</v>
      </c>
      <c r="F20" s="410">
        <f>IF(E20="","",CEILING(E20,0.25))</f>
        <v>7</v>
      </c>
      <c r="G20" s="410" t="s">
        <v>8</v>
      </c>
      <c r="H20" s="409">
        <v>2</v>
      </c>
      <c r="I20" s="368">
        <v>17.43</v>
      </c>
      <c r="J20" s="368">
        <v>12.62</v>
      </c>
      <c r="K20" s="386">
        <v>0.38100000000000001</v>
      </c>
      <c r="L20" s="391">
        <v>1.2190000000000001</v>
      </c>
      <c r="M20" s="395">
        <v>0.86</v>
      </c>
      <c r="N20" s="394">
        <v>5.5</v>
      </c>
      <c r="O20" s="368"/>
      <c r="P20" s="368"/>
      <c r="Q20" s="393"/>
      <c r="R20" s="393">
        <f>IF(L20="","",L20/(1+L20))</f>
        <v>0.54934655250112663</v>
      </c>
      <c r="S20" s="393" t="str">
        <f>IF(R20="","",IF(R20&lt;0.3,"S",IF(R20&lt;0.45,"L",IF(AND(R20&lt;0.5,R20&gt;=0.45),"C",IF(R20&gt;=0.5,"SC","")))))</f>
        <v>SC</v>
      </c>
      <c r="T20" s="392">
        <f>L20*9.81/($P$28*(1+L20))</f>
        <v>0.37097909683589164</v>
      </c>
      <c r="U20" s="341">
        <f>N20</f>
        <v>5.5</v>
      </c>
      <c r="V20" s="341">
        <f>IF(E20="","",IF(E20&lt;=10,IF(E20&lt;=N20,18*E20,18*N20+(18-0)*(E20-N20)),IF(AND(E20&gt;10,N20&lt;=10),18*N20+(18-0)*(10-N20)+(17.5-0)*(E20-10),IF(E20&lt;N20,(18*0)+17.5*(E20-10),(18*0)+17.5*(N20-10)+(17.5-0)*(E20-N20)))))</f>
        <v>123.3</v>
      </c>
      <c r="W20" s="341">
        <f>IF(E20="","",IF(E20&lt;=10,IF(E20&lt;=N20,18*E20,18*N20+(18-10)*(E20-N20)),IF(AND(E20&gt;10,N20&lt;=10),18*N20+(18-10)*(10-N20)+(17.5-10)*(E20-10),IF(E20&lt;N20,(18*10)+17.5*(E20-10),(18*10)+17.5*(N20-10)+(17.5-10)*(E20-N20)))))</f>
        <v>109.8</v>
      </c>
      <c r="X20" s="385"/>
      <c r="Y20" s="391">
        <f>Y19</f>
        <v>1.163</v>
      </c>
      <c r="Z20" s="369"/>
      <c r="AA20" s="341"/>
      <c r="AB20" s="390"/>
      <c r="AC20" s="389"/>
      <c r="AD20" s="389"/>
      <c r="AE20" s="388">
        <v>1.1859999999999999</v>
      </c>
      <c r="AF20" s="375">
        <v>79.8</v>
      </c>
      <c r="AG20" s="369">
        <v>78.819999999999993</v>
      </c>
      <c r="AH20" s="369">
        <v>1122.1099999999999</v>
      </c>
      <c r="AI20" s="369">
        <v>1119.67</v>
      </c>
      <c r="AJ20" s="387">
        <f>IF(AF20="","",1-(AG20*AI20/AF20/AH20))</f>
        <v>1.442847255022528E-2</v>
      </c>
      <c r="AK20" s="386">
        <v>0.13500000000000001</v>
      </c>
      <c r="AL20" s="385">
        <v>100</v>
      </c>
      <c r="AM20" s="341">
        <v>362.9</v>
      </c>
      <c r="AN20" s="341">
        <f>AL20-AQ20</f>
        <v>0</v>
      </c>
      <c r="AO20" s="341">
        <f>AN20-AP20</f>
        <v>0</v>
      </c>
      <c r="AP20" s="341">
        <f>AM20-AR20</f>
        <v>0</v>
      </c>
      <c r="AQ20" s="341">
        <v>100</v>
      </c>
      <c r="AR20" s="341">
        <v>362.9</v>
      </c>
      <c r="AS20" s="372"/>
      <c r="AT20" s="375"/>
      <c r="AU20" s="369"/>
      <c r="AV20" s="369"/>
      <c r="AW20" s="384"/>
      <c r="AX20" s="369"/>
      <c r="AY20" s="369"/>
      <c r="AZ20" s="369"/>
      <c r="BA20" s="384"/>
      <c r="BB20" s="375">
        <f>(AM20-AL20)/AK20/1000</f>
        <v>1.9474074074074073</v>
      </c>
      <c r="BC20" s="341"/>
      <c r="BD20" s="341"/>
      <c r="BE20" s="369">
        <f>AL20/AJ20/1000</f>
        <v>6.930740565357949</v>
      </c>
      <c r="BF20" s="383"/>
      <c r="BG20" s="382" t="s">
        <v>4</v>
      </c>
      <c r="BH20" s="418">
        <f>IF(OR(AE20="",Y20=""),"",Y20/AE20)</f>
        <v>0.98060708263069152</v>
      </c>
      <c r="BI20" s="417" t="str">
        <f>IF(OR(AE20="",Y20=""),"",IF(Y20/AE20&gt;1.05,"OC",IF(Y20/AE20&lt;0.95,"UC","OK")))</f>
        <v>OK</v>
      </c>
      <c r="BJ20" s="341"/>
      <c r="BK20" s="341"/>
      <c r="BL20" s="341"/>
      <c r="BM20" s="377"/>
      <c r="BN20" s="341"/>
      <c r="BO20" s="369" t="str">
        <f>IF(BX20="","",BX20)</f>
        <v/>
      </c>
      <c r="BP20" s="341"/>
      <c r="BQ20" s="379"/>
      <c r="BR20" s="341"/>
      <c r="BS20" s="341" t="str">
        <f>IF(OR(BR20="",BH20=""),"",IF(AND(BR20&lt;1,BH20&gt;1),"NO",""))</f>
        <v/>
      </c>
      <c r="BT20" s="378"/>
      <c r="BU20" s="332"/>
      <c r="BV20" s="332"/>
      <c r="BW20" s="378"/>
      <c r="BX20" s="378"/>
      <c r="BY20" s="332"/>
      <c r="BZ20" s="377"/>
      <c r="CA20" s="377" t="str">
        <f>IF(BZ20="","",IF(AND(BQ20&gt;=0.2,BQ20&lt;=0.451),"OK","NO"))</f>
        <v/>
      </c>
      <c r="CB20" s="332" t="str">
        <f>IF(BZ20="","",IF(AL20&lt;=CF20,"OC","NC"))</f>
        <v/>
      </c>
      <c r="CC20" s="332" t="str">
        <f>IF(BZ20="","",IF(CA20="OK","NC","OC"))</f>
        <v/>
      </c>
      <c r="CD20" s="369"/>
      <c r="CE20" s="369" t="str">
        <f>IF(BQ20="","",IF(BX20="","",BX20*AL20))</f>
        <v/>
      </c>
      <c r="CF20" s="376"/>
      <c r="CG20" s="375">
        <f>CG19</f>
        <v>387.4</v>
      </c>
      <c r="CH20" s="341">
        <f>CG20/W20</f>
        <v>3.5282331511839709</v>
      </c>
      <c r="CI20" s="375"/>
      <c r="CJ20" s="369"/>
      <c r="CK20" s="369"/>
      <c r="CL20" s="341" t="str">
        <f>IFERROR(CE20-CG20,"")</f>
        <v/>
      </c>
      <c r="CM20" s="368"/>
      <c r="CN20" s="373" t="str">
        <f>IF(OR(BS20="NO",BG20="TX-CID"),"",BH20)</f>
        <v/>
      </c>
      <c r="CO20" s="373" t="str">
        <f>IF(CN20="","",BQ20)</f>
        <v/>
      </c>
      <c r="CP20" s="374" t="str">
        <f>IF(CO20="","",BR20)</f>
        <v/>
      </c>
      <c r="CQ20" s="373" t="str">
        <f>IF(CO20="","",BV20)</f>
        <v/>
      </c>
      <c r="CR20" s="371" t="str">
        <f>IF(CU20="","",BX20)</f>
        <v/>
      </c>
      <c r="CS20" s="371" t="str">
        <f>IF(CR20="","",LN(CR20))</f>
        <v/>
      </c>
      <c r="CT20" s="371" t="str">
        <f>IF(CS20="","",BM20)</f>
        <v/>
      </c>
      <c r="CU20" s="373" t="str">
        <f>IF(CO20="","",BU20)</f>
        <v/>
      </c>
      <c r="CV20" s="371" t="str">
        <f>IF(CR20="","",CH19)</f>
        <v/>
      </c>
      <c r="CW20" s="372" t="str">
        <f>IF(CU20="","",E20)</f>
        <v/>
      </c>
      <c r="CX20" s="372"/>
      <c r="CY20" s="370" t="str">
        <f>IF(CW20="","",IF(H20=1,$DJ$3*CV20^0.8*W20,IF(H20=2,$DK$3*CV20^0.8*W20,IF(H20=3,$DL$3*CV20^0.8*W20,"ERR"))))</f>
        <v/>
      </c>
      <c r="CZ20" s="370" t="str">
        <f>IF(CY20="","",IF(BI20="OK",BJ20,""))</f>
        <v/>
      </c>
      <c r="DA20" s="370" t="str">
        <f>IF(CY20="","",IF(BK20="","",BK20))</f>
        <v/>
      </c>
      <c r="DB20" s="371" t="str">
        <f>IF(CW20="","",BM20)</f>
        <v/>
      </c>
      <c r="DC20" s="370"/>
      <c r="DD20" s="370">
        <f>IF(OR(CH20="",W20=""),"",IF(H20=1,$DJ$3*CH20^0.8*W20,IF(H20=2,$DK$3*CH20^0.8*W20,IF(H20=3,$DL$3*CH20^0.8*W20,"ERR"))))</f>
        <v>81.285283597637616</v>
      </c>
      <c r="DE20" s="370">
        <f>IF(OR(CH20="",W20=""),"",IF(H20=1,$DJ$3*W20,IF(H20=2,$DK$3*W20,IF(H20=3,$DL$3*W20,"ERR"))))</f>
        <v>29.646000000000001</v>
      </c>
      <c r="DF20" s="369">
        <f>IF(DE20="","",-1.485*LN(E20)+7.098)</f>
        <v>4.2404907513729109</v>
      </c>
      <c r="DG20" s="370">
        <f>IF(OR(DF20="",W20=""),"",IF(H20=1,$DJ$3*DF20^0.8*W20,IF(H20=2,$DK$3*DF20^0.8*W20,IF(H20=3,$DL$3*CH20^0.8*W20,"ERR"))))</f>
        <v>94.167057629478421</v>
      </c>
      <c r="DH20" s="369"/>
      <c r="DJ20" s="368"/>
      <c r="DK20" s="368"/>
      <c r="DL20" s="368"/>
    </row>
    <row r="21" spans="1:116" s="333" customFormat="1" hidden="1">
      <c r="A21" s="366" t="str">
        <f>IF(B21="","",IF(F21&lt;10,CONCATENATE(B21," - 0",F21),CONCATENATE(B21," - ",F21)))</f>
        <v>LR10 - 07</v>
      </c>
      <c r="B21" s="408" t="s">
        <v>10</v>
      </c>
      <c r="C21" s="408">
        <v>6.7</v>
      </c>
      <c r="D21" s="408">
        <v>7</v>
      </c>
      <c r="E21" s="408">
        <v>6.85</v>
      </c>
      <c r="F21" s="408">
        <f>IF(E21="","",CEILING(E21,0.25))</f>
        <v>7</v>
      </c>
      <c r="G21" s="408" t="s">
        <v>8</v>
      </c>
      <c r="H21" s="407">
        <v>2</v>
      </c>
      <c r="I21" s="334">
        <v>17.41</v>
      </c>
      <c r="J21" s="334">
        <v>12.55</v>
      </c>
      <c r="K21" s="354">
        <v>0.38700000000000001</v>
      </c>
      <c r="L21" s="359">
        <v>1.2310000000000001</v>
      </c>
      <c r="M21" s="363">
        <v>0.86</v>
      </c>
      <c r="N21" s="362">
        <v>5.5</v>
      </c>
      <c r="O21" s="334"/>
      <c r="P21" s="334"/>
      <c r="Q21" s="361"/>
      <c r="R21" s="361">
        <f>IF(L21="","",L21/(1+L21))</f>
        <v>0.55177050649932768</v>
      </c>
      <c r="S21" s="361" t="str">
        <f>IF(R21="","",IF(R21&lt;0.3,"S",IF(R21&lt;0.45,"L",IF(AND(R21&lt;0.5,R21&gt;=0.45),"C",IF(R21&gt;=0.5,"SC","")))))</f>
        <v>SC</v>
      </c>
      <c r="T21" s="360">
        <f>L21*9.81/($P$28*(1+L21))</f>
        <v>0.37261601666533312</v>
      </c>
      <c r="U21" s="343">
        <f>N21</f>
        <v>5.5</v>
      </c>
      <c r="V21" s="343">
        <f>IF(E21="","",IF(E21&lt;=10,IF(E21&lt;=N21,18*E21,18*N21+(18-0)*(E21-N21)),IF(AND(E21&gt;10,N21&lt;=10),18*N21+(18-0)*(10-N21)+(17.5-0)*(E21-10),IF(E21&lt;N21,(18*0)+17.5*(E21-10),(18*0)+17.5*(N21-10)+(17.5-0)*(E21-N21)))))</f>
        <v>123.3</v>
      </c>
      <c r="W21" s="343">
        <f>IF(E21="","",IF(E21&lt;=10,IF(E21&lt;=N21,18*E21,18*N21+(18-10)*(E21-N21)),IF(AND(E21&gt;10,N21&lt;=10),18*N21+(18-10)*(10-N21)+(17.5-10)*(E21-10),IF(E21&lt;N21,(18*10)+17.5*(E21-10),(18*10)+17.5*(N21-10)+(17.5-10)*(E21-N21)))))</f>
        <v>109.8</v>
      </c>
      <c r="X21" s="353"/>
      <c r="Y21" s="359">
        <f>Y20</f>
        <v>1.163</v>
      </c>
      <c r="Z21" s="335"/>
      <c r="AA21" s="343"/>
      <c r="AB21" s="358"/>
      <c r="AC21" s="357"/>
      <c r="AD21" s="357"/>
      <c r="AE21" s="356">
        <v>1.155</v>
      </c>
      <c r="AF21" s="342">
        <v>79.5</v>
      </c>
      <c r="AG21" s="335">
        <v>77.489999999999995</v>
      </c>
      <c r="AH21" s="335">
        <v>1134.1099999999999</v>
      </c>
      <c r="AI21" s="335">
        <v>1123.53</v>
      </c>
      <c r="AJ21" s="355">
        <f>IF(AF21="","",1-(AG21*AI21/AF21/AH21))</f>
        <v>3.4376057162602613E-2</v>
      </c>
      <c r="AK21" s="354">
        <v>9.9000000000000005E-2</v>
      </c>
      <c r="AL21" s="353">
        <v>200</v>
      </c>
      <c r="AM21" s="343">
        <v>584.02</v>
      </c>
      <c r="AN21" s="343">
        <f>AL21-AQ21</f>
        <v>0</v>
      </c>
      <c r="AO21" s="343">
        <f>AN21-AP21</f>
        <v>0</v>
      </c>
      <c r="AP21" s="343">
        <f>AM21-AR21</f>
        <v>0</v>
      </c>
      <c r="AQ21" s="343">
        <v>200</v>
      </c>
      <c r="AR21" s="343">
        <v>584.02</v>
      </c>
      <c r="AS21" s="338"/>
      <c r="AT21" s="342"/>
      <c r="AU21" s="335"/>
      <c r="AV21" s="335"/>
      <c r="AW21" s="352"/>
      <c r="AX21" s="335"/>
      <c r="AY21" s="335"/>
      <c r="AZ21" s="335"/>
      <c r="BA21" s="352"/>
      <c r="BB21" s="342">
        <f>(AM21-AL21)/AK21/1000</f>
        <v>3.8789898989898988</v>
      </c>
      <c r="BC21" s="343"/>
      <c r="BD21" s="343"/>
      <c r="BE21" s="335">
        <f>AL21/AJ21/1000</f>
        <v>5.8180028923613181</v>
      </c>
      <c r="BF21" s="351"/>
      <c r="BG21" s="350" t="s">
        <v>4</v>
      </c>
      <c r="BH21" s="416">
        <f>IF(OR(AE21="",Y21=""),"",Y21/AE21)</f>
        <v>1.006926406926407</v>
      </c>
      <c r="BI21" s="415" t="str">
        <f>IF(OR(AE21="",Y21=""),"",IF(Y21/AE21&gt;1.05,"OC",IF(Y21/AE21&lt;0.95,"UC","OK")))</f>
        <v>OK</v>
      </c>
      <c r="BJ21" s="343"/>
      <c r="BK21" s="343"/>
      <c r="BL21" s="343"/>
      <c r="BM21" s="345"/>
      <c r="BN21" s="343"/>
      <c r="BO21" s="335" t="str">
        <f>IF(BX21="","",BX21)</f>
        <v/>
      </c>
      <c r="BP21" s="343"/>
      <c r="BQ21" s="347"/>
      <c r="BR21" s="343"/>
      <c r="BS21" s="343" t="str">
        <f>IF(OR(BR21="",BH21=""),"",IF(AND(BR21&lt;1,BH21&gt;1),"NO",""))</f>
        <v/>
      </c>
      <c r="BT21" s="346"/>
      <c r="BU21" s="331"/>
      <c r="BV21" s="331"/>
      <c r="BW21" s="346"/>
      <c r="BX21" s="346"/>
      <c r="BY21" s="331"/>
      <c r="BZ21" s="345"/>
      <c r="CA21" s="345" t="str">
        <f>IF(BZ21="","",IF(AND(BQ21&gt;=0.2,BQ21&lt;=0.451),"OK","NO"))</f>
        <v/>
      </c>
      <c r="CB21" s="331" t="str">
        <f>IF(BZ21="","",IF(AL21&lt;=CF21,"OC","NC"))</f>
        <v/>
      </c>
      <c r="CC21" s="331" t="str">
        <f>IF(BZ21="","",IF(CA21="OK","NC","OC"))</f>
        <v/>
      </c>
      <c r="CD21" s="335"/>
      <c r="CE21" s="335" t="str">
        <f>IF(BQ21="","",IF(BX21="","",BX21*AL21))</f>
        <v/>
      </c>
      <c r="CF21" s="344"/>
      <c r="CG21" s="342">
        <f>CG20</f>
        <v>387.4</v>
      </c>
      <c r="CH21" s="343">
        <f>CG21/W21</f>
        <v>3.5282331511839709</v>
      </c>
      <c r="CI21" s="342"/>
      <c r="CJ21" s="335"/>
      <c r="CK21" s="335"/>
      <c r="CL21" s="341" t="str">
        <f>IFERROR(CE21-CG21,"")</f>
        <v/>
      </c>
      <c r="CM21" s="334"/>
      <c r="CN21" s="339" t="str">
        <f>IF(OR(BS21="NO",BG21="TX-CID"),"",BH21)</f>
        <v/>
      </c>
      <c r="CO21" s="339" t="str">
        <f>IF(CN21="","",BQ21)</f>
        <v/>
      </c>
      <c r="CP21" s="340" t="str">
        <f>IF(CO21="","",BR21)</f>
        <v/>
      </c>
      <c r="CQ21" s="339" t="str">
        <f>IF(CO21="","",BV21)</f>
        <v/>
      </c>
      <c r="CR21" s="337" t="str">
        <f>IF(CU21="","",BX21)</f>
        <v/>
      </c>
      <c r="CS21" s="337" t="str">
        <f>IF(CR21="","",LN(CR21))</f>
        <v/>
      </c>
      <c r="CT21" s="337" t="str">
        <f>IF(CS21="","",BM21)</f>
        <v/>
      </c>
      <c r="CU21" s="339" t="str">
        <f>IF(CO21="","",BU21)</f>
        <v/>
      </c>
      <c r="CV21" s="337" t="str">
        <f>IF(CR21="","",CH19)</f>
        <v/>
      </c>
      <c r="CW21" s="338" t="str">
        <f>IF(CU21="","",E21)</f>
        <v/>
      </c>
      <c r="CX21" s="338"/>
      <c r="CY21" s="336" t="str">
        <f>IF(CW21="","",IF(H21=1,$DJ$3*CV21^0.8*W21,IF(H21=2,$DK$3*CV21^0.8*W21,IF(H21=3,$DL$3*CV21^0.8*W21,"ERR"))))</f>
        <v/>
      </c>
      <c r="CZ21" s="336" t="str">
        <f>IF(CY21="","",IF(BI21="OK",BJ21,""))</f>
        <v/>
      </c>
      <c r="DA21" s="336" t="str">
        <f>IF(CY21="","",IF(BK21="","",BK21))</f>
        <v/>
      </c>
      <c r="DB21" s="337" t="str">
        <f>IF(CW21="","",BM21)</f>
        <v/>
      </c>
      <c r="DC21" s="336"/>
      <c r="DD21" s="336">
        <f>IF(OR(CH21="",W21=""),"",IF(H21=1,$DJ$3*CH21^0.8*W21,IF(H21=2,$DK$3*CH21^0.8*W21,IF(H21=3,$DL$3*CH21^0.8*W21,"ERR"))))</f>
        <v>81.285283597637616</v>
      </c>
      <c r="DE21" s="336">
        <f>IF(OR(CH21="",W21=""),"",IF(H21=1,$DJ$3*W21,IF(H21=2,$DK$3*W21,IF(H21=3,$DL$3*W21,"ERR"))))</f>
        <v>29.646000000000001</v>
      </c>
      <c r="DF21" s="335">
        <f>IF(DE21="","",-1.485*LN(E21)+7.098)</f>
        <v>4.2404907513729109</v>
      </c>
      <c r="DG21" s="336">
        <f>IF(OR(DF21="",W21=""),"",IF(H21=1,$DJ$3*DF21^0.8*W21,IF(H21=2,$DK$3*DF21^0.8*W21,IF(H21=3,$DL$3*CH21^0.8*W21,"ERR"))))</f>
        <v>94.167057629478421</v>
      </c>
      <c r="DH21" s="335"/>
      <c r="DJ21" s="334"/>
      <c r="DK21" s="334"/>
      <c r="DL21" s="334"/>
    </row>
    <row r="22" spans="1:116" hidden="1">
      <c r="A22" s="51" t="str">
        <f>IF(B22="","",IF(F22&lt;10,CONCATENATE(B22," - 0",F22),CONCATENATE(B22," - ",F22)))</f>
        <v>LR11 - 06.75</v>
      </c>
      <c r="B22" s="414" t="s">
        <v>9</v>
      </c>
      <c r="C22" s="414">
        <v>6.45</v>
      </c>
      <c r="D22" s="414">
        <v>6.75</v>
      </c>
      <c r="E22" s="414">
        <v>6.6</v>
      </c>
      <c r="F22" s="414">
        <f>IF(E22="","",CEILING(E22,0.25))</f>
        <v>6.75</v>
      </c>
      <c r="G22" s="414" t="s">
        <v>8</v>
      </c>
      <c r="H22" s="413">
        <v>2</v>
      </c>
      <c r="I22" s="2">
        <v>18.39</v>
      </c>
      <c r="J22" s="2">
        <v>13.44</v>
      </c>
      <c r="K22" s="112">
        <v>0.36799999999999999</v>
      </c>
      <c r="L22" s="45">
        <v>1.083</v>
      </c>
      <c r="M22" s="49">
        <v>0.95</v>
      </c>
      <c r="N22" s="48">
        <v>6.5</v>
      </c>
      <c r="O22" s="218">
        <f>(P22*(1+AVERAGE(L22:L24))+(9.81*M22*AVERAGE(L22:L24)))/(1+AVERAGE(L22:L24))</f>
        <v>18.221125423011841</v>
      </c>
      <c r="P22" s="217">
        <f>AVERAGE(J22:J24)</f>
        <v>13.336666666666666</v>
      </c>
      <c r="Q22" s="216">
        <f>AVERAGE(K22:K24)</f>
        <v>0.3773333333333333</v>
      </c>
      <c r="R22" s="47">
        <f>IF(L22="","",L22/(1+L22))</f>
        <v>0.51992318771003354</v>
      </c>
      <c r="S22" s="47" t="str">
        <f>IF(R22="","",IF(R22&lt;0.3,"S",IF(R22&lt;0.45,"L",IF(AND(R22&lt;0.5,R22&gt;=0.45),"C",IF(R22&gt;=0.5,"SC","")))))</f>
        <v>SC</v>
      </c>
      <c r="T22" s="46">
        <f>L22*9.81/($P$28*(1+L22))</f>
        <v>0.35110921097536235</v>
      </c>
      <c r="U22" s="37">
        <f>N22</f>
        <v>6.5</v>
      </c>
      <c r="V22" s="37">
        <f>IF(E22="","",IF(E22&lt;=10,IF(E22&lt;=N22,18*E22,18*N22+(18-0)*(E22-N22)),IF(AND(E22&gt;10,N22&lt;=10),18*N22+(18-0)*(10-N22)+(17.5-0)*(E22-10),IF(E22&lt;N22,(18*0)+17.5*(E22-10),(18*0)+17.5*(N22-10)+(17.5-0)*(E22-N22)))))</f>
        <v>118.8</v>
      </c>
      <c r="W22" s="37">
        <f>IF(E22="","",IF(E22&lt;=10,IF(E22&lt;=N22,18*E22,18*N22+(18-10)*(E22-N22)),IF(AND(E22&gt;10,N22&lt;=10),18*N22+(18-10)*(10-N22)+(17.5-10)*(E22-10),IF(E22&lt;N22,(18*10)+17.5*(E22-10),(18*10)+17.5*(N22-10)+(17.5-10)*(E22-N22)))))</f>
        <v>117.8</v>
      </c>
      <c r="AE22" s="41">
        <v>1.0589999999999999</v>
      </c>
      <c r="AF22" s="40">
        <v>79.2</v>
      </c>
      <c r="AG22" s="3">
        <v>78.400000000000006</v>
      </c>
      <c r="AH22" s="3">
        <v>1116.28</v>
      </c>
      <c r="AI22" s="3">
        <v>1114.9100000000001</v>
      </c>
      <c r="AJ22" s="39">
        <f>IF(AF22="","",1-(AG22*AI22/AF22/AH22))</f>
        <v>1.1315903869743127E-2</v>
      </c>
      <c r="AK22" s="38">
        <v>9.8000000000000004E-2</v>
      </c>
      <c r="AL22" s="34">
        <v>50</v>
      </c>
      <c r="AM22" s="28">
        <v>230.24</v>
      </c>
      <c r="AN22" s="37">
        <f>AL22-AQ22</f>
        <v>-7.2000000000000028</v>
      </c>
      <c r="AO22" s="37">
        <f>AN22-AP22</f>
        <v>9.9999999999766942E-3</v>
      </c>
      <c r="AP22" s="37">
        <f>AM22-AR22</f>
        <v>-7.2099999999999795</v>
      </c>
      <c r="AQ22" s="28">
        <v>57.2</v>
      </c>
      <c r="AR22" s="28">
        <v>237.45</v>
      </c>
      <c r="AT22" s="15">
        <v>23</v>
      </c>
      <c r="AU22" s="32">
        <v>29</v>
      </c>
      <c r="AV22" s="32">
        <v>5</v>
      </c>
      <c r="AW22" s="35">
        <v>37</v>
      </c>
      <c r="BB22" s="111">
        <f>(AM22-AL22)/AK22/1000</f>
        <v>1.8391836734693876</v>
      </c>
      <c r="BE22" s="109">
        <f>AL22/AJ22/1000</f>
        <v>4.4185599820878476</v>
      </c>
      <c r="BG22" s="32" t="s">
        <v>0</v>
      </c>
      <c r="BH22" s="31" t="str">
        <f>IF(OR(AE22="",Y22=""),"",Y22/AE22)</f>
        <v/>
      </c>
      <c r="BI22" s="30" t="str">
        <f>IF(OR(AE22="",Y22=""),"",IF(Y22/AE22&gt;1.05,"OC",IF(Y22/AE22&lt;0.95,"UC","OK")))</f>
        <v/>
      </c>
      <c r="BJ22" s="37">
        <f>(AM22-AL22)/2</f>
        <v>90.12</v>
      </c>
      <c r="BK22" s="37">
        <f>AVERAGE(BJ22:BJ24)+(_xlfn.COVARIANCE.P(AL22:AL24,BJ22:BJ24)/_xlfn.STDEV.P(AL22:AL24)^2)*(W22-AVERAGE(AL22:AL24))</f>
        <v>144.18130571428571</v>
      </c>
      <c r="BL22" s="37" t="str">
        <f>IF(BZ22="=",BJ22,"")</f>
        <v/>
      </c>
      <c r="BM22" s="110">
        <f>AN22/(AM22-AL22)</f>
        <v>-3.9946737683089227E-2</v>
      </c>
      <c r="BN22" s="214" t="str">
        <f>IF(BM22="","",IF(AND(BM22&gt;=3/4,BM22&lt;=1.5),"HS",IF(AND(BM22&gt;=0.5,BM22&lt;=1),"NC",IF(AND(BM22&gt;=0,BM22&lt;=0.5),"OC",IF(BM22&lt;0,"H-OC","")))))</f>
        <v>H-OC</v>
      </c>
      <c r="BO22" s="109" t="str">
        <f>IF(BX22="","",BX22)</f>
        <v/>
      </c>
      <c r="BP22" s="37"/>
      <c r="BQ22" s="27">
        <f>BJ22/AL22</f>
        <v>1.8024</v>
      </c>
      <c r="BR22" s="26">
        <f>AL22/W22</f>
        <v>0.42444821731748728</v>
      </c>
      <c r="BS22" s="26" t="str">
        <f>IF(OR(BR22="",BH22=""),"",IF(AND(BR22&lt;1,BH22&gt;1),"NO",""))</f>
        <v/>
      </c>
      <c r="BU22" s="332">
        <v>0.27</v>
      </c>
      <c r="BW22" s="22">
        <f>(BQ22/BU22)^(1/0.8)</f>
        <v>10.730235858796963</v>
      </c>
      <c r="BY22" s="20">
        <f>BU22*BW22^0.8</f>
        <v>1.8024000000000007</v>
      </c>
      <c r="BZ22" s="19" t="str">
        <f>IF(BR22&lt;0.85,"",IF(AND(BR22&gt;=0.85,BR22&lt;=1.15),"=","&gt;"))</f>
        <v/>
      </c>
      <c r="CA22" s="19" t="str">
        <f>IF(BZ22="","",IF(AND(BQ22&gt;=0.2,BQ22&lt;=0.451),"OK","NO"))</f>
        <v/>
      </c>
      <c r="CB22" s="18" t="str">
        <f>IF(BZ22="","",IF(AL22&lt;=CF22/1.11,"OC","NC"))</f>
        <v/>
      </c>
      <c r="CC22" s="18" t="str">
        <f>IF(BZ22="","",IF(CA22="OK","NC","OC"))</f>
        <v/>
      </c>
      <c r="CD22" s="12">
        <f>IF(BQ22="","",IF(BW22="","",BW22*AL22))</f>
        <v>536.51179293984819</v>
      </c>
      <c r="CE22" s="17" t="str">
        <f>IF(BQ22="","",IF(BX22="","",BX22*AL22))</f>
        <v/>
      </c>
      <c r="CF22" s="16">
        <f>AVERAGE(CD22:CD24)</f>
        <v>777.70442255739215</v>
      </c>
      <c r="CI22" s="13" t="str">
        <f>IF(BQ22&lt;0.28,"Y","")</f>
        <v/>
      </c>
      <c r="CJ22" s="12" t="str">
        <f>IF(BQ22&lt;0.8,"Y","")</f>
        <v/>
      </c>
      <c r="CL22" s="125" t="str">
        <f>IFERROR(CE22-CG22,"")</f>
        <v/>
      </c>
      <c r="CN22" s="7" t="str">
        <f>IF(OR(BS22="NO",BG22="TX-CID"),"",BH22)</f>
        <v/>
      </c>
      <c r="CO22" s="7" t="str">
        <f>IF(CN22="","",BQ22)</f>
        <v/>
      </c>
      <c r="CP22" s="10" t="str">
        <f>IF(CO22="","",BR22)</f>
        <v/>
      </c>
      <c r="CQ22" s="9" t="str">
        <f>IF(CO22="","",BV22)</f>
        <v/>
      </c>
      <c r="CR22" s="8" t="str">
        <f>IF(CU22="","",BX22)</f>
        <v/>
      </c>
      <c r="CS22" s="8" t="str">
        <f>IF(CR22="","",LN(CR22))</f>
        <v/>
      </c>
      <c r="CT22" s="8" t="str">
        <f>IF(CS22="","",BM22)</f>
        <v/>
      </c>
      <c r="CU22" s="7" t="str">
        <f>IF(CO22="","",BU22)</f>
        <v/>
      </c>
      <c r="CV22" s="6" t="str">
        <f>IF(CR22="","",CH22)</f>
        <v/>
      </c>
      <c r="CW22" s="5" t="str">
        <f>IF(CU22="","",E22)</f>
        <v/>
      </c>
      <c r="CY22" s="4" t="str">
        <f>IF(CW22="","",IF(H22=1,$DJ$3*CV22^0.8*W22,IF(H22=2,$DK$3*CV22^0.8*W22,IF(H22=3,$DL$3*CV22^0.8*W22,"ERR"))))</f>
        <v/>
      </c>
      <c r="CZ22" s="4" t="str">
        <f>IF(CY22="","",IF(BI22="OK",BJ22,""))</f>
        <v/>
      </c>
      <c r="DA22" s="4" t="str">
        <f>IF(CY22="","",IF(BK22="","",BK22))</f>
        <v/>
      </c>
      <c r="DB22" s="6" t="str">
        <f>IF(CW22="","",BM22)</f>
        <v/>
      </c>
      <c r="DD22" s="4" t="str">
        <f>IF(OR(CH22="",W22=""),"",IF(H22=1,$DJ$3*CH22^0.8*W22,IF(H22=2,$DK$3*CH22^0.8*W22,IF(H22=3,$DL$3*CH22^0.8*W22,"ERR"))))</f>
        <v/>
      </c>
      <c r="DE22" s="4" t="str">
        <f>IF(OR(CH22="",W22=""),"",IF(H22=1,$DJ$3*W22,IF(H22=2,$DK$3*W22,IF(H22=3,$DL$3*W22,"ERR"))))</f>
        <v/>
      </c>
      <c r="DF22" s="3" t="str">
        <f>IF(DE22="","",-1.485*LN(E22)+7.098)</f>
        <v/>
      </c>
      <c r="DG22" s="4" t="str">
        <f>IF(OR(DF22="",W22=""),"",IF(H22=1,$DJ$3*DF22^0.8*W22,IF(H22=2,$DK$3*DF22^0.8*W22,IF(H22=3,$DL$3*CH22^0.8*W22,"ERR"))))</f>
        <v/>
      </c>
    </row>
    <row r="23" spans="1:116" hidden="1">
      <c r="A23" s="51" t="str">
        <f>IF(B23="","",IF(F23&lt;10,CONCATENATE(B23," - 0",F23),CONCATENATE(B23," - ",F23)))</f>
        <v>LR11 - 06.75</v>
      </c>
      <c r="B23" s="414" t="s">
        <v>9</v>
      </c>
      <c r="C23" s="414">
        <v>6.45</v>
      </c>
      <c r="D23" s="414">
        <v>6.75</v>
      </c>
      <c r="E23" s="414">
        <v>6.6</v>
      </c>
      <c r="F23" s="414">
        <f>IF(E23="","",CEILING(E23,0.25))</f>
        <v>6.75</v>
      </c>
      <c r="G23" s="414" t="s">
        <v>8</v>
      </c>
      <c r="H23" s="413">
        <v>2</v>
      </c>
      <c r="I23" s="2">
        <v>18.12</v>
      </c>
      <c r="J23" s="2">
        <v>12.81</v>
      </c>
      <c r="K23" s="112">
        <v>0.41499999999999998</v>
      </c>
      <c r="L23" s="45">
        <v>1.1859999999999999</v>
      </c>
      <c r="M23" s="49">
        <v>0.98</v>
      </c>
      <c r="N23" s="48">
        <v>6.5</v>
      </c>
      <c r="R23" s="47">
        <f>IF(L23="","",L23/(1+L23))</f>
        <v>0.54254345837145468</v>
      </c>
      <c r="S23" s="47" t="str">
        <f>IF(R23="","",IF(R23&lt;0.3,"S",IF(R23&lt;0.45,"L",IF(AND(R23&lt;0.5,R23&gt;=0.45),"C",IF(R23&gt;=0.5,"SC","")))))</f>
        <v>SC</v>
      </c>
      <c r="T23" s="46">
        <f>L23*9.81/($P$28*(1+L23))</f>
        <v>0.36638490086902054</v>
      </c>
      <c r="U23" s="37">
        <f>N23</f>
        <v>6.5</v>
      </c>
      <c r="V23" s="37">
        <f>IF(E23="","",IF(E23&lt;=10,IF(E23&lt;=N23,18*E23,18*N23+(18-0)*(E23-N23)),IF(AND(E23&gt;10,N23&lt;=10),18*N23+(18-0)*(10-N23)+(17.5-0)*(E23-10),IF(E23&lt;N23,(18*0)+17.5*(E23-10),(18*0)+17.5*(N23-10)+(17.5-0)*(E23-N23)))))</f>
        <v>118.8</v>
      </c>
      <c r="W23" s="37">
        <f>IF(E23="","",IF(E23&lt;=10,IF(E23&lt;=N23,18*E23,18*N23+(18-10)*(E23-N23)),IF(AND(E23&gt;10,N23&lt;=10),18*N23+(18-10)*(10-N23)+(17.5-10)*(E23-10),IF(E23&lt;N23,(18*10)+17.5*(E23-10),(18*10)+17.5*(N23-10)+(17.5-10)*(E23-N23)))))</f>
        <v>117.8</v>
      </c>
      <c r="AE23" s="41">
        <v>1.111</v>
      </c>
      <c r="AF23" s="40">
        <v>79.5</v>
      </c>
      <c r="AG23" s="3">
        <v>77.900000000000006</v>
      </c>
      <c r="AH23" s="3">
        <v>1098.58</v>
      </c>
      <c r="AI23" s="3">
        <v>1082.6400000000001</v>
      </c>
      <c r="AJ23" s="39">
        <f>IF(AF23="","",1-(AG23*AI23/AF23/AH23))</f>
        <v>3.4343407973998485E-2</v>
      </c>
      <c r="AK23" s="38">
        <v>9.4899999999999998E-2</v>
      </c>
      <c r="AL23" s="34">
        <v>100</v>
      </c>
      <c r="AM23" s="28">
        <v>313.38</v>
      </c>
      <c r="AN23" s="37">
        <f>AL23-AQ23</f>
        <v>20.739999999999995</v>
      </c>
      <c r="AO23" s="37">
        <f>AN23-AP23</f>
        <v>0</v>
      </c>
      <c r="AP23" s="37">
        <f>AM23-AR23</f>
        <v>20.740000000000009</v>
      </c>
      <c r="AQ23" s="28">
        <v>79.260000000000005</v>
      </c>
      <c r="AR23" s="28">
        <v>292.64</v>
      </c>
      <c r="BB23" s="111">
        <f>(AM23-AL23)/AK23/1000</f>
        <v>2.2484720758693362</v>
      </c>
      <c r="BE23" s="109">
        <f>AL23/AJ23/1000</f>
        <v>2.9117669415833847</v>
      </c>
      <c r="BG23" s="32" t="s">
        <v>0</v>
      </c>
      <c r="BH23" s="31" t="str">
        <f>IF(OR(AE23="",Y23=""),"",Y23/AE23)</f>
        <v/>
      </c>
      <c r="BI23" s="30" t="str">
        <f>IF(OR(AE23="",Y23=""),"",IF(Y23/AE23&gt;1.05,"OC",IF(Y23/AE23&lt;0.95,"UC","OK")))</f>
        <v/>
      </c>
      <c r="BJ23" s="37">
        <f>(AM23-AL23)/2</f>
        <v>106.69</v>
      </c>
      <c r="BL23" s="37" t="str">
        <f>IF(BZ23="=",BJ23,"")</f>
        <v/>
      </c>
      <c r="BM23" s="110">
        <f>AN23/(AM23-AL23)</f>
        <v>9.7197488049489147E-2</v>
      </c>
      <c r="BN23" s="37" t="str">
        <f>IF(BM23="","",IF(AND(BM23&gt;=3/4,BM23&lt;=1.5),"HS",IF(AND(BM23&gt;=0.5,BM23&lt;=1),"NC",IF(AND(BM23&gt;=0,BM23&lt;=0.5),"OC",IF(BM23&lt;0,"H-OC","")))))</f>
        <v>OC</v>
      </c>
      <c r="BO23" s="109" t="str">
        <f>IF(BX23="","",BX23)</f>
        <v/>
      </c>
      <c r="BP23" s="37"/>
      <c r="BQ23" s="27">
        <f>BJ23/AL23</f>
        <v>1.0669</v>
      </c>
      <c r="BR23" s="26">
        <f>AL23/W23</f>
        <v>0.84889643463497455</v>
      </c>
      <c r="BS23" s="26" t="str">
        <f>IF(OR(BR23="",BH23=""),"",IF(AND(BR23&lt;1,BH23&gt;1),"NO",""))</f>
        <v/>
      </c>
      <c r="BU23" s="332">
        <f>BU22</f>
        <v>0.27</v>
      </c>
      <c r="BW23" s="22">
        <f>(BQ23/BU23)^(1/0.8)</f>
        <v>5.5712152562343453</v>
      </c>
      <c r="BY23" s="20">
        <f>BU23*BW23^0.8</f>
        <v>1.0669</v>
      </c>
      <c r="BZ23" s="19" t="str">
        <f>IF(BR23&lt;0.85,"",IF(AND(BR23&gt;=0.85,BR23&lt;=1.15),"=","&gt;"))</f>
        <v/>
      </c>
      <c r="CA23" s="19" t="str">
        <f>IF(BZ23="","",IF(AND(BQ23&gt;=0.2,BQ23&lt;=0.451),"OK","NO"))</f>
        <v/>
      </c>
      <c r="CB23" s="18" t="str">
        <f>IF(BZ23="","",IF(AL23&lt;=CF22/1.11,"OC","NC"))</f>
        <v/>
      </c>
      <c r="CC23" s="18" t="str">
        <f>IF(BZ23="","",IF(CA23="OK","NC","OC"))</f>
        <v/>
      </c>
      <c r="CD23" s="12">
        <f>IF(BQ23="","",IF(BW23="","",BW23*AL23))</f>
        <v>557.12152562343454</v>
      </c>
      <c r="CE23" s="17" t="str">
        <f>IF(BQ23="","",IF(BX23="","",BX23*AL23))</f>
        <v/>
      </c>
      <c r="CI23" s="13" t="str">
        <f>IF(BQ23&lt;0.28,"Y","")</f>
        <v/>
      </c>
      <c r="CJ23" s="12" t="str">
        <f>IF(BQ23&lt;0.8,"Y","")</f>
        <v/>
      </c>
      <c r="CK23" s="12" t="str">
        <f>IF(BQ23&lt;BQ22,"","ERR")</f>
        <v/>
      </c>
      <c r="CL23" s="11" t="str">
        <f>IFERROR(CE23-CG23,"")</f>
        <v/>
      </c>
      <c r="CN23" s="7" t="str">
        <f>IF(OR(BS23="NO",BG23="TX-CID"),"",BH23)</f>
        <v/>
      </c>
      <c r="CO23" s="7" t="str">
        <f>IF(CN23="","",BQ23)</f>
        <v/>
      </c>
      <c r="CP23" s="10" t="str">
        <f>IF(CO23="","",BR23)</f>
        <v/>
      </c>
      <c r="CQ23" s="9" t="str">
        <f>IF(CO23="","",BV23)</f>
        <v/>
      </c>
      <c r="CR23" s="8" t="str">
        <f>IF(CU23="","",BX23)</f>
        <v/>
      </c>
      <c r="CS23" s="8" t="str">
        <f>IF(CR23="","",LN(CR23))</f>
        <v/>
      </c>
      <c r="CT23" s="8" t="str">
        <f>IF(CS23="","",BM23)</f>
        <v/>
      </c>
      <c r="CU23" s="7" t="str">
        <f>IF(CO23="","",BU23)</f>
        <v/>
      </c>
      <c r="CV23" s="6" t="str">
        <f>IF(CR23="","",CH22)</f>
        <v/>
      </c>
      <c r="CW23" s="5" t="str">
        <f>IF(CU23="","",E23)</f>
        <v/>
      </c>
      <c r="CY23" s="4" t="str">
        <f>IF(CW23="","",IF(H23=1,$DJ$3*CV23^0.8*W23,IF(H23=2,$DK$3*CV23^0.8*W23,IF(H23=3,$DL$3*CV23^0.8*W23,"ERR"))))</f>
        <v/>
      </c>
      <c r="CZ23" s="4" t="str">
        <f>IF(CY23="","",IF(BI23="OK",BJ23,""))</f>
        <v/>
      </c>
      <c r="DA23" s="4" t="str">
        <f>IF(CY23="","",IF(BK23="","",BK23))</f>
        <v/>
      </c>
      <c r="DB23" s="6" t="str">
        <f>IF(CW23="","",BM23)</f>
        <v/>
      </c>
      <c r="DD23" s="4" t="str">
        <f>IF(OR(CH23="",W23=""),"",IF(H23=1,$DJ$3*CH23^0.8*W23,IF(H23=2,$DK$3*CH23^0.8*W23,IF(H23=3,$DL$3*CH23^0.8*W23,"ERR"))))</f>
        <v/>
      </c>
      <c r="DE23" s="4" t="str">
        <f>IF(OR(CH23="",W23=""),"",IF(H23=1,$DJ$3*W23,IF(H23=2,$DK$3*W23,IF(H23=3,$DL$3*W23,"ERR"))))</f>
        <v/>
      </c>
      <c r="DF23" s="3" t="str">
        <f>IF(DE23="","",-1.485*LN(E23)+7.098)</f>
        <v/>
      </c>
      <c r="DG23" s="4" t="str">
        <f>IF(OR(DF23="",W23=""),"",IF(H23=1,$DJ$3*DF23^0.8*W23,IF(H23=2,$DK$3*DF23^0.8*W23,IF(H23=3,$DL$3*CH23^0.8*W23,"ERR"))))</f>
        <v/>
      </c>
    </row>
    <row r="24" spans="1:116" s="162" customFormat="1" hidden="1">
      <c r="A24" s="286" t="str">
        <f>IF(B24="","",IF(F24&lt;10,CONCATENATE(B24," - 0",F24),CONCATENATE(B24," - ",F24)))</f>
        <v>LR11 - 06.75</v>
      </c>
      <c r="B24" s="412" t="s">
        <v>9</v>
      </c>
      <c r="C24" s="412">
        <v>6.45</v>
      </c>
      <c r="D24" s="412">
        <v>6.75</v>
      </c>
      <c r="E24" s="412">
        <v>6.6</v>
      </c>
      <c r="F24" s="412">
        <f>IF(E24="","",CEILING(E24,0.25))</f>
        <v>6.75</v>
      </c>
      <c r="G24" s="412" t="s">
        <v>8</v>
      </c>
      <c r="H24" s="411">
        <v>2</v>
      </c>
      <c r="I24" s="163">
        <v>18.559999999999999</v>
      </c>
      <c r="J24" s="163">
        <v>13.76</v>
      </c>
      <c r="K24" s="210">
        <v>0.34899999999999998</v>
      </c>
      <c r="L24" s="205">
        <v>1.0349999999999999</v>
      </c>
      <c r="M24" s="209">
        <v>0.94</v>
      </c>
      <c r="N24" s="208">
        <v>6.5</v>
      </c>
      <c r="O24" s="163"/>
      <c r="P24" s="163"/>
      <c r="Q24" s="207"/>
      <c r="R24" s="207">
        <f>IF(L24="","",L24/(1+L24))</f>
        <v>0.50859950859950853</v>
      </c>
      <c r="S24" s="207" t="str">
        <f>IF(R24="","",IF(R24&lt;0.3,"S",IF(R24&lt;0.45,"L",IF(AND(R24&lt;0.5,R24&gt;=0.45),"C",IF(R24&gt;=0.5,"SC","")))))</f>
        <v>SC</v>
      </c>
      <c r="T24" s="206">
        <f>L24*9.81/($P$28*(1+L24))</f>
        <v>0.34346221978163233</v>
      </c>
      <c r="U24" s="186">
        <f>N24</f>
        <v>6.5</v>
      </c>
      <c r="V24" s="186">
        <f>IF(E24="","",IF(E24&lt;=10,IF(E24&lt;=N24,18*E24,18*N24+(18-0)*(E24-N24)),IF(AND(E24&gt;10,N24&lt;=10),18*N24+(18-0)*(10-N24)+(17.5-0)*(E24-10),IF(E24&lt;N24,(18*0)+17.5*(E24-10),(18*0)+17.5*(N24-10)+(17.5-0)*(E24-N24)))))</f>
        <v>118.8</v>
      </c>
      <c r="W24" s="186">
        <f>IF(E24="","",IF(E24&lt;=10,IF(E24&lt;=N24,18*E24,18*N24+(18-10)*(E24-N24)),IF(AND(E24&gt;10,N24&lt;=10),18*N24+(18-10)*(10-N24)+(17.5-10)*(E24-10),IF(E24&lt;N24,(18*10)+17.5*(E24-10),(18*10)+17.5*(N24-10)+(17.5-10)*(E24-N24)))))</f>
        <v>117.8</v>
      </c>
      <c r="X24" s="197"/>
      <c r="Y24" s="205"/>
      <c r="Z24" s="164"/>
      <c r="AA24" s="189"/>
      <c r="AB24" s="204"/>
      <c r="AC24" s="203"/>
      <c r="AD24" s="202"/>
      <c r="AE24" s="201">
        <v>0.94299999999999995</v>
      </c>
      <c r="AF24" s="200">
        <v>79</v>
      </c>
      <c r="AG24" s="164">
        <v>77.900000000000006</v>
      </c>
      <c r="AH24" s="164">
        <v>1110.3599999999999</v>
      </c>
      <c r="AI24" s="164">
        <v>1074.7</v>
      </c>
      <c r="AJ24" s="199">
        <f>IF(AF24="","",1-(AG24*AI24/AF24/AH24))</f>
        <v>4.5592580077803424E-2</v>
      </c>
      <c r="AK24" s="198">
        <v>4.1500000000000002E-2</v>
      </c>
      <c r="AL24" s="197">
        <v>200</v>
      </c>
      <c r="AM24" s="189">
        <v>664.72</v>
      </c>
      <c r="AN24" s="186">
        <f>AL24-AQ24</f>
        <v>48.610000000000014</v>
      </c>
      <c r="AO24" s="186">
        <f>AN24-AP24</f>
        <v>-9.9999999999909051E-3</v>
      </c>
      <c r="AP24" s="186">
        <f>AM24-AR24</f>
        <v>48.620000000000005</v>
      </c>
      <c r="AQ24" s="189">
        <v>151.38999999999999</v>
      </c>
      <c r="AR24" s="189">
        <v>616.1</v>
      </c>
      <c r="AS24" s="196"/>
      <c r="AT24" s="66"/>
      <c r="AU24" s="192"/>
      <c r="AV24" s="192"/>
      <c r="AW24" s="195"/>
      <c r="AX24" s="192"/>
      <c r="AY24" s="192"/>
      <c r="AZ24" s="192"/>
      <c r="BA24" s="195"/>
      <c r="BB24" s="194">
        <f>(AM24-AL24)/AK24/1000</f>
        <v>11.198072289156627</v>
      </c>
      <c r="BC24" s="189"/>
      <c r="BD24" s="189"/>
      <c r="BE24" s="187">
        <f>AL24/AJ24/1000</f>
        <v>4.3866787020761135</v>
      </c>
      <c r="BF24" s="193"/>
      <c r="BG24" s="192" t="s">
        <v>0</v>
      </c>
      <c r="BH24" s="191" t="str">
        <f>IF(OR(AE24="",Y24=""),"",Y24/AE24)</f>
        <v/>
      </c>
      <c r="BI24" s="190" t="str">
        <f>IF(OR(AE24="",Y24=""),"",IF(Y24/AE24&gt;1.05,"OC",IF(Y24/AE24&lt;0.95,"UC","OK")))</f>
        <v/>
      </c>
      <c r="BJ24" s="186">
        <f>(AM24-AL24)/2</f>
        <v>232.36</v>
      </c>
      <c r="BK24" s="189"/>
      <c r="BL24" s="186" t="str">
        <f>IF(BZ24="=",BJ24,"")</f>
        <v/>
      </c>
      <c r="BM24" s="188">
        <f>AN24/(AM24-AL24)</f>
        <v>0.10460061972800828</v>
      </c>
      <c r="BN24" s="186" t="str">
        <f>IF(BM24="","",IF(AND(BM24&gt;=3/4,BM24&lt;=1.5),"HS",IF(AND(BM24&gt;=0.5,BM24&lt;=1),"NC",IF(AND(BM24&gt;=0,BM24&lt;=0.5),"OC",IF(BM24&lt;0,"H-OC","")))))</f>
        <v>OC</v>
      </c>
      <c r="BO24" s="187" t="str">
        <f>IF(BX24="","",BX24)</f>
        <v/>
      </c>
      <c r="BP24" s="186"/>
      <c r="BQ24" s="185">
        <f>BJ24/AL24</f>
        <v>1.1618000000000002</v>
      </c>
      <c r="BR24" s="184">
        <f>AL24/W24</f>
        <v>1.6977928692699491</v>
      </c>
      <c r="BS24" s="184" t="str">
        <f>IF(OR(BR24="",BH24=""),"",IF(AND(BR24&lt;1,BH24&gt;1),"NO",""))</f>
        <v/>
      </c>
      <c r="BT24" s="183"/>
      <c r="BU24" s="331">
        <f>BU23</f>
        <v>0.27</v>
      </c>
      <c r="BV24" s="181"/>
      <c r="BW24" s="180">
        <f>(BQ24/BU24)^(1/0.8)</f>
        <v>6.1973997455444669</v>
      </c>
      <c r="BX24" s="179"/>
      <c r="BY24" s="178">
        <f>BU24*BW24^0.8</f>
        <v>1.1618000000000004</v>
      </c>
      <c r="BZ24" s="177" t="str">
        <f>IF(BR24&lt;0.85,"",IF(AND(BR24&gt;=0.85,BR24&lt;=1.15),"=","&gt;"))</f>
        <v>&gt;</v>
      </c>
      <c r="CA24" s="177" t="str">
        <f>IF(BZ24="","",IF(AND(BQ24&gt;=0.2,BQ24&lt;=0.451),"OK","NO"))</f>
        <v>NO</v>
      </c>
      <c r="CB24" s="176" t="str">
        <f>IF(BZ24="","",IF(AL24&lt;=CF22/1.11,"OC","NC"))</f>
        <v>OC</v>
      </c>
      <c r="CC24" s="176" t="str">
        <f>IF(BZ24="","",IF(CA24="OK","NC","OC"))</f>
        <v>OC</v>
      </c>
      <c r="CD24" s="172">
        <f>IF(BQ24="","",IF(BW24="","",BW24*AL24))</f>
        <v>1239.4799491088934</v>
      </c>
      <c r="CE24" s="175" t="str">
        <f>IF(BQ24="","",IF(BX24="","",BX24*AL24))</f>
        <v/>
      </c>
      <c r="CF24" s="174"/>
      <c r="CG24" s="66"/>
      <c r="CH24" s="220"/>
      <c r="CI24" s="173" t="str">
        <f>IF(BQ24&lt;0.28,"Y","")</f>
        <v/>
      </c>
      <c r="CJ24" s="172" t="str">
        <f>IF(BQ24&lt;0.8,"Y","")</f>
        <v/>
      </c>
      <c r="CK24" s="172" t="str">
        <f>IF(BQ24&lt;BQ23,"","ERR")</f>
        <v>ERR</v>
      </c>
      <c r="CL24" s="11" t="str">
        <f>IFERROR(CE24-CG24,"")</f>
        <v/>
      </c>
      <c r="CM24" s="163"/>
      <c r="CN24" s="168" t="str">
        <f>IF(OR(BS24="NO",BG24="TX-CID"),"",BH24)</f>
        <v/>
      </c>
      <c r="CO24" s="168" t="str">
        <f>IF(CN24="","",BQ24)</f>
        <v/>
      </c>
      <c r="CP24" s="171" t="str">
        <f>IF(CO24="","",BR24)</f>
        <v/>
      </c>
      <c r="CQ24" s="170" t="str">
        <f>IF(CO24="","",BV24)</f>
        <v/>
      </c>
      <c r="CR24" s="169" t="str">
        <f>IF(CU24="","",BX24)</f>
        <v/>
      </c>
      <c r="CS24" s="169" t="str">
        <f>IF(CR24="","",LN(CR24))</f>
        <v/>
      </c>
      <c r="CT24" s="169" t="str">
        <f>IF(CS24="","",BM24)</f>
        <v/>
      </c>
      <c r="CU24" s="168" t="str">
        <f>IF(CO24="","",BU24)</f>
        <v/>
      </c>
      <c r="CV24" s="166" t="str">
        <f>IF(CR24="","",CH22)</f>
        <v/>
      </c>
      <c r="CW24" s="167" t="str">
        <f>IF(CU24="","",E24)</f>
        <v/>
      </c>
      <c r="CX24" s="167"/>
      <c r="CY24" s="165" t="str">
        <f>IF(CW24="","",IF(H24=1,$DJ$3*CV24^0.8*W24,IF(H24=2,$DK$3*CV24^0.8*W24,IF(H24=3,$DL$3*CV24^0.8*W24,"ERR"))))</f>
        <v/>
      </c>
      <c r="CZ24" s="165" t="str">
        <f>IF(CY24="","",IF(BI24="OK",BJ24,""))</f>
        <v/>
      </c>
      <c r="DA24" s="165" t="str">
        <f>IF(CY24="","",IF(BK24="","",BK24))</f>
        <v/>
      </c>
      <c r="DB24" s="166" t="str">
        <f>IF(CW24="","",BM24)</f>
        <v/>
      </c>
      <c r="DC24" s="165"/>
      <c r="DD24" s="165" t="str">
        <f>IF(OR(CH24="",W24=""),"",IF(H24=1,$DJ$3*CH24^0.8*W24,IF(H24=2,$DK$3*CH24^0.8*W24,IF(H24=3,$DL$3*CH24^0.8*W24,"ERR"))))</f>
        <v/>
      </c>
      <c r="DE24" s="165" t="str">
        <f>IF(OR(CH24="",W24=""),"",IF(H24=1,$DJ$3*W24,IF(H24=2,$DK$3*W24,IF(H24=3,$DL$3*W24,"ERR"))))</f>
        <v/>
      </c>
      <c r="DF24" s="164" t="str">
        <f>IF(DE24="","",-1.485*LN(E24)+7.098)</f>
        <v/>
      </c>
      <c r="DG24" s="165" t="str">
        <f>IF(OR(DF24="",W24=""),"",IF(H24=1,$DJ$3*DF24^0.8*W24,IF(H24=2,$DK$3*DF24^0.8*W24,IF(H24=3,$DL$3*CH24^0.8*W24,"ERR"))))</f>
        <v/>
      </c>
      <c r="DH24" s="164"/>
      <c r="DJ24" s="163"/>
      <c r="DK24" s="163"/>
      <c r="DL24" s="163"/>
    </row>
    <row r="25" spans="1:116" s="367" customFormat="1" hidden="1">
      <c r="A25" s="398" t="str">
        <f>IF(B25="","",IF(F25&lt;10,CONCATENATE(B25," - 0",F25),CONCATENATE(B25," - ",F25)))</f>
        <v>LR13 - 03.75</v>
      </c>
      <c r="B25" s="410" t="s">
        <v>5</v>
      </c>
      <c r="C25" s="410">
        <v>3.5</v>
      </c>
      <c r="D25" s="410">
        <v>3.8</v>
      </c>
      <c r="E25" s="410">
        <v>3.65</v>
      </c>
      <c r="F25" s="410">
        <f>IF(E25="","",CEILING(E25,0.25))</f>
        <v>3.75</v>
      </c>
      <c r="G25" s="410" t="s">
        <v>8</v>
      </c>
      <c r="H25" s="409">
        <v>2</v>
      </c>
      <c r="I25" s="368">
        <v>19.239999999999998</v>
      </c>
      <c r="J25" s="368">
        <v>14.64</v>
      </c>
      <c r="K25" s="386">
        <v>0.314</v>
      </c>
      <c r="L25" s="391">
        <v>0.871</v>
      </c>
      <c r="M25" s="395">
        <v>0.97</v>
      </c>
      <c r="N25" s="394">
        <v>8</v>
      </c>
      <c r="O25" s="401">
        <f>(P25*(1+AVERAGE(L25:L27))+(9.81*M25*AVERAGE(L25:L27)))/(1+AVERAGE(L25:L27))</f>
        <v>18.898435849056604</v>
      </c>
      <c r="P25" s="401">
        <f>AVERAGE(J25:J27)</f>
        <v>14.37</v>
      </c>
      <c r="Q25" s="400">
        <f>AVERAGE(K25:K27)</f>
        <v>0.3173333333333333</v>
      </c>
      <c r="R25" s="393">
        <f>IF(L25="","",L25/(1+L25))</f>
        <v>0.46552645644040619</v>
      </c>
      <c r="S25" s="393" t="str">
        <f>IF(R25="","",IF(R25&lt;0.3,"S",IF(R25&lt;0.45,"L",IF(AND(R25&lt;0.5,R25&gt;=0.45),"C",IF(R25&gt;=0.5,"SC","")))))</f>
        <v>C</v>
      </c>
      <c r="T25" s="392">
        <f>L25*9.81/($P$28*(1+L25))</f>
        <v>0.31437456661406971</v>
      </c>
      <c r="U25" s="341">
        <f>N25</f>
        <v>8</v>
      </c>
      <c r="V25" s="341">
        <f>IF(E25="","",IF(E25&lt;=10,IF(E25&lt;=N25,18*E25,18*N25+(18-0)*(E25-N25)),IF(AND(E25&gt;10,N25&lt;=10),18*N25+(18-0)*(10-N25)+(17.5-0)*(E25-10),IF(E25&lt;N25,(18*0)+17.5*(E25-10),(18*0)+17.5*(N25-10)+(17.5-0)*(E25-N25)))))</f>
        <v>65.7</v>
      </c>
      <c r="W25" s="341">
        <f>IF(E25="","",IF(E25&lt;=10,IF(E25&lt;=N25,18*E25,18*N25+(18-10)*(E25-N25)),IF(AND(E25&gt;10,N25&lt;=10),18*N25+(18-10)*(10-N25)+(17.5-10)*(E25-10),IF(E25&lt;N25,(18*10)+17.5*(E25-10),(18*10)+17.5*(N25-10)+(17.5-10)*(E25-N25)))))</f>
        <v>65.7</v>
      </c>
      <c r="X25" s="385"/>
      <c r="Y25" s="391"/>
      <c r="Z25" s="369"/>
      <c r="AA25" s="341"/>
      <c r="AB25" s="390"/>
      <c r="AC25" s="389"/>
      <c r="AD25" s="389"/>
      <c r="AE25" s="388">
        <v>0.86199999999999999</v>
      </c>
      <c r="AF25" s="375">
        <v>79.599999999999994</v>
      </c>
      <c r="AG25" s="369">
        <v>79.069999999999993</v>
      </c>
      <c r="AH25" s="369">
        <v>1134.1099999999999</v>
      </c>
      <c r="AI25" s="369">
        <v>1135.97</v>
      </c>
      <c r="AJ25" s="387">
        <f>IF(AF25="","",1-(AG25*AI25/AF25/AH25))</f>
        <v>5.029158852962734E-3</v>
      </c>
      <c r="AK25" s="386">
        <v>0.04</v>
      </c>
      <c r="AL25" s="385">
        <v>100</v>
      </c>
      <c r="AM25" s="341">
        <v>262.75</v>
      </c>
      <c r="AN25" s="341">
        <f>AL25-AQ25</f>
        <v>0</v>
      </c>
      <c r="AO25" s="341">
        <f>AN25-AP25</f>
        <v>0</v>
      </c>
      <c r="AP25" s="341">
        <f>AM25-AR25</f>
        <v>0</v>
      </c>
      <c r="AQ25" s="341">
        <v>100</v>
      </c>
      <c r="AR25" s="341">
        <v>262.75</v>
      </c>
      <c r="AS25" s="372"/>
      <c r="AT25" s="375"/>
      <c r="AU25" s="369"/>
      <c r="AV25" s="369">
        <v>10</v>
      </c>
      <c r="AW25" s="384">
        <v>23</v>
      </c>
      <c r="AX25" s="369"/>
      <c r="AY25" s="369"/>
      <c r="AZ25" s="369"/>
      <c r="BA25" s="384"/>
      <c r="BB25" s="375">
        <f>(AM25-AL25)/AK25/1000</f>
        <v>4.0687499999999996</v>
      </c>
      <c r="BC25" s="341"/>
      <c r="BD25" s="341"/>
      <c r="BE25" s="369">
        <f>AL25/AJ25/1000</f>
        <v>19.884040835395144</v>
      </c>
      <c r="BF25" s="383"/>
      <c r="BG25" s="382" t="s">
        <v>4</v>
      </c>
      <c r="BH25" s="381" t="str">
        <f>IF(OR(AE25="",Y25=""),"",Y25/AE25)</f>
        <v/>
      </c>
      <c r="BI25" s="380" t="str">
        <f>IF(OR(AE25="",Y25=""),"",IF(Y25/AE25&gt;1.05,"OC",IF(Y25/AE25&lt;0.95,"UC","OK")))</f>
        <v/>
      </c>
      <c r="BJ25" s="341"/>
      <c r="BK25" s="341"/>
      <c r="BL25" s="341"/>
      <c r="BM25" s="377"/>
      <c r="BN25" s="341"/>
      <c r="BO25" s="369" t="str">
        <f>IF(BX25="","",BX25)</f>
        <v/>
      </c>
      <c r="BP25" s="341"/>
      <c r="BQ25" s="379"/>
      <c r="BR25" s="341"/>
      <c r="BS25" s="341" t="str">
        <f>IF(OR(BR25="",BH25=""),"",IF(AND(BR25&lt;1,BH25&gt;1),"NO",""))</f>
        <v/>
      </c>
      <c r="BT25" s="378"/>
      <c r="BU25" s="332"/>
      <c r="BV25" s="332"/>
      <c r="BW25" s="378"/>
      <c r="BX25" s="378"/>
      <c r="BY25" s="332"/>
      <c r="BZ25" s="377"/>
      <c r="CA25" s="377" t="str">
        <f>IF(BZ25="","",IF(AND(BQ25&gt;=0.2,BQ25&lt;=0.451),"OK","NO"))</f>
        <v/>
      </c>
      <c r="CB25" s="332" t="str">
        <f>IF(BZ25="","",IF(AL25&lt;=CF25,"OC","NC"))</f>
        <v/>
      </c>
      <c r="CC25" s="332" t="str">
        <f>IF(BZ25="","",IF(CA25="OK","NC","OC"))</f>
        <v/>
      </c>
      <c r="CD25" s="369"/>
      <c r="CE25" s="369" t="str">
        <f>IF(BQ25="","",IF(BX25="","",BX25*AL25))</f>
        <v/>
      </c>
      <c r="CF25" s="376"/>
      <c r="CG25" s="375">
        <f>'[1]Oed s''p'!N29</f>
        <v>689.2</v>
      </c>
      <c r="CH25" s="341">
        <f>CG25/W25</f>
        <v>10.490106544901066</v>
      </c>
      <c r="CI25" s="375"/>
      <c r="CJ25" s="369"/>
      <c r="CK25" s="369"/>
      <c r="CL25" s="399" t="str">
        <f>IFERROR(CE25-CG25,"")</f>
        <v/>
      </c>
      <c r="CM25" s="368"/>
      <c r="CN25" s="373" t="str">
        <f>IF(OR(BS25="NO",BG25="TX-CID"),"",BH25)</f>
        <v/>
      </c>
      <c r="CO25" s="373" t="str">
        <f>IF(CN25="","",BQ25)</f>
        <v/>
      </c>
      <c r="CP25" s="374" t="str">
        <f>IF(CO25="","",BR25)</f>
        <v/>
      </c>
      <c r="CQ25" s="373" t="str">
        <f>IF(CO25="","",BV25)</f>
        <v/>
      </c>
      <c r="CR25" s="371" t="str">
        <f>IF(CU25="","",BX25)</f>
        <v/>
      </c>
      <c r="CS25" s="371" t="str">
        <f>IF(CR25="","",LN(CR25))</f>
        <v/>
      </c>
      <c r="CT25" s="371" t="str">
        <f>IF(CS25="","",BM25)</f>
        <v/>
      </c>
      <c r="CU25" s="373" t="str">
        <f>IF(CO25="","",BU25)</f>
        <v/>
      </c>
      <c r="CV25" s="371" t="str">
        <f>IF(CR25="","",CH25)</f>
        <v/>
      </c>
      <c r="CW25" s="372" t="str">
        <f>IF(CU25="","",E25)</f>
        <v/>
      </c>
      <c r="CX25" s="372"/>
      <c r="CY25" s="370" t="str">
        <f>IF(CW25="","",IF(H25=1,$DJ$3*CV25^0.8*W25,IF(H25=2,$DK$3*CV25^0.8*W25,IF(H25=3,$DL$3*CV25^0.8*W25,"ERR"))))</f>
        <v/>
      </c>
      <c r="CZ25" s="370" t="str">
        <f>IF(CY25="","",IF(BI25="OK",BJ25,""))</f>
        <v/>
      </c>
      <c r="DA25" s="370" t="str">
        <f>IF(CY25="","",IF(BK25="","",BK25))</f>
        <v/>
      </c>
      <c r="DB25" s="371" t="str">
        <f>IF(CW25="","",BM25)</f>
        <v/>
      </c>
      <c r="DC25" s="370"/>
      <c r="DD25" s="370">
        <f>IF(OR(CH25="",W25=""),"",IF(H25=1,$DJ$3*CH25^0.8*W25,IF(H25=2,$DK$3*CH25^0.8*W25,IF(H25=3,$DL$3*CH25^0.8*W25,"ERR"))))</f>
        <v>116.29286048222525</v>
      </c>
      <c r="DE25" s="370">
        <f>IF(OR(CH25="",W25=""),"",IF(H25=1,$DJ$3*W25,IF(H25=2,$DK$3*W25,IF(H25=3,$DL$3*W25,"ERR"))))</f>
        <v>17.739000000000001</v>
      </c>
      <c r="DF25" s="369">
        <f>IF(DE25="","",-1.485*LN(E25)+7.098)</f>
        <v>5.1753301561223157</v>
      </c>
      <c r="DG25" s="370">
        <f>IF(OR(DF25="",W25=""),"",IF(H25=1,$DJ$3*DF25^0.8*W25,IF(H25=2,$DK$3*DF25^0.8*W25,IF(H25=3,$DL$3*CH25^0.8*W25,"ERR"))))</f>
        <v>66.081452759315852</v>
      </c>
      <c r="DH25" s="369"/>
      <c r="DJ25" s="368"/>
      <c r="DK25" s="368"/>
      <c r="DL25" s="368"/>
    </row>
    <row r="26" spans="1:116" s="367" customFormat="1" hidden="1">
      <c r="A26" s="398" t="str">
        <f>IF(B26="","",IF(F26&lt;10,CONCATENATE(B26," - 0",F26),CONCATENATE(B26," - ",F26)))</f>
        <v>LR13 - 03.75</v>
      </c>
      <c r="B26" s="410" t="s">
        <v>5</v>
      </c>
      <c r="C26" s="410">
        <v>3.5</v>
      </c>
      <c r="D26" s="410">
        <v>3.8</v>
      </c>
      <c r="E26" s="410">
        <v>3.65</v>
      </c>
      <c r="F26" s="410">
        <f>IF(E26="","",CEILING(E26,0.25))</f>
        <v>3.75</v>
      </c>
      <c r="G26" s="410" t="s">
        <v>8</v>
      </c>
      <c r="H26" s="409">
        <v>2</v>
      </c>
      <c r="I26" s="368">
        <v>18.510000000000002</v>
      </c>
      <c r="J26" s="368">
        <v>13.79</v>
      </c>
      <c r="K26" s="386">
        <v>0.34200000000000003</v>
      </c>
      <c r="L26" s="391">
        <v>0.98699999999999999</v>
      </c>
      <c r="M26" s="395">
        <v>0.93</v>
      </c>
      <c r="N26" s="394">
        <v>8</v>
      </c>
      <c r="O26" s="368"/>
      <c r="P26" s="368"/>
      <c r="Q26" s="393"/>
      <c r="R26" s="393">
        <f>IF(L26="","",L26/(1+L26))</f>
        <v>0.49672873678912932</v>
      </c>
      <c r="S26" s="393" t="str">
        <f>IF(R26="","",IF(R26&lt;0.3,"S",IF(R26&lt;0.45,"L",IF(AND(R26&lt;0.5,R26&gt;=0.45),"C",IF(R26&gt;=0.5,"SC","")))))</f>
        <v>C</v>
      </c>
      <c r="T26" s="392">
        <f>L26*9.81/($P$28*(1+L26))</f>
        <v>0.33544577153979066</v>
      </c>
      <c r="U26" s="341">
        <f>N26</f>
        <v>8</v>
      </c>
      <c r="V26" s="341">
        <f>IF(E26="","",IF(E26&lt;=10,IF(E26&lt;=N26,18*E26,18*N26+(18-0)*(E26-N26)),IF(AND(E26&gt;10,N26&lt;=10),18*N26+(18-0)*(10-N26)+(17.5-0)*(E26-10),IF(E26&lt;N26,(18*0)+17.5*(E26-10),(18*0)+17.5*(N26-10)+(17.5-0)*(E26-N26)))))</f>
        <v>65.7</v>
      </c>
      <c r="W26" s="341">
        <f>IF(E26="","",IF(E26&lt;=10,IF(E26&lt;=N26,18*E26,18*N26+(18-10)*(E26-N26)),IF(AND(E26&gt;10,N26&lt;=10),18*N26+(18-10)*(10-N26)+(17.5-10)*(E26-10),IF(E26&lt;N26,(18*10)+17.5*(E26-10),(18*10)+17.5*(N26-10)+(17.5-10)*(E26-N26)))))</f>
        <v>65.7</v>
      </c>
      <c r="X26" s="385"/>
      <c r="Y26" s="391"/>
      <c r="Z26" s="369"/>
      <c r="AA26" s="341"/>
      <c r="AB26" s="390"/>
      <c r="AC26" s="389"/>
      <c r="AD26" s="389"/>
      <c r="AE26" s="388">
        <v>0.96499999999999997</v>
      </c>
      <c r="AF26" s="375">
        <v>79.2</v>
      </c>
      <c r="AG26" s="369">
        <v>78.2</v>
      </c>
      <c r="AH26" s="369">
        <v>1134.1099999999999</v>
      </c>
      <c r="AI26" s="369">
        <v>1135.83</v>
      </c>
      <c r="AJ26" s="387">
        <f>IF(AF26="","",1-(AG26*AI26/AF26/AH26))</f>
        <v>1.1128803977381252E-2</v>
      </c>
      <c r="AK26" s="386">
        <v>0.04</v>
      </c>
      <c r="AL26" s="385">
        <v>200</v>
      </c>
      <c r="AM26" s="341">
        <v>386.92</v>
      </c>
      <c r="AN26" s="341">
        <f>AL26-AQ26</f>
        <v>0</v>
      </c>
      <c r="AO26" s="341">
        <f>AN26-AP26</f>
        <v>0</v>
      </c>
      <c r="AP26" s="341">
        <f>AM26-AR26</f>
        <v>0</v>
      </c>
      <c r="AQ26" s="341">
        <v>200</v>
      </c>
      <c r="AR26" s="341">
        <v>386.92</v>
      </c>
      <c r="AS26" s="372"/>
      <c r="AT26" s="375"/>
      <c r="AU26" s="369"/>
      <c r="AV26" s="369"/>
      <c r="AW26" s="384"/>
      <c r="AX26" s="369"/>
      <c r="AY26" s="369"/>
      <c r="AZ26" s="369"/>
      <c r="BA26" s="384"/>
      <c r="BB26" s="375">
        <f>(AM26-AL26)/AK26/1000</f>
        <v>4.673</v>
      </c>
      <c r="BC26" s="341"/>
      <c r="BD26" s="341"/>
      <c r="BE26" s="369">
        <f>AL26/AJ26/1000</f>
        <v>17.97138312495127</v>
      </c>
      <c r="BF26" s="383"/>
      <c r="BG26" s="382" t="s">
        <v>4</v>
      </c>
      <c r="BH26" s="381" t="str">
        <f>IF(OR(AE26="",Y26=""),"",Y26/AE26)</f>
        <v/>
      </c>
      <c r="BI26" s="380" t="str">
        <f>IF(OR(AE26="",Y26=""),"",IF(Y26/AE26&gt;1.05,"OC",IF(Y26/AE26&lt;0.95,"UC","OK")))</f>
        <v/>
      </c>
      <c r="BJ26" s="341"/>
      <c r="BK26" s="341"/>
      <c r="BL26" s="341"/>
      <c r="BM26" s="377"/>
      <c r="BN26" s="341"/>
      <c r="BO26" s="369" t="str">
        <f>IF(BX26="","",BX26)</f>
        <v/>
      </c>
      <c r="BP26" s="341"/>
      <c r="BQ26" s="379"/>
      <c r="BR26" s="341"/>
      <c r="BS26" s="341" t="str">
        <f>IF(OR(BR26="",BH26=""),"",IF(AND(BR26&lt;1,BH26&gt;1),"NO",""))</f>
        <v/>
      </c>
      <c r="BT26" s="378"/>
      <c r="BU26" s="332"/>
      <c r="BV26" s="332"/>
      <c r="BW26" s="378"/>
      <c r="BX26" s="378"/>
      <c r="BY26" s="332"/>
      <c r="BZ26" s="377"/>
      <c r="CA26" s="377" t="str">
        <f>IF(BZ26="","",IF(AND(BQ26&gt;=0.2,BQ26&lt;=0.451),"OK","NO"))</f>
        <v/>
      </c>
      <c r="CB26" s="332" t="str">
        <f>IF(BZ26="","",IF(AL26&lt;=CF26,"OC","NC"))</f>
        <v/>
      </c>
      <c r="CC26" s="332" t="str">
        <f>IF(BZ26="","",IF(CA26="OK","NC","OC"))</f>
        <v/>
      </c>
      <c r="CD26" s="369"/>
      <c r="CE26" s="369" t="str">
        <f>IF(BQ26="","",IF(BX26="","",BX26*AL26))</f>
        <v/>
      </c>
      <c r="CF26" s="376"/>
      <c r="CG26" s="375">
        <f>CG25</f>
        <v>689.2</v>
      </c>
      <c r="CH26" s="341">
        <f>CG26/W26</f>
        <v>10.490106544901066</v>
      </c>
      <c r="CI26" s="375"/>
      <c r="CJ26" s="369"/>
      <c r="CK26" s="369"/>
      <c r="CL26" s="341" t="str">
        <f>IFERROR(CE26-CG26,"")</f>
        <v/>
      </c>
      <c r="CM26" s="368"/>
      <c r="CN26" s="373" t="str">
        <f>IF(OR(BS26="NO",BG26="TX-CID"),"",BH26)</f>
        <v/>
      </c>
      <c r="CO26" s="373" t="str">
        <f>IF(CN26="","",BQ26)</f>
        <v/>
      </c>
      <c r="CP26" s="374" t="str">
        <f>IF(CO26="","",BR26)</f>
        <v/>
      </c>
      <c r="CQ26" s="373" t="str">
        <f>IF(CO26="","",BV26)</f>
        <v/>
      </c>
      <c r="CR26" s="371" t="str">
        <f>IF(CU26="","",BX26)</f>
        <v/>
      </c>
      <c r="CS26" s="371" t="str">
        <f>IF(CR26="","",LN(CR26))</f>
        <v/>
      </c>
      <c r="CT26" s="371" t="str">
        <f>IF(CS26="","",BM26)</f>
        <v/>
      </c>
      <c r="CU26" s="373" t="str">
        <f>IF(CO26="","",BU26)</f>
        <v/>
      </c>
      <c r="CV26" s="371" t="str">
        <f>IF(CR26="","",CH25)</f>
        <v/>
      </c>
      <c r="CW26" s="372" t="str">
        <f>IF(CU26="","",E26)</f>
        <v/>
      </c>
      <c r="CX26" s="372"/>
      <c r="CY26" s="370" t="str">
        <f>IF(CW26="","",IF(H26=1,$DJ$3*CV26^0.8*W26,IF(H26=2,$DK$3*CV26^0.8*W26,IF(H26=3,$DL$3*CV26^0.8*W26,"ERR"))))</f>
        <v/>
      </c>
      <c r="CZ26" s="370" t="str">
        <f>IF(CY26="","",IF(BI26="OK",BJ26,""))</f>
        <v/>
      </c>
      <c r="DA26" s="370" t="str">
        <f>IF(CY26="","",IF(BK26="","",BK26))</f>
        <v/>
      </c>
      <c r="DB26" s="371" t="str">
        <f>IF(CW26="","",BM26)</f>
        <v/>
      </c>
      <c r="DC26" s="370"/>
      <c r="DD26" s="370">
        <f>IF(OR(CH26="",W26=""),"",IF(H26=1,$DJ$3*CH26^0.8*W26,IF(H26=2,$DK$3*CH26^0.8*W26,IF(H26=3,$DL$3*CH26^0.8*W26,"ERR"))))</f>
        <v>116.29286048222525</v>
      </c>
      <c r="DE26" s="370">
        <f>IF(OR(CH26="",W26=""),"",IF(H26=1,$DJ$3*W26,IF(H26=2,$DK$3*W26,IF(H26=3,$DL$3*W26,"ERR"))))</f>
        <v>17.739000000000001</v>
      </c>
      <c r="DF26" s="369">
        <f>IF(DE26="","",-1.485*LN(E26)+7.098)</f>
        <v>5.1753301561223157</v>
      </c>
      <c r="DG26" s="370">
        <f>IF(OR(DF26="",W26=""),"",IF(H26=1,$DJ$3*DF26^0.8*W26,IF(H26=2,$DK$3*DF26^0.8*W26,IF(H26=3,$DL$3*CH26^0.8*W26,"ERR"))))</f>
        <v>66.081452759315852</v>
      </c>
      <c r="DH26" s="369"/>
      <c r="DJ26" s="368"/>
      <c r="DK26" s="368"/>
      <c r="DL26" s="368"/>
    </row>
    <row r="27" spans="1:116" s="333" customFormat="1" hidden="1">
      <c r="A27" s="366" t="str">
        <f>IF(B27="","",IF(F27&lt;10,CONCATENATE(B27," - 0",F27),CONCATENATE(B27," - ",F27)))</f>
        <v>LR13 - 03.75</v>
      </c>
      <c r="B27" s="408" t="s">
        <v>5</v>
      </c>
      <c r="C27" s="408">
        <v>3.5</v>
      </c>
      <c r="D27" s="408">
        <v>3.8</v>
      </c>
      <c r="E27" s="408">
        <v>3.65</v>
      </c>
      <c r="F27" s="408">
        <f>IF(E27="","",CEILING(E27,0.25))</f>
        <v>3.75</v>
      </c>
      <c r="G27" s="408" t="s">
        <v>8</v>
      </c>
      <c r="H27" s="407">
        <v>2</v>
      </c>
      <c r="I27" s="334">
        <v>19.03</v>
      </c>
      <c r="J27" s="334">
        <v>14.68</v>
      </c>
      <c r="K27" s="354">
        <v>0.29599999999999999</v>
      </c>
      <c r="L27" s="359">
        <v>0.86599999999999999</v>
      </c>
      <c r="M27" s="363">
        <v>0.92</v>
      </c>
      <c r="N27" s="362">
        <v>8</v>
      </c>
      <c r="O27" s="334"/>
      <c r="P27" s="334"/>
      <c r="Q27" s="361"/>
      <c r="R27" s="361">
        <f>IF(L27="","",L27/(1+L27))</f>
        <v>0.46409431939978563</v>
      </c>
      <c r="S27" s="361" t="str">
        <f>IF(R27="","",IF(R27&lt;0.3,"S",IF(R27&lt;0.45,"L",IF(AND(R27&lt;0.5,R27&gt;=0.45),"C",IF(R27&gt;=0.5,"SC","")))))</f>
        <v>C</v>
      </c>
      <c r="T27" s="360">
        <f>L27*9.81/($P$28*(1+L27))</f>
        <v>0.31340743047121827</v>
      </c>
      <c r="U27" s="343">
        <f>N27</f>
        <v>8</v>
      </c>
      <c r="V27" s="343">
        <f>IF(E27="","",IF(E27&lt;=10,IF(E27&lt;=N27,18*E27,18*N27+(18-0)*(E27-N27)),IF(AND(E27&gt;10,N27&lt;=10),18*N27+(18-0)*(10-N27)+(17.5-0)*(E27-10),IF(E27&lt;N27,(18*0)+17.5*(E27-10),(18*0)+17.5*(N27-10)+(17.5-0)*(E27-N27)))))</f>
        <v>65.7</v>
      </c>
      <c r="W27" s="343">
        <f>IF(E27="","",IF(E27&lt;=10,IF(E27&lt;=N27,18*E27,18*N27+(18-10)*(E27-N27)),IF(AND(E27&gt;10,N27&lt;=10),18*N27+(18-10)*(10-N27)+(17.5-10)*(E27-10),IF(E27&lt;N27,(18*10)+17.5*(E27-10),(18*10)+17.5*(N27-10)+(17.5-10)*(E27-N27)))))</f>
        <v>65.7</v>
      </c>
      <c r="X27" s="353"/>
      <c r="Y27" s="359"/>
      <c r="Z27" s="335"/>
      <c r="AA27" s="343"/>
      <c r="AB27" s="358"/>
      <c r="AC27" s="357"/>
      <c r="AD27" s="357"/>
      <c r="AE27" s="356">
        <v>0.83799999999999997</v>
      </c>
      <c r="AF27" s="342">
        <v>79.400000000000006</v>
      </c>
      <c r="AG27" s="335">
        <v>78.319999999999993</v>
      </c>
      <c r="AH27" s="335">
        <v>1134.1099999999999</v>
      </c>
      <c r="AI27" s="335">
        <v>1132.3599999999999</v>
      </c>
      <c r="AJ27" s="355">
        <f>IF(AF27="","",1-(AG27*AI27/AF27/AH27))</f>
        <v>1.512408658221287E-2</v>
      </c>
      <c r="AK27" s="354">
        <v>5.7000000000000002E-2</v>
      </c>
      <c r="AL27" s="353">
        <v>400</v>
      </c>
      <c r="AM27" s="343">
        <v>942.12</v>
      </c>
      <c r="AN27" s="343">
        <f>AL27-AQ27</f>
        <v>0</v>
      </c>
      <c r="AO27" s="343">
        <f>AN27-AP27</f>
        <v>0</v>
      </c>
      <c r="AP27" s="343">
        <f>AM27-AR27</f>
        <v>0</v>
      </c>
      <c r="AQ27" s="343">
        <v>400</v>
      </c>
      <c r="AR27" s="343">
        <v>942.12</v>
      </c>
      <c r="AS27" s="338"/>
      <c r="AT27" s="342"/>
      <c r="AU27" s="335"/>
      <c r="AV27" s="335"/>
      <c r="AW27" s="352"/>
      <c r="AX27" s="335"/>
      <c r="AY27" s="335"/>
      <c r="AZ27" s="335"/>
      <c r="BA27" s="352"/>
      <c r="BB27" s="342">
        <f>(AM27-AL27)/AK27/1000</f>
        <v>9.5108771929824556</v>
      </c>
      <c r="BC27" s="343"/>
      <c r="BD27" s="343"/>
      <c r="BE27" s="335">
        <f>AL27/AJ27/1000</f>
        <v>26.44787821238949</v>
      </c>
      <c r="BF27" s="351"/>
      <c r="BG27" s="350" t="s">
        <v>4</v>
      </c>
      <c r="BH27" s="349" t="str">
        <f>IF(OR(AE27="",Y27=""),"",Y27/AE27)</f>
        <v/>
      </c>
      <c r="BI27" s="348" t="str">
        <f>IF(OR(AE27="",Y27=""),"",IF(Y27/AE27&gt;1.05,"OC",IF(Y27/AE27&lt;0.95,"UC","OK")))</f>
        <v/>
      </c>
      <c r="BJ27" s="343"/>
      <c r="BK27" s="343"/>
      <c r="BL27" s="343"/>
      <c r="BM27" s="345"/>
      <c r="BN27" s="343"/>
      <c r="BO27" s="335" t="str">
        <f>IF(BX27="","",BX27)</f>
        <v/>
      </c>
      <c r="BP27" s="343"/>
      <c r="BQ27" s="347"/>
      <c r="BR27" s="343"/>
      <c r="BS27" s="343" t="str">
        <f>IF(OR(BR27="",BH27=""),"",IF(AND(BR27&lt;1,BH27&gt;1),"NO",""))</f>
        <v/>
      </c>
      <c r="BT27" s="346"/>
      <c r="BU27" s="331"/>
      <c r="BV27" s="331"/>
      <c r="BW27" s="346"/>
      <c r="BX27" s="346"/>
      <c r="BY27" s="331"/>
      <c r="BZ27" s="345"/>
      <c r="CA27" s="345" t="str">
        <f>IF(BZ27="","",IF(AND(BQ27&gt;=0.2,BQ27&lt;=0.451),"OK","NO"))</f>
        <v/>
      </c>
      <c r="CB27" s="331" t="str">
        <f>IF(BZ27="","",IF(AL27&lt;=CF27,"OC","NC"))</f>
        <v/>
      </c>
      <c r="CC27" s="331" t="str">
        <f>IF(BZ27="","",IF(CA27="OK","NC","OC"))</f>
        <v/>
      </c>
      <c r="CD27" s="335"/>
      <c r="CE27" s="335" t="str">
        <f>IF(BQ27="","",IF(BX27="","",BX27*AL27))</f>
        <v/>
      </c>
      <c r="CF27" s="344"/>
      <c r="CG27" s="342">
        <f>CG26</f>
        <v>689.2</v>
      </c>
      <c r="CH27" s="343">
        <f>CG27/W27</f>
        <v>10.490106544901066</v>
      </c>
      <c r="CI27" s="342"/>
      <c r="CJ27" s="335"/>
      <c r="CK27" s="335"/>
      <c r="CL27" s="341" t="str">
        <f>IFERROR(CE27-CG27,"")</f>
        <v/>
      </c>
      <c r="CM27" s="334"/>
      <c r="CN27" s="339" t="str">
        <f>IF(OR(BS27="NO",BG27="TX-CID"),"",BH27)</f>
        <v/>
      </c>
      <c r="CO27" s="339" t="str">
        <f>IF(CN27="","",BQ27)</f>
        <v/>
      </c>
      <c r="CP27" s="340" t="str">
        <f>IF(CO27="","",BR27)</f>
        <v/>
      </c>
      <c r="CQ27" s="339" t="str">
        <f>IF(CO27="","",BV27)</f>
        <v/>
      </c>
      <c r="CR27" s="337" t="str">
        <f>IF(CU27="","",BX27)</f>
        <v/>
      </c>
      <c r="CS27" s="337" t="str">
        <f>IF(CR27="","",LN(CR27))</f>
        <v/>
      </c>
      <c r="CT27" s="337" t="str">
        <f>IF(CS27="","",BM27)</f>
        <v/>
      </c>
      <c r="CU27" s="339" t="str">
        <f>IF(CO27="","",BU27)</f>
        <v/>
      </c>
      <c r="CV27" s="337" t="str">
        <f>IF(CR27="","",CH25)</f>
        <v/>
      </c>
      <c r="CW27" s="338" t="str">
        <f>IF(CU27="","",E27)</f>
        <v/>
      </c>
      <c r="CX27" s="338"/>
      <c r="CY27" s="336" t="str">
        <f>IF(CW27="","",IF(H27=1,$DJ$3*CV27^0.8*W27,IF(H27=2,$DK$3*CV27^0.8*W27,IF(H27=3,$DL$3*CV27^0.8*W27,"ERR"))))</f>
        <v/>
      </c>
      <c r="CZ27" s="336" t="str">
        <f>IF(CY27="","",IF(BI27="OK",BJ27,""))</f>
        <v/>
      </c>
      <c r="DA27" s="336" t="str">
        <f>IF(CY27="","",IF(BK27="","",BK27))</f>
        <v/>
      </c>
      <c r="DB27" s="337" t="str">
        <f>IF(CW27="","",BM27)</f>
        <v/>
      </c>
      <c r="DC27" s="336"/>
      <c r="DD27" s="336">
        <f>IF(OR(CH27="",W27=""),"",IF(H27=1,$DJ$3*CH27^0.8*W27,IF(H27=2,$DK$3*CH27^0.8*W27,IF(H27=3,$DL$3*CH27^0.8*W27,"ERR"))))</f>
        <v>116.29286048222525</v>
      </c>
      <c r="DE27" s="336">
        <f>IF(OR(CH27="",W27=""),"",IF(H27=1,$DJ$3*W27,IF(H27=2,$DK$3*W27,IF(H27=3,$DL$3*W27,"ERR"))))</f>
        <v>17.739000000000001</v>
      </c>
      <c r="DF27" s="335">
        <f>IF(DE27="","",-1.485*LN(E27)+7.098)</f>
        <v>5.1753301561223157</v>
      </c>
      <c r="DG27" s="336">
        <f>IF(OR(DF27="",W27=""),"",IF(H27=1,$DJ$3*DF27^0.8*W27,IF(H27=2,$DK$3*DF27^0.8*W27,IF(H27=3,$DL$3*CH27^0.8*W27,"ERR"))))</f>
        <v>66.081452759315852</v>
      </c>
      <c r="DH27" s="335"/>
      <c r="DJ27" s="334"/>
      <c r="DK27" s="334"/>
      <c r="DL27" s="334"/>
    </row>
    <row r="28" spans="1:116">
      <c r="A28" s="51" t="str">
        <f>IF(B28="","",IF(F28&lt;10,CONCATENATE(B28," - 0",F28),CONCATENATE(B28," - ",F28)))</f>
        <v>LR01 - 17</v>
      </c>
      <c r="B28" s="114" t="s">
        <v>7</v>
      </c>
      <c r="C28" s="114">
        <v>16.8</v>
      </c>
      <c r="D28" s="114">
        <v>17.100000000000001</v>
      </c>
      <c r="E28" s="311">
        <f>AVERAGE(D28,C28)</f>
        <v>16.950000000000003</v>
      </c>
      <c r="F28" s="311">
        <f>IF(E28="","",CEILING(E28,0.25))</f>
        <v>17</v>
      </c>
      <c r="G28" s="311" t="s">
        <v>1</v>
      </c>
      <c r="H28" s="310">
        <v>3</v>
      </c>
      <c r="I28" s="217">
        <v>18.61</v>
      </c>
      <c r="J28" s="217">
        <v>14.65</v>
      </c>
      <c r="K28" s="217">
        <v>0.27</v>
      </c>
      <c r="L28" s="10">
        <v>0.84</v>
      </c>
      <c r="M28" s="309">
        <v>0.87</v>
      </c>
      <c r="N28" s="308">
        <v>11.7</v>
      </c>
      <c r="O28" s="218">
        <f>(P28*(1+AVERAGE(L28:L30))+(9.81*M28*AVERAGE(L28:L30)))/(1+AVERAGE(L28:L30))</f>
        <v>18.461276835549167</v>
      </c>
      <c r="P28" s="217">
        <f>AVERAGE(J28:J30)</f>
        <v>14.526666666666666</v>
      </c>
      <c r="Q28" s="216">
        <f>AVERAGE(K28:K30)</f>
        <v>0.28633333333333333</v>
      </c>
      <c r="R28" s="216">
        <f>IF(L28="","",L28/(1+L28))</f>
        <v>0.45652173913043481</v>
      </c>
      <c r="S28" s="216" t="str">
        <f>IF(R28="","",IF(R28&lt;0.3,"S",IF(R28&lt;0.45,"L",IF(AND(R28&lt;0.5,R28&gt;=0.45),"C",IF(R28&gt;=0.5,"SC","")))))</f>
        <v>C</v>
      </c>
      <c r="T28" s="288">
        <f>L28*9.81/($P$13*(1+L28))</f>
        <v>0.33927865612648228</v>
      </c>
      <c r="U28" s="287">
        <f>N28</f>
        <v>11.7</v>
      </c>
      <c r="V28" s="287">
        <f>IF(E28="","",IF(E28&lt;=10,IF(E28&lt;=N28,18*E28,18*N28+(18-0)*(E28-N28)),IF(AND(E28&gt;10,N28&lt;=10),18*N28+(18-0)*(10-N28)+(17.5-0)*(E28-10),IF(E28&lt;N28,(18*0)+17.5*(E28-10),(18*0)+17.5*(N28-10)+(17.5-0)*(E28-N28)))))</f>
        <v>121.62500000000004</v>
      </c>
      <c r="W28" s="37">
        <f>IF(E28="","",IF(E28&lt;=10,IF(E28&lt;=N28,18*E28,18*N28+(18-10)*(E28-N28)),IF(AND(E28&gt;10,N28&lt;=10),18*N28+(18-10)*(10-N28)+(17.5-10)*(E28-10),IF(E28&lt;N28,(18*10)+17.5*(E28-10),(18*10)+17.5*(N28-10)+(17.5-10)*(E28-N28)))))</f>
        <v>249.12500000000003</v>
      </c>
      <c r="X28" s="34">
        <v>305</v>
      </c>
      <c r="Y28" s="10">
        <v>0.86799999999999999</v>
      </c>
      <c r="Z28" s="305">
        <v>3</v>
      </c>
      <c r="AA28" s="28">
        <v>800</v>
      </c>
      <c r="AB28" s="324">
        <v>0.45100000000000001</v>
      </c>
      <c r="AC28" s="406"/>
      <c r="AD28" s="42">
        <f>9.81*AE28/P28/(1+AE28)</f>
        <v>0.30789422826755142</v>
      </c>
      <c r="AE28" s="326">
        <v>0.83799999999999997</v>
      </c>
      <c r="AF28" s="306">
        <v>79.400000000000006</v>
      </c>
      <c r="AG28" s="305">
        <v>78.7</v>
      </c>
      <c r="AH28" s="305">
        <v>1121.21</v>
      </c>
      <c r="AI28" s="305">
        <v>1130.92</v>
      </c>
      <c r="AJ28" s="39">
        <f>IF(AF28="","",1-(AG28*AI28/AF28/AH28))</f>
        <v>2.3218438643912709E-4</v>
      </c>
      <c r="AK28" s="38">
        <v>7.1999999999999995E-2</v>
      </c>
      <c r="AL28" s="34">
        <v>100</v>
      </c>
      <c r="AM28" s="28">
        <v>360.88</v>
      </c>
      <c r="AN28" s="37">
        <f>AL28-AQ28</f>
        <v>22.14</v>
      </c>
      <c r="AO28" s="37">
        <f>AN28-AP28</f>
        <v>0</v>
      </c>
      <c r="AP28" s="37">
        <f>AM28-AR28</f>
        <v>22.139999999999986</v>
      </c>
      <c r="AQ28" s="28">
        <v>77.86</v>
      </c>
      <c r="AR28" s="28">
        <v>338.74</v>
      </c>
      <c r="AT28" s="15">
        <v>75</v>
      </c>
      <c r="AU28" s="32">
        <v>14</v>
      </c>
      <c r="AV28" s="32">
        <v>65</v>
      </c>
      <c r="AW28" s="35">
        <v>19</v>
      </c>
      <c r="BB28" s="111">
        <f>(AM28-AL28)/AK28/1000</f>
        <v>3.6233333333333335</v>
      </c>
      <c r="BC28" s="109"/>
      <c r="BD28" s="109"/>
      <c r="BE28" s="109">
        <f>AL28/AJ28/1000</f>
        <v>430.69218190611406</v>
      </c>
      <c r="BF28" s="304"/>
      <c r="BG28" s="32" t="s">
        <v>0</v>
      </c>
      <c r="BH28" s="303">
        <f>IF(OR(AE28="",Y28=""),"",Y28/AE28)</f>
        <v>1.035799522673031</v>
      </c>
      <c r="BI28" s="405" t="str">
        <f>IF(OR(AE28="",Y28=""),"",IF(Y28/AE28&gt;1.05,"OC",IF(Y28/AE28&lt;0.95,"UC","OK")))</f>
        <v>OK</v>
      </c>
      <c r="BJ28" s="215">
        <f>(AM28-AL28)/2</f>
        <v>130.44</v>
      </c>
      <c r="BK28" s="37">
        <f>AVERAGE(BJ28:BJ30)+(_xlfn.COVARIANCE.P(AL28:AL30,BJ28:BJ30)/_xlfn.STDEV.P(AL28:AL30)^2)*(W28-AVERAGE(AL28:AL30))</f>
        <v>180.55376651785716</v>
      </c>
      <c r="BL28" s="37" t="str">
        <f>IF(BZ28="=",BJ28,"")</f>
        <v/>
      </c>
      <c r="BM28" s="110">
        <f>AN28/(AM28-AL28)</f>
        <v>8.4866605335786577E-2</v>
      </c>
      <c r="BN28" s="110" t="str">
        <f>IF(BM28="","",IF(AND(BM28&gt;=3/4,BM28&lt;=1.5),"HS",IF(AND(BM28&gt;=0.5,BM28&lt;=1),"NC",IF(AND(BM28&gt;=0,BM28&lt;=0.5),"OC",IF(BM28&lt;0,"H-OC","")))))</f>
        <v>OC</v>
      </c>
      <c r="BO28" s="109">
        <f>IF(BX28="","",BX28)</f>
        <v>8.4020000000259678</v>
      </c>
      <c r="BP28" s="110"/>
      <c r="BQ28" s="27">
        <f>BJ28/AL28</f>
        <v>1.3044</v>
      </c>
      <c r="BR28" s="26">
        <f>AL28/W28</f>
        <v>0.4014049172102358</v>
      </c>
      <c r="BS28" s="26" t="str">
        <f>IF(OR(BR28="",BH28=""),"",IF(AND(BR28&lt;1,BH28&gt;1),"NO",""))</f>
        <v>NO</v>
      </c>
      <c r="BT28" s="25">
        <f>IF(AA28="","",AA28/W28)</f>
        <v>3.2112393376818864</v>
      </c>
      <c r="BU28" s="332">
        <v>0.27407738067717119</v>
      </c>
      <c r="BV28" s="23">
        <v>0.2376318496170898</v>
      </c>
      <c r="BW28" s="22">
        <f>(BQ28/BU28)^(1/0.8)</f>
        <v>7.0294604814643664</v>
      </c>
      <c r="BX28" s="21">
        <f>(BQ28/BV28)^(1/0.8)</f>
        <v>8.4020000000259678</v>
      </c>
      <c r="BY28" s="20">
        <f>BU28*BW28^0.8</f>
        <v>1.3044</v>
      </c>
      <c r="BZ28" s="19" t="str">
        <f>IF(BR28&lt;0.85,"",IF(AND(BR28&gt;=0.85,BR28&lt;=1.15),"=","&gt;"))</f>
        <v/>
      </c>
      <c r="CA28" s="19" t="str">
        <f>IF(BZ28="","",IF(AND(BQ28&gt;=0.2,BQ28&lt;=0.451),"OK","NO"))</f>
        <v/>
      </c>
      <c r="CB28" s="18" t="str">
        <f>IF(BZ28="","",IF(AL28&lt;=CF28/1.11,"OC","NC"))</f>
        <v/>
      </c>
      <c r="CC28" s="18" t="str">
        <f>IF(BZ28="","",IF(CA28="OK","NC","OC"))</f>
        <v/>
      </c>
      <c r="CD28" s="12">
        <f>IF(BQ28="","",IF(BW28="","",BW28*AL28))</f>
        <v>702.94604814643662</v>
      </c>
      <c r="CE28" s="17">
        <f>IF(BQ28="","",IF(BX28="","",BX28*AL28))</f>
        <v>840.20000000259677</v>
      </c>
      <c r="CF28" s="16">
        <f>AVERAGE(CD28:CD30)</f>
        <v>840.19999999568245</v>
      </c>
      <c r="CG28" s="15">
        <f>'[1]Oed s''p'!N5</f>
        <v>840.2</v>
      </c>
      <c r="CH28" s="14">
        <f>CG28/W28</f>
        <v>3.3726041144004011</v>
      </c>
      <c r="CI28" s="13" t="str">
        <f>IF(BQ28&lt;0.28,"Y","")</f>
        <v/>
      </c>
      <c r="CJ28" s="12" t="str">
        <f>IF(BQ28&lt;0.8,"Y","")</f>
        <v/>
      </c>
      <c r="CL28" s="125">
        <f>IFERROR(CE28-CG28,"")</f>
        <v>2.5967210603994317E-9</v>
      </c>
      <c r="CN28" s="7" t="str">
        <f>IF(OR(BS28="NO",BG28="TX-CID"),"",BH28)</f>
        <v/>
      </c>
      <c r="CO28" s="7" t="str">
        <f>IF(CN28="","",BQ28)</f>
        <v/>
      </c>
      <c r="CP28" s="10" t="str">
        <f>IF(CO28="","",BR28)</f>
        <v/>
      </c>
      <c r="CQ28" s="9" t="str">
        <f>IF(CO28="","",BV28)</f>
        <v/>
      </c>
      <c r="CR28" s="8" t="str">
        <f>IF(CU28="","",BX28)</f>
        <v/>
      </c>
      <c r="CS28" s="8" t="str">
        <f>IF(CR28="","",LN(CR28))</f>
        <v/>
      </c>
      <c r="CT28" s="8" t="str">
        <f>IF(CS28="","",BM28)</f>
        <v/>
      </c>
      <c r="CU28" s="7" t="str">
        <f>IF(CO28="","",BU28)</f>
        <v/>
      </c>
      <c r="CV28" s="6" t="str">
        <f>IF(CR28="","",CH28)</f>
        <v/>
      </c>
      <c r="CW28" s="5" t="str">
        <f>IF(CU28="","",E28)</f>
        <v/>
      </c>
      <c r="CY28" s="4" t="str">
        <f>IF(CW28="","",IF(H28=1,$DJ$3*CV28^0.8*W28,IF(H28=2,$DK$3*CV28^0.8*W28,IF(H28=3,$DL$3*CV28^0.8*W28,"ERR"))))</f>
        <v/>
      </c>
      <c r="CZ28" s="4" t="str">
        <f>IF(CY28="","",IF(BI28="OK",BJ28,""))</f>
        <v/>
      </c>
      <c r="DA28" s="4" t="str">
        <f>IF(CY28="","",IF(BK28="","",BK28))</f>
        <v/>
      </c>
      <c r="DB28" s="6" t="str">
        <f>IF(CW28="","",BM28)</f>
        <v/>
      </c>
      <c r="DD28" s="4">
        <f>IF(OR(CH28="",W28=""),"",IF(H28=1,$DJ$3*CH28^0.8*W28,IF(H28=2,$DK$3*CH28^0.8*W28,IF(H28=3,$DL$3*CH28^0.8*W28,"ERR"))))</f>
        <v>276.71894579875396</v>
      </c>
      <c r="DE28" s="4">
        <f>IF(OR(CH28="",W28=""),"",IF(H28=1,$DJ$3*W28,IF(H28=2,$DK$3*W28,IF(H28=3,$DL$3*W28,"ERR"))))</f>
        <v>104.63250000000001</v>
      </c>
      <c r="DF28" s="3">
        <f>IF(DE28="","",-1.485*LN(E28)+7.098)</f>
        <v>2.8950522667677072</v>
      </c>
      <c r="DG28" s="4">
        <f>IF(OR(DF28="",W28=""),"",IF(H28=1,$DJ$3*DF28^0.8*W28,IF(H28=2,$DK$3*DF28^0.8*W28,IF(H28=3,$DL$3*CH28^0.8*W28,"ERR"))))</f>
        <v>276.71894579875396</v>
      </c>
    </row>
    <row r="29" spans="1:116">
      <c r="A29" s="51" t="str">
        <f>IF(B29="","",IF(F29&lt;10,CONCATENATE(B29," - 0",F29),CONCATENATE(B29," - ",F29)))</f>
        <v>LR01 - 17</v>
      </c>
      <c r="B29" s="114" t="s">
        <v>7</v>
      </c>
      <c r="C29" s="114">
        <v>16.8</v>
      </c>
      <c r="D29" s="114">
        <v>17.100000000000001</v>
      </c>
      <c r="E29" s="311">
        <f>AVERAGE(D29,C29)</f>
        <v>16.950000000000003</v>
      </c>
      <c r="F29" s="311">
        <f>IF(E29="","",CEILING(E29,0.25))</f>
        <v>17</v>
      </c>
      <c r="G29" s="311" t="s">
        <v>1</v>
      </c>
      <c r="H29" s="310">
        <v>3</v>
      </c>
      <c r="I29" s="217">
        <v>18.63</v>
      </c>
      <c r="J29" s="217">
        <v>14.53</v>
      </c>
      <c r="K29" s="217">
        <v>0.28199999999999997</v>
      </c>
      <c r="L29" s="10">
        <v>0.85499999999999998</v>
      </c>
      <c r="M29" s="309">
        <v>0.89</v>
      </c>
      <c r="N29" s="308">
        <v>11.7</v>
      </c>
      <c r="O29" s="218"/>
      <c r="P29" s="217"/>
      <c r="Q29" s="216"/>
      <c r="R29" s="216">
        <f>IF(L29="","",L29/(1+L29))</f>
        <v>0.46091644204851751</v>
      </c>
      <c r="S29" s="216" t="str">
        <f>IF(R29="","",IF(R29&lt;0.3,"S",IF(R29&lt;0.45,"L",IF(AND(R29&lt;0.5,R29&gt;=0.45),"C",IF(R29&gt;=0.5,"SC","")))))</f>
        <v>C</v>
      </c>
      <c r="T29" s="288">
        <f>L29*9.81/($P$13*(1+L29))</f>
        <v>0.34254471943151199</v>
      </c>
      <c r="U29" s="287">
        <f>N29</f>
        <v>11.7</v>
      </c>
      <c r="V29" s="287">
        <f>IF(E29="","",IF(E29&lt;=10,IF(E29&lt;=N29,18*E29,18*N29+(18-0)*(E29-N29)),IF(AND(E29&gt;10,N29&lt;=10),18*N29+(18-0)*(10-N29)+(17.5-0)*(E29-10),IF(E29&lt;N29,(18*0)+17.5*(E29-10),(18*0)+17.5*(N29-10)+(17.5-0)*(E29-N29)))))</f>
        <v>121.62500000000004</v>
      </c>
      <c r="W29" s="37">
        <f>IF(E29="","",IF(E29&lt;=10,IF(E29&lt;=N29,18*E29,18*N29+(18-10)*(E29-N29)),IF(AND(E29&gt;10,N29&lt;=10),18*N29+(18-10)*(10-N29)+(17.5-10)*(E29-10),IF(E29&lt;N29,(18*10)+17.5*(E29-10),(18*10)+17.5*(N29-10)+(17.5-10)*(E29-N29)))))</f>
        <v>249.12500000000003</v>
      </c>
      <c r="Y29" s="45">
        <f>Y28</f>
        <v>0.86799999999999999</v>
      </c>
      <c r="AB29" s="324">
        <v>0.41099999999999998</v>
      </c>
      <c r="AC29" s="406"/>
      <c r="AD29" s="42">
        <f>9.81*AE29/P28/(1+AE29)</f>
        <v>0.30179773136171095</v>
      </c>
      <c r="AE29" s="326">
        <v>0.80800000000000005</v>
      </c>
      <c r="AF29" s="306">
        <v>79.599999999999994</v>
      </c>
      <c r="AG29" s="305">
        <v>78.2</v>
      </c>
      <c r="AH29" s="305">
        <v>1121.21</v>
      </c>
      <c r="AI29" s="305">
        <v>1113.71</v>
      </c>
      <c r="AJ29" s="39">
        <f>IF(AF29="","",1-(AG29*AI29/AF29/AH29))</f>
        <v>2.4159492264257287E-2</v>
      </c>
      <c r="AK29" s="38">
        <v>0.08</v>
      </c>
      <c r="AL29" s="34">
        <v>200</v>
      </c>
      <c r="AM29" s="28">
        <v>545.99</v>
      </c>
      <c r="AN29" s="37">
        <f>AL29-AQ29</f>
        <v>61.349999999999994</v>
      </c>
      <c r="AO29" s="37">
        <f>AN29-AP29</f>
        <v>0</v>
      </c>
      <c r="AP29" s="37">
        <f>AM29-AR29</f>
        <v>61.350000000000023</v>
      </c>
      <c r="AQ29" s="28">
        <v>138.65</v>
      </c>
      <c r="AR29" s="28">
        <v>484.64</v>
      </c>
      <c r="BB29" s="111">
        <f>(AM29-AL29)/AK29/1000</f>
        <v>4.3248749999999996</v>
      </c>
      <c r="BC29" s="109"/>
      <c r="BD29" s="109"/>
      <c r="BE29" s="109">
        <f>AL29/AJ29/1000</f>
        <v>8.2783196688239027</v>
      </c>
      <c r="BF29" s="304"/>
      <c r="BG29" s="32" t="s">
        <v>0</v>
      </c>
      <c r="BH29" s="31">
        <f>IF(OR(AE29="",Y29=""),"",Y29/AE29)</f>
        <v>1.0742574257425741</v>
      </c>
      <c r="BI29" s="405" t="str">
        <f>IF(OR(AE29="",Y29=""),"",IF(Y29/AE29&gt;1.05,"OC",IF(Y29/AE29&lt;0.95,"UC","OK")))</f>
        <v>OC</v>
      </c>
      <c r="BJ29" s="37">
        <f>(AM29-AL29)/2</f>
        <v>172.995</v>
      </c>
      <c r="BK29" s="37"/>
      <c r="BL29" s="37" t="str">
        <f>IF(BZ29="=",BJ29,"")</f>
        <v/>
      </c>
      <c r="BM29" s="110">
        <f>AN29/(AM29-AL29)</f>
        <v>0.17731726350472554</v>
      </c>
      <c r="BN29" s="110" t="str">
        <f>IF(BM29="","",IF(AND(BM29&gt;=3/4,BM29&lt;=1.5),"HS",IF(AND(BM29&gt;=0.5,BM29&lt;=1),"NC",IF(AND(BM29&gt;=0,BM29&lt;=0.5),"OC",IF(BM29&lt;0,"H-OC","")))))</f>
        <v>OC</v>
      </c>
      <c r="BO29" s="109">
        <f>IF(BX29="","",BX29)</f>
        <v>4.2009999999847008</v>
      </c>
      <c r="BP29" s="110"/>
      <c r="BQ29" s="27">
        <f>BJ29/AL29</f>
        <v>0.86497500000000005</v>
      </c>
      <c r="BR29" s="26">
        <f>AL29/W29</f>
        <v>0.8028098344204716</v>
      </c>
      <c r="BS29" s="26" t="str">
        <f>IF(OR(BR29="",BH29=""),"",IF(AND(BR29&lt;1,BH29&gt;1),"NO",""))</f>
        <v>NO</v>
      </c>
      <c r="BT29" s="25" t="str">
        <f>IF(AA29="","",AA29/W29)</f>
        <v/>
      </c>
      <c r="BU29" s="332">
        <f>BU28</f>
        <v>0.27407738067717119</v>
      </c>
      <c r="BV29" s="23">
        <v>0.27436038915307859</v>
      </c>
      <c r="BW29" s="22">
        <f>(BQ29/BU29)^(1/0.8)</f>
        <v>4.2064230671051162</v>
      </c>
      <c r="BX29" s="21">
        <f>(BQ29/BV29)^(1/0.8)</f>
        <v>4.2009999999847008</v>
      </c>
      <c r="BY29" s="20">
        <f>BU29*BW29^0.8</f>
        <v>0.86497500000000005</v>
      </c>
      <c r="BZ29" s="19" t="str">
        <f>IF(BR29&lt;0.85,"",IF(AND(BR29&gt;=0.85,BR29&lt;=1.15),"=","&gt;"))</f>
        <v/>
      </c>
      <c r="CA29" s="19" t="str">
        <f>IF(BZ29="","",IF(AND(BQ29&gt;=0.2,BQ29&lt;=0.451),"OK","NO"))</f>
        <v/>
      </c>
      <c r="CB29" s="18" t="str">
        <f>IF(BZ29="","",IF(AL29&lt;=CF28/1.11,"OC","NC"))</f>
        <v/>
      </c>
      <c r="CC29" s="18" t="str">
        <f>IF(BZ29="","",IF(CA29="OK","NC","OC"))</f>
        <v/>
      </c>
      <c r="CD29" s="12">
        <f>IF(BQ29="","",IF(BW29="","",BW29*AL29))</f>
        <v>841.28461342102321</v>
      </c>
      <c r="CE29" s="17">
        <f>IF(BQ29="","",IF(BX29="","",BX29*AL29))</f>
        <v>840.19999999694016</v>
      </c>
      <c r="CG29" s="15">
        <f>CG28</f>
        <v>840.2</v>
      </c>
      <c r="CH29" s="14">
        <f>CG29/W29</f>
        <v>3.3726041144004011</v>
      </c>
      <c r="CI29" s="13" t="str">
        <f>IF(BQ29&lt;0.28,"Y","")</f>
        <v/>
      </c>
      <c r="CJ29" s="12" t="str">
        <f>IF(BQ29&lt;0.8,"Y","")</f>
        <v/>
      </c>
      <c r="CK29" s="12" t="str">
        <f>IF(BQ29&lt;BQ28,"","ERR")</f>
        <v/>
      </c>
      <c r="CL29" s="11">
        <f>IFERROR(CE29-CG29,"")</f>
        <v>-3.0598812372772954E-9</v>
      </c>
      <c r="CN29" s="7" t="str">
        <f>IF(OR(BS29="NO",BG29="TX-CID"),"",BH29)</f>
        <v/>
      </c>
      <c r="CO29" s="7" t="str">
        <f>IF(CN29="","",BQ29)</f>
        <v/>
      </c>
      <c r="CP29" s="10" t="str">
        <f>IF(CO29="","",BR29)</f>
        <v/>
      </c>
      <c r="CQ29" s="9" t="str">
        <f>IF(CO29="","",BV29)</f>
        <v/>
      </c>
      <c r="CR29" s="8" t="str">
        <f>IF(CU29="","",BX29)</f>
        <v/>
      </c>
      <c r="CS29" s="8" t="str">
        <f>IF(CR29="","",LN(CR29))</f>
        <v/>
      </c>
      <c r="CT29" s="8" t="str">
        <f>IF(CS29="","",BM29)</f>
        <v/>
      </c>
      <c r="CU29" s="7" t="str">
        <f>IF(CO29="","",BU29)</f>
        <v/>
      </c>
      <c r="CV29" s="6" t="str">
        <f>IF(CR29="","",CH28)</f>
        <v/>
      </c>
      <c r="CW29" s="5" t="str">
        <f>IF(CU29="","",E29)</f>
        <v/>
      </c>
      <c r="CY29" s="4" t="str">
        <f>IF(CW29="","",IF(H29=1,$DJ$3*CV29^0.8*W29,IF(H29=2,$DK$3*CV29^0.8*W29,IF(H29=3,$DL$3*CV29^0.8*W29,"ERR"))))</f>
        <v/>
      </c>
      <c r="CZ29" s="4" t="str">
        <f>IF(CY29="","",IF(BI29="OK",BJ29,""))</f>
        <v/>
      </c>
      <c r="DA29" s="4" t="str">
        <f>IF(CY29="","",IF(BK29="","",BK29))</f>
        <v/>
      </c>
      <c r="DB29" s="6" t="str">
        <f>IF(CW29="","",BM29)</f>
        <v/>
      </c>
      <c r="DD29" s="4">
        <f>IF(OR(CH29="",W29=""),"",IF(H29=1,$DJ$3*CH29^0.8*W29,IF(H29=2,$DK$3*CH29^0.8*W29,IF(H29=3,$DL$3*CH29^0.8*W29,"ERR"))))</f>
        <v>276.71894579875396</v>
      </c>
      <c r="DE29" s="4">
        <f>IF(OR(CH29="",W29=""),"",IF(H29=1,$DJ$3*W29,IF(H29=2,$DK$3*W29,IF(H29=3,$DL$3*W29,"ERR"))))</f>
        <v>104.63250000000001</v>
      </c>
      <c r="DF29" s="3">
        <f>IF(DE29="","",-1.485*LN(E29)+7.098)</f>
        <v>2.8950522667677072</v>
      </c>
      <c r="DG29" s="4">
        <f>IF(OR(DF29="",W29=""),"",IF(H29=1,$DJ$3*DF29^0.8*W29,IF(H29=2,$DK$3*DF29^0.8*W29,IF(H29=3,$DL$3*CH29^0.8*W29,"ERR"))))</f>
        <v>276.71894579875396</v>
      </c>
    </row>
    <row r="30" spans="1:116" s="162" customFormat="1">
      <c r="A30" s="286" t="str">
        <f>IF(B30="","",IF(F30&lt;10,CONCATENATE(B30," - 0",F30),CONCATENATE(B30," - ",F30)))</f>
        <v>LR01 - 17</v>
      </c>
      <c r="B30" s="212" t="s">
        <v>7</v>
      </c>
      <c r="C30" s="212">
        <v>16.8</v>
      </c>
      <c r="D30" s="212">
        <v>17.100000000000001</v>
      </c>
      <c r="E30" s="301">
        <f>AVERAGE(D30,C30)</f>
        <v>16.950000000000003</v>
      </c>
      <c r="F30" s="301">
        <f>IF(E30="","",CEILING(E30,0.25))</f>
        <v>17</v>
      </c>
      <c r="G30" s="301" t="s">
        <v>1</v>
      </c>
      <c r="H30" s="300">
        <v>3</v>
      </c>
      <c r="I30" s="222">
        <v>18.82</v>
      </c>
      <c r="J30" s="222">
        <v>14.4</v>
      </c>
      <c r="K30" s="222">
        <v>0.307</v>
      </c>
      <c r="L30" s="171">
        <v>0.871</v>
      </c>
      <c r="M30" s="299">
        <v>0.95</v>
      </c>
      <c r="N30" s="298">
        <v>11.7</v>
      </c>
      <c r="O30" s="223"/>
      <c r="P30" s="222"/>
      <c r="Q30" s="221"/>
      <c r="R30" s="221">
        <f>IF(L30="","",L30/(1+L30))</f>
        <v>0.46552645644040619</v>
      </c>
      <c r="S30" s="221" t="str">
        <f>IF(R30="","",IF(R30&lt;0.3,"S",IF(R30&lt;0.45,"L",IF(AND(R30&lt;0.5,R30&gt;=0.45),"C",IF(R30&gt;=0.5,"SC","")))))</f>
        <v>C</v>
      </c>
      <c r="T30" s="285">
        <f>L30*9.81/($P$13*(1+L30))</f>
        <v>0.34597079830912014</v>
      </c>
      <c r="U30" s="284">
        <f>N30</f>
        <v>11.7</v>
      </c>
      <c r="V30" s="284">
        <f>IF(E30="","",IF(E30&lt;=10,IF(E30&lt;=N30,18*E30,18*N30+(18-0)*(E30-N30)),IF(AND(E30&gt;10,N30&lt;=10),18*N30+(18-0)*(10-N30)+(17.5-0)*(E30-10),IF(E30&lt;N30,(18*0)+17.5*(E30-10),(18*0)+17.5*(N30-10)+(17.5-0)*(E30-N30)))))</f>
        <v>121.62500000000004</v>
      </c>
      <c r="W30" s="186">
        <f>IF(E30="","",IF(E30&lt;=10,IF(E30&lt;=N30,18*E30,18*N30+(18-10)*(E30-N30)),IF(AND(E30&gt;10,N30&lt;=10),18*N30+(18-10)*(10-N30)+(17.5-10)*(E30-10),IF(E30&lt;N30,(18*10)+17.5*(E30-10),(18*10)+17.5*(N30-10)+(17.5-10)*(E30-N30)))))</f>
        <v>249.12500000000003</v>
      </c>
      <c r="X30" s="197"/>
      <c r="Y30" s="205">
        <f>Y29</f>
        <v>0.86799999999999999</v>
      </c>
      <c r="Z30" s="164"/>
      <c r="AA30" s="189"/>
      <c r="AB30" s="323">
        <v>0.39800000000000002</v>
      </c>
      <c r="AC30" s="404"/>
      <c r="AD30" s="202">
        <f>9.81*AE30/P28/(1+AE30)</f>
        <v>0.28831276932322208</v>
      </c>
      <c r="AE30" s="325">
        <v>0.745</v>
      </c>
      <c r="AF30" s="296">
        <v>79.8</v>
      </c>
      <c r="AG30" s="295">
        <v>78</v>
      </c>
      <c r="AH30" s="295">
        <v>1121.21</v>
      </c>
      <c r="AI30" s="295">
        <v>1070.6400000000001</v>
      </c>
      <c r="AJ30" s="199">
        <f>IF(AF30="","",1-(AG30*AI30/AF30/AH30))</f>
        <v>6.6642087063163991E-2</v>
      </c>
      <c r="AK30" s="198">
        <v>9.5000000000000001E-2</v>
      </c>
      <c r="AL30" s="197">
        <v>400</v>
      </c>
      <c r="AM30" s="189">
        <v>847.72</v>
      </c>
      <c r="AN30" s="186">
        <f>AL30-AQ30</f>
        <v>123.76999999999998</v>
      </c>
      <c r="AO30" s="186">
        <f>AN30-AP30</f>
        <v>0</v>
      </c>
      <c r="AP30" s="186">
        <f>AM30-AR30</f>
        <v>123.76999999999998</v>
      </c>
      <c r="AQ30" s="189">
        <v>276.23</v>
      </c>
      <c r="AR30" s="189">
        <v>723.95</v>
      </c>
      <c r="AS30" s="196"/>
      <c r="AT30" s="66"/>
      <c r="AU30" s="192"/>
      <c r="AV30" s="192"/>
      <c r="AW30" s="195"/>
      <c r="AX30" s="192"/>
      <c r="AY30" s="192"/>
      <c r="AZ30" s="192"/>
      <c r="BA30" s="195"/>
      <c r="BB30" s="194">
        <f>(AM30-AL30)/AK30/1000</f>
        <v>4.7128421052631584</v>
      </c>
      <c r="BC30" s="187"/>
      <c r="BD30" s="187"/>
      <c r="BE30" s="187">
        <f>AL30/AJ30/1000</f>
        <v>6.0022129802278892</v>
      </c>
      <c r="BF30" s="294"/>
      <c r="BG30" s="192" t="s">
        <v>0</v>
      </c>
      <c r="BH30" s="191">
        <f>IF(OR(AE30="",Y30=""),"",Y30/AE30)</f>
        <v>1.1651006711409395</v>
      </c>
      <c r="BI30" s="403" t="str">
        <f>IF(OR(AE30="",Y30=""),"",IF(Y30/AE30&gt;1.05,"OC",IF(Y30/AE30&lt;0.95,"UC","OK")))</f>
        <v>OC</v>
      </c>
      <c r="BJ30" s="186">
        <f>(AM30-AL30)/2</f>
        <v>223.86</v>
      </c>
      <c r="BK30" s="186"/>
      <c r="BL30" s="186" t="str">
        <f>IF(BZ30="=",BJ30,"")</f>
        <v/>
      </c>
      <c r="BM30" s="188">
        <f>AN30/(AM30-AL30)</f>
        <v>0.27644509961583125</v>
      </c>
      <c r="BN30" s="188" t="str">
        <f>IF(BM30="","",IF(AND(BM30&gt;=3/4,BM30&lt;=1.5),"HS",IF(AND(BM30&gt;=0.5,BM30&lt;=1),"NC",IF(AND(BM30&gt;=0,BM30&lt;=0.5),"OC",IF(BM30&lt;0,"H-OC","")))))</f>
        <v>OC</v>
      </c>
      <c r="BO30" s="187">
        <f>IF(BX30="","",BX30)</f>
        <v>2.1004999999885214</v>
      </c>
      <c r="BP30" s="188"/>
      <c r="BQ30" s="185">
        <f>BJ30/AL30</f>
        <v>0.55964999999999998</v>
      </c>
      <c r="BR30" s="184">
        <f>AL30/W30</f>
        <v>1.6056196688409432</v>
      </c>
      <c r="BS30" s="184" t="str">
        <f>IF(OR(BR30="",BH30=""),"",IF(AND(BR30&lt;1,BH30&gt;1),"NO",""))</f>
        <v/>
      </c>
      <c r="BT30" s="183" t="str">
        <f>IF(AA30="","",AA30/W30)</f>
        <v/>
      </c>
      <c r="BU30" s="331">
        <f>BU29</f>
        <v>0.27407738067717119</v>
      </c>
      <c r="BV30" s="181">
        <v>0.30907107265368672</v>
      </c>
      <c r="BW30" s="180">
        <f>(BQ30/BU30)^(1/0.8)</f>
        <v>2.4409233460489692</v>
      </c>
      <c r="BX30" s="179">
        <f>(BQ30/BV30)^(1/0.8)</f>
        <v>2.1004999999885214</v>
      </c>
      <c r="BY30" s="178">
        <f>BU30*BW30^0.8</f>
        <v>0.55964999999999998</v>
      </c>
      <c r="BZ30" s="177" t="str">
        <f>IF(BR30&lt;0.85,"",IF(AND(BR30&gt;=0.85,BR30&lt;=1.15),"=","&gt;"))</f>
        <v>&gt;</v>
      </c>
      <c r="CA30" s="177" t="str">
        <f>IF(BZ30="","",IF(AND(BQ30&gt;=0.2,BQ30&lt;=0.451),"OK","NO"))</f>
        <v>NO</v>
      </c>
      <c r="CB30" s="176" t="str">
        <f>IF(BZ30="","",IF(AL30&lt;=CF28/1.11,"OC","NC"))</f>
        <v>OC</v>
      </c>
      <c r="CC30" s="176" t="str">
        <f>IF(BZ30="","",IF(CA30="OK","NC","OC"))</f>
        <v>OC</v>
      </c>
      <c r="CD30" s="172">
        <f>IF(BQ30="","",IF(BW30="","",BW30*AL30))</f>
        <v>976.36933841958773</v>
      </c>
      <c r="CE30" s="175">
        <f>IF(BQ30="","",IF(BX30="","",BX30*AL30))</f>
        <v>840.19999999540858</v>
      </c>
      <c r="CF30" s="174"/>
      <c r="CG30" s="66">
        <f>CG29</f>
        <v>840.2</v>
      </c>
      <c r="CH30" s="220">
        <f>CG30/W30</f>
        <v>3.3726041144004011</v>
      </c>
      <c r="CI30" s="173" t="str">
        <f>IF(BQ30&lt;0.28,"Y","")</f>
        <v/>
      </c>
      <c r="CJ30" s="172" t="str">
        <f>IF(BQ30&lt;0.8,"Y","")</f>
        <v>Y</v>
      </c>
      <c r="CK30" s="172" t="str">
        <f>IF(BQ30&lt;BQ29,"","ERR")</f>
        <v/>
      </c>
      <c r="CL30" s="11">
        <f>IFERROR(CE30-CG30,"")</f>
        <v>-4.5914703150629066E-9</v>
      </c>
      <c r="CM30" s="163"/>
      <c r="CN30" s="168">
        <f>IF(OR(BS30="NO",BG30="TX-CID"),"",BH30)</f>
        <v>1.1651006711409395</v>
      </c>
      <c r="CO30" s="168">
        <f>IF(CN30="","",BQ30)</f>
        <v>0.55964999999999998</v>
      </c>
      <c r="CP30" s="171">
        <f>IF(CO30="","",BR30)</f>
        <v>1.6056196688409432</v>
      </c>
      <c r="CQ30" s="170">
        <f>IF(CO30="","",BV30)</f>
        <v>0.30907107265368672</v>
      </c>
      <c r="CR30" s="169">
        <f>IF(CU30="","",BX30)</f>
        <v>2.1004999999885214</v>
      </c>
      <c r="CS30" s="169">
        <f>IF(CR30="","",LN(CR30))</f>
        <v>0.74217541162183498</v>
      </c>
      <c r="CT30" s="169">
        <f>IF(CS30="","",BM30)</f>
        <v>0.27644509961583125</v>
      </c>
      <c r="CU30" s="168">
        <f>IF(CO30="","",BU30)</f>
        <v>0.27407738067717119</v>
      </c>
      <c r="CV30" s="166">
        <f>IF(CR30="","",CH28)</f>
        <v>3.3726041144004011</v>
      </c>
      <c r="CW30" s="167">
        <f>IF(CU30="","",E30)</f>
        <v>16.950000000000003</v>
      </c>
      <c r="CX30" s="167"/>
      <c r="CY30" s="165">
        <f>IF(CW30="","",IF(H30=1,$DJ$3*CV30^0.8*W30,IF(H30=2,$DK$3*CV30^0.8*W30,IF(H30=3,$DL$3*CV30^0.8*W30,"ERR"))))</f>
        <v>276.71894579875396</v>
      </c>
      <c r="CZ30" s="165" t="str">
        <f>IF(CY30="","",IF(BI30="OK",BJ30,""))</f>
        <v/>
      </c>
      <c r="DA30" s="165" t="str">
        <f>IF(CY30="","",IF(BK30="","",BK30))</f>
        <v/>
      </c>
      <c r="DB30" s="166">
        <f>IF(CW30="","",BM30)</f>
        <v>0.27644509961583125</v>
      </c>
      <c r="DC30" s="165"/>
      <c r="DD30" s="165">
        <f>IF(OR(CH30="",W30=""),"",IF(H30=1,$DJ$3*CH30^0.8*W30,IF(H30=2,$DK$3*CH30^0.8*W30,IF(H30=3,$DL$3*CH30^0.8*W30,"ERR"))))</f>
        <v>276.71894579875396</v>
      </c>
      <c r="DE30" s="165">
        <f>IF(OR(CH30="",W30=""),"",IF(H30=1,$DJ$3*W30,IF(H30=2,$DK$3*W30,IF(H30=3,$DL$3*W30,"ERR"))))</f>
        <v>104.63250000000001</v>
      </c>
      <c r="DF30" s="164">
        <f>IF(DE30="","",-1.485*LN(E30)+7.098)</f>
        <v>2.8950522667677072</v>
      </c>
      <c r="DG30" s="165">
        <f>IF(OR(DF30="",W30=""),"",IF(H30=1,$DJ$3*DF30^0.8*W30,IF(H30=2,$DK$3*DF30^0.8*W30,IF(H30=3,$DL$3*CH30^0.8*W30,"ERR"))))</f>
        <v>276.71894579875396</v>
      </c>
      <c r="DH30" s="164"/>
      <c r="DJ30" s="163"/>
      <c r="DK30" s="163"/>
      <c r="DL30" s="163"/>
    </row>
    <row r="31" spans="1:116">
      <c r="A31" s="402" t="str">
        <f>IF(B31="","",IF(F31&lt;10,CONCATENATE(B31," - 0",F31),CONCATENATE(B31," - ",F31)))</f>
        <v>LR04 - 08.25</v>
      </c>
      <c r="B31" s="114" t="s">
        <v>6</v>
      </c>
      <c r="C31" s="114">
        <v>7.9</v>
      </c>
      <c r="D31" s="114">
        <v>8.1999999999999993</v>
      </c>
      <c r="E31" s="311">
        <f>AVERAGE(D31,C31)</f>
        <v>8.0500000000000007</v>
      </c>
      <c r="F31" s="311">
        <f>IF(E31="","",CEILING(E31,0.25))</f>
        <v>8.25</v>
      </c>
      <c r="G31" s="311" t="s">
        <v>1</v>
      </c>
      <c r="H31" s="310">
        <v>3</v>
      </c>
      <c r="I31" s="217">
        <v>17.899999999999999</v>
      </c>
      <c r="J31" s="217">
        <v>11.68</v>
      </c>
      <c r="K31" s="217">
        <v>0.46400000000000002</v>
      </c>
      <c r="L31" s="10">
        <v>1.3080000000000001</v>
      </c>
      <c r="M31" s="309">
        <v>0.96</v>
      </c>
      <c r="N31" s="308">
        <v>4.4000000000000004</v>
      </c>
      <c r="O31" s="218">
        <f>(P31*(1+AVERAGE(L31:L33))+(9.81*M31*AVERAGE(L31:L33)))/(1+AVERAGE(L31:L33))</f>
        <v>17.162440545579429</v>
      </c>
      <c r="P31" s="217">
        <f>AVERAGE(J31:J33)</f>
        <v>11.903333333333331</v>
      </c>
      <c r="Q31" s="216">
        <f>AVERAGE(K31:K33)</f>
        <v>0.45</v>
      </c>
      <c r="R31" s="216">
        <f>IF(L31="","",L31/(1+L31))</f>
        <v>0.56672443674176787</v>
      </c>
      <c r="S31" s="216" t="str">
        <f>IF(R31="","",IF(R31&lt;0.3,"S",IF(R31&lt;0.45,"L",IF(AND(R31&lt;0.5,R31&gt;=0.45),"C",IF(R31&gt;=0.5,"SC","")))))</f>
        <v>SC</v>
      </c>
      <c r="T31" s="288">
        <f>L31*9.81/($P$16*(1+L31))</f>
        <v>0.40199325556303278</v>
      </c>
      <c r="U31" s="287">
        <f>N31</f>
        <v>4.4000000000000004</v>
      </c>
      <c r="V31" s="287">
        <f>IF(E31="","",IF(E31&lt;=10,IF(E31&lt;=N31,18*E31,18*N31+(18-0)*(E31-N31)),IF(AND(E31&gt;10,N31&lt;=10),18*N31+(18-0)*(10-N31)+(17.5-0)*(E31-10),IF(E31&lt;N31,(18*0)+17.5*(E31-10),(18*0)+17.5*(N31-10)+(17.5-0)*(E31-N31)))))</f>
        <v>144.9</v>
      </c>
      <c r="W31" s="37">
        <f>IF(E31="","",IF(E31&lt;=10,IF(E31&lt;=N31,18*E31,18*N31+(18-10)*(E31-N31)),IF(AND(E31&gt;10,N31&lt;=10),18*N31+(18-10)*(10-N31)+(17.5-10)*(E31-10),IF(E31&lt;N31,(18*10)+17.5*(E31-10),(18*10)+17.5*(N31-10)+(17.5-10)*(E31-N31)))))</f>
        <v>108.4</v>
      </c>
      <c r="AB31" s="44">
        <v>0.41399999999999998</v>
      </c>
      <c r="AD31" s="42">
        <f>9.81*AE31/P31/(1+AE31)</f>
        <v>0.46534965127465289</v>
      </c>
      <c r="AE31" s="326">
        <v>1.2969999999999999</v>
      </c>
      <c r="AF31" s="306">
        <v>79.7</v>
      </c>
      <c r="AG31" s="305">
        <v>79.2</v>
      </c>
      <c r="AH31" s="305">
        <v>1134.1099999999999</v>
      </c>
      <c r="AI31" s="305">
        <v>1135.6300000000001</v>
      </c>
      <c r="AJ31" s="39">
        <f>IF(AF31="","",1-(AG31*AI31/AF31/AH31))</f>
        <v>4.9416758648247461E-3</v>
      </c>
      <c r="AK31" s="38">
        <v>0.06</v>
      </c>
      <c r="AL31" s="34">
        <v>50</v>
      </c>
      <c r="AM31" s="28">
        <v>167.15</v>
      </c>
      <c r="AN31" s="37">
        <f>AL31-AQ31</f>
        <v>11.200000000000003</v>
      </c>
      <c r="AO31" s="37">
        <f>AN31-AP31</f>
        <v>-1.0000000000005116E-2</v>
      </c>
      <c r="AP31" s="37">
        <f>AM31-AR31</f>
        <v>11.210000000000008</v>
      </c>
      <c r="AQ31" s="28">
        <v>38.799999999999997</v>
      </c>
      <c r="AR31" s="28">
        <v>155.94</v>
      </c>
      <c r="AT31" s="15">
        <v>45</v>
      </c>
      <c r="AU31" s="32">
        <v>11</v>
      </c>
      <c r="AV31" s="32">
        <v>32</v>
      </c>
      <c r="AW31" s="35">
        <v>20</v>
      </c>
      <c r="BB31" s="111">
        <f>(AM31-AL31)/AK31/1000</f>
        <v>1.9525000000000001</v>
      </c>
      <c r="BC31" s="109"/>
      <c r="BD31" s="109"/>
      <c r="BE31" s="109">
        <f>AL31/AJ31/1000</f>
        <v>10.118025011697771</v>
      </c>
      <c r="BF31" s="304"/>
      <c r="BG31" s="32" t="s">
        <v>0</v>
      </c>
      <c r="BH31" s="31" t="str">
        <f>IF(OR(AE31="",Y31=""),"",Y31/AE31)</f>
        <v/>
      </c>
      <c r="BI31" s="7" t="str">
        <f>IF(OR(AE31="",Y31=""),"",IF(Y31/AE31&gt;1.05,"OC",IF(Y31/AE31&lt;0.95,"UC","OK")))</f>
        <v/>
      </c>
      <c r="BJ31" s="37">
        <f>(AM31-AL31)/2</f>
        <v>58.575000000000003</v>
      </c>
      <c r="BK31" s="37">
        <f>AVERAGE(BJ31:BJ33)+(_xlfn.COVARIANCE.P(AL31:AL33,BJ31:BJ33)/_xlfn.STDEV.P(AL31:AL33)^2)*(W31-AVERAGE(AL31:AL33))</f>
        <v>79.623080000000016</v>
      </c>
      <c r="BL31" s="37" t="str">
        <f>IF(BZ31="=",BJ31,"")</f>
        <v/>
      </c>
      <c r="BM31" s="110">
        <f>AN31/(AM31-AL31)</f>
        <v>9.5603926589842098E-2</v>
      </c>
      <c r="BN31" s="110" t="str">
        <f>IF(BM31="","",IF(AND(BM31&gt;=3/4,BM31&lt;=1.5),"HS",IF(AND(BM31&gt;=0.5,BM31&lt;=1),"NC",IF(AND(BM31&gt;=0,BM31&lt;=0.5),"OC",IF(BM31&lt;0,"H-OC","")))))</f>
        <v>OC</v>
      </c>
      <c r="BO31" s="109">
        <f>IF(BX31="","",BX31)</f>
        <v>11.235200000033345</v>
      </c>
      <c r="BP31" s="110"/>
      <c r="BQ31" s="27">
        <f>BJ31/AL31</f>
        <v>1.1715</v>
      </c>
      <c r="BR31" s="26">
        <f>AL31/W31</f>
        <v>0.46125461254612543</v>
      </c>
      <c r="BS31" s="26" t="str">
        <f>IF(OR(BR31="",BH31=""),"",IF(AND(BR31&lt;1,BH31&gt;1),"NO",""))</f>
        <v/>
      </c>
      <c r="BT31" s="25" t="str">
        <f>IF(AA31="","",AA31/W31)</f>
        <v/>
      </c>
      <c r="BU31" s="332">
        <v>0.23696145950663292</v>
      </c>
      <c r="BV31" s="23">
        <v>0.16915219847801072</v>
      </c>
      <c r="BW31" s="22">
        <f>(BQ31/BU31)^(1/0.8)</f>
        <v>7.3719218231732944</v>
      </c>
      <c r="BX31" s="21">
        <f>(BQ31/BV31)^(1/0.8)</f>
        <v>11.235200000033345</v>
      </c>
      <c r="BY31" s="20">
        <f>BU31*BW31^0.8</f>
        <v>1.1715</v>
      </c>
      <c r="BZ31" s="19" t="str">
        <f>IF(BR31&lt;0.85,"",IF(AND(BR31&gt;=0.85,BR31&lt;=1.15),"=","&gt;"))</f>
        <v/>
      </c>
      <c r="CA31" s="19" t="str">
        <f>IF(BZ31="","",IF(AND(BQ31&gt;=0.2,BQ31&lt;=0.451),"OK","NO"))</f>
        <v/>
      </c>
      <c r="CB31" s="18" t="str">
        <f>IF(BZ31="","",IF(AL31&lt;=CF31/1.11,"OC","NC"))</f>
        <v/>
      </c>
      <c r="CC31" s="18" t="str">
        <f>IF(BZ31="","",IF(CA31="OK","NC","OC"))</f>
        <v/>
      </c>
      <c r="CE31" s="17">
        <f>IF(BQ31="","",IF(BX31="","",BX31*AL31))</f>
        <v>561.76000000166721</v>
      </c>
      <c r="CF31" s="16">
        <f>AVERAGE(CD31:CD33)</f>
        <v>561.75999999892815</v>
      </c>
      <c r="CG31" s="15">
        <f>'[1]Oed s''p'!N11</f>
        <v>561.76</v>
      </c>
      <c r="CH31" s="14">
        <f>CG31/W31</f>
        <v>5.1822878228782283</v>
      </c>
      <c r="CI31" s="13" t="str">
        <f>IF(BQ31&lt;0.28,"Y","")</f>
        <v/>
      </c>
      <c r="CJ31" s="12" t="str">
        <f>IF(BQ31&lt;0.8,"Y","")</f>
        <v/>
      </c>
      <c r="CL31" s="125">
        <f>IFERROR(CE31-CG31,"")</f>
        <v>1.6672174751874991E-9</v>
      </c>
      <c r="CN31" s="7" t="str">
        <f>IF(OR(BS31="NO",BG31="TX-CID"),"",BH31)</f>
        <v/>
      </c>
      <c r="CO31" s="7" t="str">
        <f>IF(CN31="","",BQ31)</f>
        <v/>
      </c>
      <c r="CP31" s="10" t="str">
        <f>IF(CO31="","",BR31)</f>
        <v/>
      </c>
      <c r="CQ31" s="9" t="str">
        <f>IF(CO31="","",BV31)</f>
        <v/>
      </c>
      <c r="CR31" s="8" t="str">
        <f>IF(CU31="","",BX31)</f>
        <v/>
      </c>
      <c r="CS31" s="8" t="str">
        <f>IF(CR31="","",LN(CR31))</f>
        <v/>
      </c>
      <c r="CT31" s="8" t="str">
        <f>IF(CS31="","",BM31)</f>
        <v/>
      </c>
      <c r="CU31" s="7" t="str">
        <f>IF(CO31="","",BU31)</f>
        <v/>
      </c>
      <c r="CV31" s="6" t="str">
        <f>IF(CR31="","",CH31)</f>
        <v/>
      </c>
      <c r="CW31" s="5" t="str">
        <f>IF(CU31="","",E31)</f>
        <v/>
      </c>
      <c r="CY31" s="4" t="str">
        <f>IF(CW31="","",IF(H31=1,$DJ$3*CV31^0.8*W31,IF(H31=2,$DK$3*CV31^0.8*W31,IF(H31=3,$DL$3*CV31^0.8*W31,"ERR"))))</f>
        <v/>
      </c>
      <c r="CZ31" s="4" t="str">
        <f>IF(CY31="","",IF(BI31="OK",BJ31,""))</f>
        <v/>
      </c>
      <c r="DA31" s="4" t="str">
        <f>IF(CY31="","",IF(BK31="","",BK31))</f>
        <v/>
      </c>
      <c r="DB31" s="6" t="str">
        <f>IF(CW31="","",BM31)</f>
        <v/>
      </c>
      <c r="DD31" s="4">
        <f>IF(OR(CH31="",W31=""),"",IF(H31=1,$DJ$3*CH31^0.8*W31,IF(H31=2,$DK$3*CH31^0.8*W31,IF(H31=3,$DL$3*CH31^0.8*W31,"ERR"))))</f>
        <v>169.78362292698773</v>
      </c>
      <c r="DE31" s="4">
        <f>IF(OR(CH31="",W31=""),"",IF(H31=1,$DJ$3*W31,IF(H31=2,$DK$3*W31,IF(H31=3,$DL$3*W31,"ERR"))))</f>
        <v>45.527999999999999</v>
      </c>
      <c r="DF31" s="3">
        <f>IF(DE31="","",-1.485*LN(E31)+7.098)</f>
        <v>4.0007769442257484</v>
      </c>
      <c r="DG31" s="4">
        <f>IF(OR(DF31="",W31=""),"",IF(H31=1,$DJ$3*DF31^0.8*W31,IF(H31=2,$DK$3*DF31^0.8*W31,IF(H31=3,$DL$3*CH31^0.8*W31,"ERR"))))</f>
        <v>169.78362292698773</v>
      </c>
    </row>
    <row r="32" spans="1:116">
      <c r="A32" s="51" t="str">
        <f>IF(B32="","",IF(F32&lt;10,CONCATENATE(B32," - 0",F32),CONCATENATE(B32," - ",F32)))</f>
        <v>LR04 - 08.25</v>
      </c>
      <c r="B32" s="114" t="s">
        <v>6</v>
      </c>
      <c r="C32" s="114">
        <v>7.9</v>
      </c>
      <c r="D32" s="114">
        <v>8.1999999999999993</v>
      </c>
      <c r="E32" s="311">
        <f>AVERAGE(D32,C32)</f>
        <v>8.0500000000000007</v>
      </c>
      <c r="F32" s="311">
        <f>IF(E32="","",CEILING(E32,0.25))</f>
        <v>8.25</v>
      </c>
      <c r="G32" s="311" t="s">
        <v>1</v>
      </c>
      <c r="H32" s="310">
        <v>3</v>
      </c>
      <c r="I32" s="217">
        <v>17.23</v>
      </c>
      <c r="J32" s="217">
        <v>12.01</v>
      </c>
      <c r="K32" s="217">
        <v>0.434</v>
      </c>
      <c r="L32" s="10">
        <v>1.2430000000000001</v>
      </c>
      <c r="M32" s="309">
        <v>0.94</v>
      </c>
      <c r="N32" s="308">
        <v>4.4000000000000004</v>
      </c>
      <c r="O32" s="218"/>
      <c r="P32" s="217"/>
      <c r="Q32" s="216"/>
      <c r="R32" s="216">
        <f>IF(L32="","",L32/(1+L32))</f>
        <v>0.55416852429781538</v>
      </c>
      <c r="S32" s="216" t="str">
        <f>IF(R32="","",IF(R32&lt;0.3,"S",IF(R32&lt;0.45,"L",IF(AND(R32&lt;0.5,R32&gt;=0.45),"C",IF(R32&gt;=0.5,"SC","")))))</f>
        <v>SC</v>
      </c>
      <c r="T32" s="288">
        <f>L32*9.81/($P$16*(1+L32))</f>
        <v>0.39308700096612942</v>
      </c>
      <c r="U32" s="287">
        <f>N32</f>
        <v>4.4000000000000004</v>
      </c>
      <c r="V32" s="287">
        <f>IF(E32="","",IF(E32&lt;=10,IF(E32&lt;=N32,18*E32,18*N32+(18-0)*(E32-N32)),IF(AND(E32&gt;10,N32&lt;=10),18*N32+(18-0)*(10-N32)+(17.5-0)*(E32-10),IF(E32&lt;N32,(18*0)+17.5*(E32-10),(18*0)+17.5*(N32-10)+(17.5-0)*(E32-N32)))))</f>
        <v>144.9</v>
      </c>
      <c r="W32" s="37">
        <f>IF(E32="","",IF(E32&lt;=10,IF(E32&lt;=N32,18*E32,18*N32+(18-10)*(E32-N32)),IF(AND(E32&gt;10,N32&lt;=10),18*N32+(18-10)*(10-N32)+(17.5-10)*(E32-10),IF(E32&lt;N32,(18*10)+17.5*(E32-10),(18*10)+17.5*(N32-10)+(17.5-10)*(E32-N32)))))</f>
        <v>108.4</v>
      </c>
      <c r="AB32" s="44">
        <v>0.41199999999999998</v>
      </c>
      <c r="AD32" s="42">
        <f>9.81*AE32/P31/(1+AE32)</f>
        <v>0.44901877984120053</v>
      </c>
      <c r="AE32" s="326">
        <v>1.1970000000000001</v>
      </c>
      <c r="AF32" s="306">
        <v>79.2</v>
      </c>
      <c r="AG32" s="305">
        <v>78.8</v>
      </c>
      <c r="AH32" s="305">
        <v>1122.1099999999999</v>
      </c>
      <c r="AI32" s="305">
        <v>1104.6199999999999</v>
      </c>
      <c r="AJ32" s="39">
        <f>IF(AF32="","",1-(AG32*AI32/AF32/AH32))</f>
        <v>2.0558491492713715E-2</v>
      </c>
      <c r="AK32" s="38">
        <v>0.06</v>
      </c>
      <c r="AL32" s="34">
        <v>150</v>
      </c>
      <c r="AM32" s="28">
        <v>354.31</v>
      </c>
      <c r="AN32" s="37">
        <f>AL32-AQ32</f>
        <v>86.960000000000008</v>
      </c>
      <c r="AO32" s="37">
        <f>AN32-AP32</f>
        <v>0</v>
      </c>
      <c r="AP32" s="37">
        <f>AM32-AR32</f>
        <v>86.95999999999998</v>
      </c>
      <c r="AQ32" s="28">
        <v>63.04</v>
      </c>
      <c r="AR32" s="28">
        <v>267.35000000000002</v>
      </c>
      <c r="BB32" s="111">
        <f>(AM32-AL32)/AK32/1000</f>
        <v>3.4051666666666671</v>
      </c>
      <c r="BC32" s="109"/>
      <c r="BD32" s="109"/>
      <c r="BE32" s="109">
        <f>AL32/AJ32/1000</f>
        <v>7.2962551777285114</v>
      </c>
      <c r="BF32" s="304"/>
      <c r="BG32" s="32" t="s">
        <v>0</v>
      </c>
      <c r="BH32" s="31" t="str">
        <f>IF(OR(AE32="",Y32=""),"",Y32/AE32)</f>
        <v/>
      </c>
      <c r="BI32" s="7" t="str">
        <f>IF(OR(AE32="",Y32=""),"",IF(Y32/AE32&gt;1.05,"OC",IF(Y32/AE32&lt;0.95,"UC","OK")))</f>
        <v/>
      </c>
      <c r="BJ32" s="37">
        <f>(AM32-AL32)/2</f>
        <v>102.155</v>
      </c>
      <c r="BK32" s="37"/>
      <c r="BL32" s="37" t="str">
        <f>IF(BZ32="=",BJ32,"")</f>
        <v/>
      </c>
      <c r="BM32" s="110">
        <f>AN32/(AM32-AL32)</f>
        <v>0.42562772257843479</v>
      </c>
      <c r="BN32" s="110" t="str">
        <f>IF(BM32="","",IF(AND(BM32&gt;=3/4,BM32&lt;=1.5),"HS",IF(AND(BM32&gt;=0.5,BM32&lt;=1),"NC",IF(AND(BM32&gt;=0,BM32&lt;=0.5),"OC",IF(BM32&lt;0,"H-OC","")))))</f>
        <v>OC</v>
      </c>
      <c r="BO32" s="109">
        <f>IF(BX32="","",BX32)</f>
        <v>3.7450666666684969</v>
      </c>
      <c r="BP32" s="110"/>
      <c r="BQ32" s="27">
        <f>BJ32/AL32</f>
        <v>0.68103333333333338</v>
      </c>
      <c r="BR32" s="26">
        <f>AL32/W32</f>
        <v>1.3837638376383763</v>
      </c>
      <c r="BS32" s="26" t="str">
        <f>IF(OR(BR32="",BH32=""),"",IF(AND(BR32&lt;1,BH32&gt;1),"NO",""))</f>
        <v/>
      </c>
      <c r="BT32" s="25" t="str">
        <f>IF(AA32="","",AA32/W32)</f>
        <v/>
      </c>
      <c r="BU32" s="332">
        <f>BU31</f>
        <v>0.23696145950663292</v>
      </c>
      <c r="BV32" s="23">
        <v>0.23681037559759188</v>
      </c>
      <c r="BW32" s="22">
        <f>(BQ32/BU32)^(1/0.8)</f>
        <v>3.7420821401413806</v>
      </c>
      <c r="BX32" s="21">
        <f>(BQ32/BV32)^(1/0.8)</f>
        <v>3.7450666666684969</v>
      </c>
      <c r="BY32" s="20">
        <f>BU32*BW32^0.8</f>
        <v>0.68103333333333338</v>
      </c>
      <c r="BZ32" s="19" t="str">
        <f>IF(BR32&lt;0.85,"",IF(AND(BR32&gt;=0.85,BR32&lt;=1.15),"=","&gt;"))</f>
        <v>&gt;</v>
      </c>
      <c r="CA32" s="19" t="str">
        <f>IF(BZ32="","",IF(AND(BQ32&gt;=0.2,BQ32&lt;=0.451),"OK","NO"))</f>
        <v>NO</v>
      </c>
      <c r="CB32" s="18" t="str">
        <f>IF(BZ32="","",IF(AL32&lt;=CF31/1.11,"OC","NC"))</f>
        <v>OC</v>
      </c>
      <c r="CC32" s="18" t="str">
        <f>IF(BZ32="","",IF(CA32="OK","NC","OC"))</f>
        <v>OC</v>
      </c>
      <c r="CD32" s="12">
        <f>IF(BQ32="","",IF(BW32="","",BW32*AL32))</f>
        <v>561.31232102120714</v>
      </c>
      <c r="CE32" s="17">
        <f>IF(BQ32="","",IF(BX32="","",BX32*AL32))</f>
        <v>561.76000000027454</v>
      </c>
      <c r="CG32" s="15">
        <f>CG31</f>
        <v>561.76</v>
      </c>
      <c r="CH32" s="14">
        <f>CG32/W32</f>
        <v>5.1822878228782283</v>
      </c>
      <c r="CI32" s="13" t="str">
        <f>IF(BQ32&lt;0.28,"Y","")</f>
        <v/>
      </c>
      <c r="CJ32" s="12" t="str">
        <f>IF(BQ32&lt;0.8,"Y","")</f>
        <v>Y</v>
      </c>
      <c r="CK32" s="12" t="str">
        <f>IF(BQ32&lt;BQ31,"","ERR")</f>
        <v/>
      </c>
      <c r="CL32" s="11">
        <f>IFERROR(CE32-CG32,"")</f>
        <v>2.7455371309770271E-10</v>
      </c>
      <c r="CN32" s="7" t="str">
        <f>IF(OR(BS32="NO",BG32="TX-CID"),"",BH32)</f>
        <v/>
      </c>
      <c r="CO32" s="7" t="str">
        <f>IF(CN32="","",BQ32)</f>
        <v/>
      </c>
      <c r="CP32" s="10" t="str">
        <f>IF(CO32="","",BR32)</f>
        <v/>
      </c>
      <c r="CQ32" s="9" t="str">
        <f>IF(CO32="","",BV32)</f>
        <v/>
      </c>
      <c r="CR32" s="8" t="str">
        <f>IF(CU32="","",BX32)</f>
        <v/>
      </c>
      <c r="CS32" s="8" t="str">
        <f>IF(CR32="","",LN(CR32))</f>
        <v/>
      </c>
      <c r="CT32" s="8" t="str">
        <f>IF(CS32="","",BM32)</f>
        <v/>
      </c>
      <c r="CU32" s="7" t="str">
        <f>IF(CO32="","",BU32)</f>
        <v/>
      </c>
      <c r="CV32" s="6" t="str">
        <f>IF(CR32="","",CH31)</f>
        <v/>
      </c>
      <c r="CW32" s="5" t="str">
        <f>IF(CU32="","",E32)</f>
        <v/>
      </c>
      <c r="CY32" s="4" t="str">
        <f>IF(CW32="","",IF(H32=1,$DJ$3*CV32^0.8*W32,IF(H32=2,$DK$3*CV32^0.8*W32,IF(H32=3,$DL$3*CV32^0.8*W32,"ERR"))))</f>
        <v/>
      </c>
      <c r="CZ32" s="4" t="str">
        <f>IF(CY32="","",IF(BI32="OK",BJ32,""))</f>
        <v/>
      </c>
      <c r="DA32" s="4" t="str">
        <f>IF(CY32="","",IF(BK32="","",BK32))</f>
        <v/>
      </c>
      <c r="DB32" s="6" t="str">
        <f>IF(CW32="","",BM32)</f>
        <v/>
      </c>
      <c r="DD32" s="4">
        <f>IF(OR(CH32="",W32=""),"",IF(H32=1,$DJ$3*CH32^0.8*W32,IF(H32=2,$DK$3*CH32^0.8*W32,IF(H32=3,$DL$3*CH32^0.8*W32,"ERR"))))</f>
        <v>169.78362292698773</v>
      </c>
      <c r="DE32" s="4">
        <f>IF(OR(CH32="",W32=""),"",IF(H32=1,$DJ$3*W32,IF(H32=2,$DK$3*W32,IF(H32=3,$DL$3*W32,"ERR"))))</f>
        <v>45.527999999999999</v>
      </c>
      <c r="DF32" s="3">
        <f>IF(DE32="","",-1.485*LN(E32)+7.098)</f>
        <v>4.0007769442257484</v>
      </c>
      <c r="DG32" s="4">
        <f>IF(OR(DF32="",W32=""),"",IF(H32=1,$DJ$3*DF32^0.8*W32,IF(H32=2,$DK$3*DF32^0.8*W32,IF(H32=3,$DL$3*CH32^0.8*W32,"ERR"))))</f>
        <v>169.78362292698773</v>
      </c>
    </row>
    <row r="33" spans="1:116" s="162" customFormat="1">
      <c r="A33" s="286" t="str">
        <f>IF(B33="","",IF(F33&lt;10,CONCATENATE(B33," - 0",F33),CONCATENATE(B33," - ",F33)))</f>
        <v>LR04 - 08.25</v>
      </c>
      <c r="B33" s="212" t="s">
        <v>6</v>
      </c>
      <c r="C33" s="212">
        <v>7.9</v>
      </c>
      <c r="D33" s="212">
        <v>8.1999999999999993</v>
      </c>
      <c r="E33" s="301">
        <f>AVERAGE(D33,C33)</f>
        <v>8.0500000000000007</v>
      </c>
      <c r="F33" s="301">
        <f>IF(E33="","",CEILING(E33,0.25))</f>
        <v>8.25</v>
      </c>
      <c r="G33" s="301" t="s">
        <v>1</v>
      </c>
      <c r="H33" s="300">
        <v>3</v>
      </c>
      <c r="I33" s="222">
        <v>17.45</v>
      </c>
      <c r="J33" s="222">
        <v>12.02</v>
      </c>
      <c r="K33" s="222">
        <v>0.45200000000000001</v>
      </c>
      <c r="L33" s="171">
        <v>1.2430000000000001</v>
      </c>
      <c r="M33" s="299">
        <v>0.98</v>
      </c>
      <c r="N33" s="298">
        <v>4.4000000000000004</v>
      </c>
      <c r="O33" s="223"/>
      <c r="P33" s="222"/>
      <c r="Q33" s="221"/>
      <c r="R33" s="221">
        <f>IF(L33="","",L33/(1+L33))</f>
        <v>0.55416852429781538</v>
      </c>
      <c r="S33" s="221" t="str">
        <f>IF(R33="","",IF(R33&lt;0.3,"S",IF(R33&lt;0.45,"L",IF(AND(R33&lt;0.5,R33&gt;=0.45),"C",IF(R33&gt;=0.5,"SC","")))))</f>
        <v>SC</v>
      </c>
      <c r="T33" s="285">
        <f>L33*9.81/($P$16*(1+L33))</f>
        <v>0.39308700096612942</v>
      </c>
      <c r="U33" s="284">
        <f>N33</f>
        <v>4.4000000000000004</v>
      </c>
      <c r="V33" s="284">
        <f>IF(E33="","",IF(E33&lt;=10,IF(E33&lt;=N33,18*E33,18*N33+(18-0)*(E33-N33)),IF(AND(E33&gt;10,N33&lt;=10),18*N33+(18-0)*(10-N33)+(17.5-0)*(E33-10),IF(E33&lt;N33,(18*0)+17.5*(E33-10),(18*0)+17.5*(N33-10)+(17.5-0)*(E33-N33)))))</f>
        <v>144.9</v>
      </c>
      <c r="W33" s="186">
        <f>IF(E33="","",IF(E33&lt;=10,IF(E33&lt;=N33,18*E33,18*N33+(18-10)*(E33-N33)),IF(AND(E33&gt;10,N33&lt;=10),18*N33+(18-10)*(10-N33)+(17.5-10)*(E33-10),IF(E33&lt;N33,(18*10)+17.5*(E33-10),(18*10)+17.5*(N33-10)+(17.5-10)*(E33-N33)))))</f>
        <v>108.4</v>
      </c>
      <c r="X33" s="197"/>
      <c r="Y33" s="205"/>
      <c r="Z33" s="164"/>
      <c r="AA33" s="189"/>
      <c r="AB33" s="204">
        <v>0.40500000000000003</v>
      </c>
      <c r="AC33" s="203"/>
      <c r="AD33" s="202">
        <f>9.81*AE33/P31/(1+AE33)</f>
        <v>0.44764785205014929</v>
      </c>
      <c r="AE33" s="325">
        <v>1.1890000000000001</v>
      </c>
      <c r="AF33" s="296">
        <v>79.2</v>
      </c>
      <c r="AG33" s="295">
        <v>78</v>
      </c>
      <c r="AH33" s="295">
        <v>1134.1099999999999</v>
      </c>
      <c r="AI33" s="295">
        <v>1124.1400000000001</v>
      </c>
      <c r="AJ33" s="199">
        <f>IF(AF33="","",1-(AG33*AI33/AF33/AH33))</f>
        <v>2.3809352040299436E-2</v>
      </c>
      <c r="AK33" s="198">
        <v>4.4999999999999998E-2</v>
      </c>
      <c r="AL33" s="197">
        <v>300</v>
      </c>
      <c r="AM33" s="189">
        <v>534.99</v>
      </c>
      <c r="AN33" s="186">
        <f>AL33-AQ33</f>
        <v>137.11000000000001</v>
      </c>
      <c r="AO33" s="186">
        <f>AN33-AP33</f>
        <v>0</v>
      </c>
      <c r="AP33" s="186">
        <f>AM33-AR33</f>
        <v>137.11000000000001</v>
      </c>
      <c r="AQ33" s="189">
        <v>162.88999999999999</v>
      </c>
      <c r="AR33" s="189">
        <v>397.88</v>
      </c>
      <c r="AS33" s="196"/>
      <c r="AT33" s="66"/>
      <c r="AU33" s="192"/>
      <c r="AV33" s="192"/>
      <c r="AW33" s="195"/>
      <c r="AX33" s="192"/>
      <c r="AY33" s="192"/>
      <c r="AZ33" s="192"/>
      <c r="BA33" s="195"/>
      <c r="BB33" s="194">
        <f>(AM33-AL33)/AK33/1000</f>
        <v>5.2220000000000004</v>
      </c>
      <c r="BC33" s="187"/>
      <c r="BD33" s="187"/>
      <c r="BE33" s="187">
        <f>AL33/AJ33/1000</f>
        <v>12.600090900929326</v>
      </c>
      <c r="BF33" s="294"/>
      <c r="BG33" s="192" t="s">
        <v>0</v>
      </c>
      <c r="BH33" s="191" t="str">
        <f>IF(OR(AE33="",Y33=""),"",Y33/AE33)</f>
        <v/>
      </c>
      <c r="BI33" s="168" t="str">
        <f>IF(OR(AE33="",Y33=""),"",IF(Y33/AE33&gt;1.05,"OC",IF(Y33/AE33&lt;0.95,"UC","OK")))</f>
        <v/>
      </c>
      <c r="BJ33" s="186">
        <f>(AM33-AL33)/2</f>
        <v>117.495</v>
      </c>
      <c r="BK33" s="186"/>
      <c r="BL33" s="186" t="str">
        <f>IF(BZ33="=",BJ33,"")</f>
        <v/>
      </c>
      <c r="BM33" s="188">
        <f>AN33/(AM33-AL33)</f>
        <v>0.58347163709094008</v>
      </c>
      <c r="BN33" s="188" t="str">
        <f>IF(BM33="","",IF(AND(BM33&gt;=3/4,BM33&lt;=1.5),"HS",IF(AND(BM33&gt;=0.5,BM33&lt;=1),"NC",IF(AND(BM33&gt;=0,BM33&lt;=0.5),"OC",IF(BM33&lt;0,"H-OC","")))))</f>
        <v>NC</v>
      </c>
      <c r="BO33" s="187">
        <f>IF(BX33="","",BX33)</f>
        <v>1.872533333332163</v>
      </c>
      <c r="BP33" s="188"/>
      <c r="BQ33" s="185">
        <f>BJ33/AL33</f>
        <v>0.39165</v>
      </c>
      <c r="BR33" s="184">
        <f>AL33/W33</f>
        <v>2.7675276752767526</v>
      </c>
      <c r="BS33" s="184" t="str">
        <f>IF(OR(BR33="",BH33=""),"",IF(AND(BR33&lt;1,BH33&gt;1),"NO",""))</f>
        <v/>
      </c>
      <c r="BT33" s="183" t="str">
        <f>IF(AA33="","",AA33/W33)</f>
        <v/>
      </c>
      <c r="BU33" s="331">
        <f>BU32</f>
        <v>0.23696145950663292</v>
      </c>
      <c r="BV33" s="181">
        <v>0.23711251933647051</v>
      </c>
      <c r="BW33" s="180">
        <f>(BQ33/BU33)^(1/0.8)</f>
        <v>1.8740255965888311</v>
      </c>
      <c r="BX33" s="179">
        <f>(BQ33/BV33)^(1/0.8)</f>
        <v>1.872533333332163</v>
      </c>
      <c r="BY33" s="178">
        <f>BU33*BW33^0.8</f>
        <v>0.39165</v>
      </c>
      <c r="BZ33" s="177" t="str">
        <f>IF(BR33&lt;0.85,"",IF(AND(BR33&gt;=0.85,BR33&lt;=1.15),"=","&gt;"))</f>
        <v>&gt;</v>
      </c>
      <c r="CA33" s="177" t="str">
        <f>IF(BZ33="","",IF(AND(BQ33&gt;=0.2,BQ33&lt;=0.451),"OK","NO"))</f>
        <v>OK</v>
      </c>
      <c r="CB33" s="176" t="str">
        <f>IF(BZ33="","",IF(AL33&lt;=CF31/1.11,"OC","NC"))</f>
        <v>OC</v>
      </c>
      <c r="CC33" s="176" t="str">
        <f>IF(BZ33="","",IF(CA33="OK","NC","OC"))</f>
        <v>NC</v>
      </c>
      <c r="CD33" s="172">
        <f>IF(BQ33="","",IF(BW33="","",BW33*AL33))</f>
        <v>562.20767897664928</v>
      </c>
      <c r="CE33" s="175">
        <f>IF(BQ33="","",IF(BX33="","",BX33*AL33))</f>
        <v>561.75999999964893</v>
      </c>
      <c r="CF33" s="174"/>
      <c r="CG33" s="66">
        <f>CG32</f>
        <v>561.76</v>
      </c>
      <c r="CH33" s="220">
        <f>CG33/W33</f>
        <v>5.1822878228782283</v>
      </c>
      <c r="CI33" s="173" t="str">
        <f>IF(BQ33&lt;0.28,"Y","")</f>
        <v/>
      </c>
      <c r="CJ33" s="172" t="str">
        <f>IF(BQ33&lt;0.8,"Y","")</f>
        <v>Y</v>
      </c>
      <c r="CK33" s="172" t="str">
        <f>IF(BQ33&lt;BQ32,"","ERR")</f>
        <v/>
      </c>
      <c r="CL33" s="11">
        <f>IFERROR(CE33-CG33,"")</f>
        <v>-3.510649548843503E-10</v>
      </c>
      <c r="CM33" s="163"/>
      <c r="CN33" s="168" t="str">
        <f>IF(OR(BS33="NO",BG33="TX-CID"),"",BH33)</f>
        <v/>
      </c>
      <c r="CO33" s="168" t="str">
        <f>IF(CN33="","",BQ33)</f>
        <v/>
      </c>
      <c r="CP33" s="171" t="str">
        <f>IF(CO33="","",BR33)</f>
        <v/>
      </c>
      <c r="CQ33" s="170" t="str">
        <f>IF(CO33="","",BV33)</f>
        <v/>
      </c>
      <c r="CR33" s="169" t="str">
        <f>IF(CU33="","",BX33)</f>
        <v/>
      </c>
      <c r="CS33" s="169" t="str">
        <f>IF(CR33="","",LN(CR33))</f>
        <v/>
      </c>
      <c r="CT33" s="169" t="str">
        <f>IF(CS33="","",BM33)</f>
        <v/>
      </c>
      <c r="CU33" s="168" t="str">
        <f>IF(CO33="","",BU33)</f>
        <v/>
      </c>
      <c r="CV33" s="166" t="str">
        <f>IF(CR33="","",CH31)</f>
        <v/>
      </c>
      <c r="CW33" s="167" t="str">
        <f>IF(CU33="","",E33)</f>
        <v/>
      </c>
      <c r="CX33" s="167"/>
      <c r="CY33" s="165" t="str">
        <f>IF(CW33="","",IF(H33=1,$DJ$3*CV33^0.8*W33,IF(H33=2,$DK$3*CV33^0.8*W33,IF(H33=3,$DL$3*CV33^0.8*W33,"ERR"))))</f>
        <v/>
      </c>
      <c r="CZ33" s="165" t="str">
        <f>IF(CY33="","",IF(BI33="OK",BJ33,""))</f>
        <v/>
      </c>
      <c r="DA33" s="165" t="str">
        <f>IF(CY33="","",IF(BK33="","",BK33))</f>
        <v/>
      </c>
      <c r="DB33" s="166" t="str">
        <f>IF(CW33="","",BM33)</f>
        <v/>
      </c>
      <c r="DC33" s="165"/>
      <c r="DD33" s="165">
        <f>IF(OR(CH33="",W33=""),"",IF(H33=1,$DJ$3*CH33^0.8*W33,IF(H33=2,$DK$3*CH33^0.8*W33,IF(H33=3,$DL$3*CH33^0.8*W33,"ERR"))))</f>
        <v>169.78362292698773</v>
      </c>
      <c r="DE33" s="165">
        <f>IF(OR(CH33="",W33=""),"",IF(H33=1,$DJ$3*W33,IF(H33=2,$DK$3*W33,IF(H33=3,$DL$3*W33,"ERR"))))</f>
        <v>45.527999999999999</v>
      </c>
      <c r="DF33" s="164">
        <f>IF(DE33="","",-1.485*LN(E33)+7.098)</f>
        <v>4.0007769442257484</v>
      </c>
      <c r="DG33" s="165">
        <f>IF(OR(DF33="",W33=""),"",IF(H33=1,$DJ$3*DF33^0.8*W33,IF(H33=2,$DK$3*DF33^0.8*W33,IF(H33=3,$DL$3*CH33^0.8*W33,"ERR"))))</f>
        <v>169.78362292698773</v>
      </c>
      <c r="DH33" s="164"/>
      <c r="DJ33" s="163"/>
      <c r="DK33" s="163"/>
      <c r="DL33" s="163"/>
    </row>
    <row r="34" spans="1:116">
      <c r="A34" s="51" t="str">
        <f>IF(B34="","",IF(F34&lt;10,CONCATENATE(B34," - 0",F34),CONCATENATE(B34," - ",F34)))</f>
        <v>LR04 - 25.5</v>
      </c>
      <c r="B34" s="114" t="s">
        <v>6</v>
      </c>
      <c r="C34" s="114">
        <v>25.2</v>
      </c>
      <c r="D34" s="114">
        <v>25.5</v>
      </c>
      <c r="E34" s="311">
        <f>AVERAGE(D34,C34)</f>
        <v>25.35</v>
      </c>
      <c r="F34" s="311">
        <f>IF(E34="","",CEILING(E34,0.25))</f>
        <v>25.5</v>
      </c>
      <c r="G34" s="311" t="s">
        <v>1</v>
      </c>
      <c r="H34" s="310">
        <v>3</v>
      </c>
      <c r="I34" s="217">
        <v>17.61</v>
      </c>
      <c r="J34" s="217">
        <v>12.53</v>
      </c>
      <c r="K34" s="217">
        <v>0.40500000000000003</v>
      </c>
      <c r="L34" s="10">
        <v>1.1499999999999999</v>
      </c>
      <c r="M34" s="309">
        <v>0.95</v>
      </c>
      <c r="N34" s="308">
        <v>4.4000000000000004</v>
      </c>
      <c r="O34" s="218">
        <f>(P34*(1+AVERAGE(L34:L36))+(9.81*M34*AVERAGE(L34:L36)))/(1+AVERAGE(L34:L36))</f>
        <v>17.579697823936698</v>
      </c>
      <c r="P34" s="217">
        <f>AVERAGE(J34:J36)</f>
        <v>12.626666666666667</v>
      </c>
      <c r="Q34" s="216">
        <f>AVERAGE(K34:K36)</f>
        <v>0.39833333333333326</v>
      </c>
      <c r="R34" s="216">
        <f>IF(L34="","",L34/(1+L34))</f>
        <v>0.53488372093023251</v>
      </c>
      <c r="S34" s="216" t="str">
        <f>IF(R34="","",IF(R34&lt;0.3,"S",IF(R34&lt;0.45,"L",IF(AND(R34&lt;0.5,R34&gt;=0.45),"C",IF(R34&gt;=0.5,"SC","")))))</f>
        <v>SC</v>
      </c>
      <c r="T34" s="288">
        <f>L34*9.81/($P$19*(1+L34))</f>
        <v>0.40791987320489093</v>
      </c>
      <c r="U34" s="287">
        <f>N34</f>
        <v>4.4000000000000004</v>
      </c>
      <c r="V34" s="287">
        <f>IF(E34="","",IF(E34&lt;=10,IF(E34&lt;=N34,18*E34,18*N34+(18-0)*(E34-N34)),IF(AND(E34&gt;10,N34&lt;=10),18*N34+(18-0)*(10-N34)+(17.5-0)*(E34-10),IF(E34&lt;N34,(18*0)+17.5*(E34-10),(18*0)+17.5*(N34-10)+(17.5-0)*(E34-N34)))))</f>
        <v>448.625</v>
      </c>
      <c r="W34" s="37">
        <f>IF(E34="","",IF(E34&lt;=10,IF(E34&lt;=N34,18*E34,18*N34+(18-10)*(E34-N34)),IF(AND(E34&gt;10,N34&lt;=10),18*N34+(18-10)*(10-N34)+(17.5-10)*(E34-10),IF(E34&lt;N34,(18*10)+17.5*(E34-10),(18*10)+17.5*(N34-10)+(17.5-10)*(E34-N34)))))</f>
        <v>239.125</v>
      </c>
      <c r="AB34" s="44">
        <v>0.42</v>
      </c>
      <c r="AD34" s="42">
        <f>9.81*AE34/P34/(1+AE34)</f>
        <v>0.40923800518837727</v>
      </c>
      <c r="AE34" s="326">
        <v>1.113</v>
      </c>
      <c r="AF34" s="306">
        <v>79.400000000000006</v>
      </c>
      <c r="AG34" s="305">
        <v>78.8</v>
      </c>
      <c r="AH34" s="305">
        <v>1104.47</v>
      </c>
      <c r="AI34" s="305">
        <v>1093.51</v>
      </c>
      <c r="AJ34" s="39">
        <f>IF(AF34="","",1-(AG34*AI34/AF34/AH34))</f>
        <v>1.7404999455042702E-2</v>
      </c>
      <c r="AK34" s="38">
        <v>5.1999999999999998E-2</v>
      </c>
      <c r="AL34" s="34">
        <v>50</v>
      </c>
      <c r="AM34" s="28">
        <v>198.2</v>
      </c>
      <c r="AN34" s="37">
        <f>AL34-AQ34</f>
        <v>-2.1300000000000026</v>
      </c>
      <c r="AO34" s="37">
        <f>AN34-AP34</f>
        <v>1.0000000000012221E-2</v>
      </c>
      <c r="AP34" s="37">
        <f>AM34-AR34</f>
        <v>-2.1400000000000148</v>
      </c>
      <c r="AQ34" s="28">
        <v>52.13</v>
      </c>
      <c r="AR34" s="28">
        <v>200.34</v>
      </c>
      <c r="AT34" s="15">
        <v>35</v>
      </c>
      <c r="AU34" s="32">
        <v>21</v>
      </c>
      <c r="AV34" s="32">
        <v>15</v>
      </c>
      <c r="AW34" s="35">
        <v>31</v>
      </c>
      <c r="BB34" s="111">
        <f>(AM34-AL34)/AK34/1000</f>
        <v>2.85</v>
      </c>
      <c r="BC34" s="109"/>
      <c r="BD34" s="109"/>
      <c r="BE34" s="109">
        <f>AL34/AJ34/1000</f>
        <v>2.8727378089927855</v>
      </c>
      <c r="BF34" s="304"/>
      <c r="BG34" s="32" t="s">
        <v>0</v>
      </c>
      <c r="BH34" s="31" t="str">
        <f>IF(OR(AE34="",Y34=""),"",Y34/AE34)</f>
        <v/>
      </c>
      <c r="BI34" s="7" t="str">
        <f>IF(OR(AE34="",Y34=""),"",IF(Y34/AE34&gt;1.05,"OC",IF(Y34/AE34&lt;0.95,"UC","OK")))</f>
        <v/>
      </c>
      <c r="BJ34" s="37">
        <f>(AM34-AL34)/2</f>
        <v>74.099999999999994</v>
      </c>
      <c r="BK34" s="37">
        <f>AVERAGE(BJ34:BJ36)+(_xlfn.COVARIANCE.P(AL34:AL36,BJ34:BJ36)/_xlfn.STDEV.P(AL34:AL36)^2)*(W34-AVERAGE(AL34:AL36))</f>
        <v>179.40592006578947</v>
      </c>
      <c r="BL34" s="37" t="str">
        <f>IF(BZ34="=",BJ34,"")</f>
        <v/>
      </c>
      <c r="BM34" s="110">
        <f>AN34/(AM34-AL34)</f>
        <v>-1.4372469635627549E-2</v>
      </c>
      <c r="BN34" s="327" t="str">
        <f>IF(BM34="","",IF(AND(BM34&gt;=3/4,BM34&lt;=1.5),"HS",IF(AND(BM34&gt;=0.5,BM34&lt;=1),"NC",IF(AND(BM34&gt;=0,BM34&lt;=0.5),"OC",IF(BM34&lt;0,"H-OC","")))))</f>
        <v>H-OC</v>
      </c>
      <c r="BO34" s="109">
        <f>IF(BX34="","",BX34)</f>
        <v>14.003199999942193</v>
      </c>
      <c r="BP34" s="110"/>
      <c r="BQ34" s="27">
        <f>BJ34/AL34</f>
        <v>1.482</v>
      </c>
      <c r="BR34" s="26">
        <f>AL34/W34</f>
        <v>0.20909566126502874</v>
      </c>
      <c r="BS34" s="26" t="str">
        <f>IF(OR(BR34="",BH34=""),"",IF(AND(BR34&lt;1,BH34&gt;1),"NO",""))</f>
        <v/>
      </c>
      <c r="BT34" s="25" t="str">
        <f>IF(AA34="","",AA34/W34)</f>
        <v/>
      </c>
      <c r="BU34" s="24">
        <v>0.36</v>
      </c>
      <c r="BV34" s="23">
        <v>0.17941814835710121</v>
      </c>
      <c r="BW34" s="22">
        <f>(BQ34/BU34)^(1/0.8)</f>
        <v>5.8638402282490718</v>
      </c>
      <c r="BX34" s="21">
        <f>(BQ34/BV34)^(1/0.8)</f>
        <v>14.003199999942193</v>
      </c>
      <c r="BY34" s="20">
        <f>BU34*BW34^0.8</f>
        <v>1.4820000000000004</v>
      </c>
      <c r="BZ34" s="19" t="str">
        <f>IF(BR34&lt;0.85,"",IF(AND(BR34&gt;=0.85,BR34&lt;=1.15),"=","&gt;"))</f>
        <v/>
      </c>
      <c r="CA34" s="19" t="str">
        <f>IF(BZ34="","",IF(AND(BQ34&gt;=0.2,BQ34&lt;=0.451),"OK","NO"))</f>
        <v/>
      </c>
      <c r="CB34" s="18" t="str">
        <f>IF(BZ34="","",IF(AL34&lt;=CF34/1.11,"OC","NC"))</f>
        <v/>
      </c>
      <c r="CC34" s="18" t="str">
        <f>IF(BZ34="","",IF(CA34="OK","NC","OC"))</f>
        <v/>
      </c>
      <c r="CE34" s="17">
        <f>IF(BQ34="","",IF(BX34="","",BX34*AL34))</f>
        <v>700.15999999710971</v>
      </c>
      <c r="CF34" s="16">
        <f>AVERAGE(CD34:CD36)</f>
        <v>699.32767817542049</v>
      </c>
      <c r="CG34" s="15">
        <f>'[1]Oed s''p'!N14</f>
        <v>700.16</v>
      </c>
      <c r="CH34" s="14">
        <f>CG34/W34</f>
        <v>2.9280083638264505</v>
      </c>
      <c r="CI34" s="13" t="str">
        <f>IF(BQ34&lt;0.28,"Y","")</f>
        <v/>
      </c>
      <c r="CJ34" s="12" t="str">
        <f>IF(BQ34&lt;0.8,"Y","")</f>
        <v/>
      </c>
      <c r="CL34" s="125">
        <f>IFERROR(CE34-CG34,"")</f>
        <v>-2.8902604753966443E-9</v>
      </c>
      <c r="CN34" s="7" t="str">
        <f>IF(OR(BS34="NO",BG34="TX-CID"),"",BH34)</f>
        <v/>
      </c>
      <c r="CO34" s="7" t="str">
        <f>IF(CN34="","",BQ34)</f>
        <v/>
      </c>
      <c r="CP34" s="10" t="str">
        <f>IF(CO34="","",BR34)</f>
        <v/>
      </c>
      <c r="CQ34" s="9" t="str">
        <f>IF(CO34="","",BV34)</f>
        <v/>
      </c>
      <c r="CR34" s="8" t="str">
        <f>IF(CU34="","",BX34)</f>
        <v/>
      </c>
      <c r="CS34" s="8" t="str">
        <f>IF(CR34="","",LN(CR34))</f>
        <v/>
      </c>
      <c r="CT34" s="8" t="str">
        <f>IF(CS34="","",BM34)</f>
        <v/>
      </c>
      <c r="CU34" s="7" t="str">
        <f>IF(CO34="","",BU34)</f>
        <v/>
      </c>
      <c r="CV34" s="6" t="str">
        <f>IF(CR34="","",CH34)</f>
        <v/>
      </c>
      <c r="CW34" s="5" t="str">
        <f>IF(CU34="","",E34)</f>
        <v/>
      </c>
      <c r="CY34" s="4" t="str">
        <f>IF(CW34="","",IF(H34=1,$DJ$3*CV34^0.8*W34,IF(H34=2,$DK$3*CV34^0.8*W34,IF(H34=3,$DL$3*CV34^0.8*W34,"ERR"))))</f>
        <v/>
      </c>
      <c r="CZ34" s="4" t="str">
        <f>IF(CY34="","",IF(BI34="OK",BJ34,""))</f>
        <v/>
      </c>
      <c r="DA34" s="4" t="str">
        <f>IF(CY34="","",IF(BK34="","",BK34))</f>
        <v/>
      </c>
      <c r="DB34" s="6" t="str">
        <f>IF(CW34="","",BM34)</f>
        <v/>
      </c>
      <c r="DD34" s="4">
        <f>IF(OR(CH34="",W34=""),"",IF(H34=1,$DJ$3*CH34^0.8*W34,IF(H34=2,$DK$3*CH34^0.8*W34,IF(H34=3,$DL$3*CH34^0.8*W34,"ERR"))))</f>
        <v>237.20952495880056</v>
      </c>
      <c r="DE34" s="4">
        <f>IF(OR(CH34="",W34=""),"",IF(H34=1,$DJ$3*W34,IF(H34=2,$DK$3*W34,IF(H34=3,$DL$3*W34,"ERR"))))</f>
        <v>100.43249999999999</v>
      </c>
      <c r="DF34" s="3">
        <f>IF(DE34="","",-1.485*LN(E34)+7.098)</f>
        <v>2.2973235858947696</v>
      </c>
      <c r="DG34" s="4">
        <f>IF(OR(DF34="",W34=""),"",IF(H34=1,$DJ$3*DF34^0.8*W34,IF(H34=2,$DK$3*DF34^0.8*W34,IF(H34=3,$DL$3*CH34^0.8*W34,"ERR"))))</f>
        <v>237.20952495880056</v>
      </c>
    </row>
    <row r="35" spans="1:116">
      <c r="A35" s="51" t="str">
        <f>IF(B35="","",IF(F35&lt;10,CONCATENATE(B35," - 0",F35),CONCATENATE(B35," - ",F35)))</f>
        <v>LR04 - 25.5</v>
      </c>
      <c r="B35" s="114" t="s">
        <v>6</v>
      </c>
      <c r="C35" s="114">
        <v>25.2</v>
      </c>
      <c r="D35" s="114">
        <v>25.5</v>
      </c>
      <c r="E35" s="311">
        <f>AVERAGE(D35,C35)</f>
        <v>25.35</v>
      </c>
      <c r="F35" s="311">
        <f>IF(E35="","",CEILING(E35,0.25))</f>
        <v>25.5</v>
      </c>
      <c r="G35" s="311" t="s">
        <v>1</v>
      </c>
      <c r="H35" s="310">
        <v>3</v>
      </c>
      <c r="I35" s="217">
        <v>17.63</v>
      </c>
      <c r="J35" s="217">
        <v>12.5</v>
      </c>
      <c r="K35" s="217">
        <v>0.41</v>
      </c>
      <c r="L35" s="10">
        <v>1.1559999999999999</v>
      </c>
      <c r="M35" s="309">
        <v>0.96</v>
      </c>
      <c r="N35" s="308">
        <v>4.4000000000000004</v>
      </c>
      <c r="O35" s="218"/>
      <c r="P35" s="217"/>
      <c r="Q35" s="216"/>
      <c r="R35" s="216">
        <f>IF(L35="","",L35/(1+L35))</f>
        <v>0.53617810760667906</v>
      </c>
      <c r="S35" s="216" t="str">
        <f>IF(R35="","",IF(R35&lt;0.3,"S",IF(R35&lt;0.45,"L",IF(AND(R35&lt;0.5,R35&gt;=0.45),"C",IF(R35&gt;=0.5,"SC","")))))</f>
        <v>SC</v>
      </c>
      <c r="T35" s="288">
        <f>L35*9.81/($P$19*(1+L35))</f>
        <v>0.40890701494855053</v>
      </c>
      <c r="U35" s="287">
        <f>N35</f>
        <v>4.4000000000000004</v>
      </c>
      <c r="V35" s="287">
        <f>IF(E35="","",IF(E35&lt;=10,IF(E35&lt;=N35,18*E35,18*N35+(18-0)*(E35-N35)),IF(AND(E35&gt;10,N35&lt;=10),18*N35+(18-0)*(10-N35)+(17.5-0)*(E35-10),IF(E35&lt;N35,(18*0)+17.5*(E35-10),(18*0)+17.5*(N35-10)+(17.5-0)*(E35-N35)))))</f>
        <v>448.625</v>
      </c>
      <c r="W35" s="37">
        <f>IF(E35="","",IF(E35&lt;=10,IF(E35&lt;=N35,18*E35,18*N35+(18-10)*(E35-N35)),IF(AND(E35&gt;10,N35&lt;=10),18*N35+(18-10)*(10-N35)+(17.5-10)*(E35-10),IF(E35&lt;N35,(18*10)+17.5*(E35-10),(18*10)+17.5*(N35-10)+(17.5-10)*(E35-N35)))))</f>
        <v>239.125</v>
      </c>
      <c r="AB35" s="44">
        <v>0.41399999999999998</v>
      </c>
      <c r="AD35" s="42">
        <f>9.81*AE35/P34/(1+AE35)</f>
        <v>0.39867634070179081</v>
      </c>
      <c r="AE35" s="326">
        <v>1.054</v>
      </c>
      <c r="AF35" s="306">
        <v>79.400000000000006</v>
      </c>
      <c r="AG35" s="305">
        <v>78.099999999999994</v>
      </c>
      <c r="AH35" s="305">
        <v>1110.3599999999999</v>
      </c>
      <c r="AI35" s="305">
        <v>1075.71</v>
      </c>
      <c r="AJ35" s="39">
        <f>IF(AF35="","",1-(AG35*AI35/AF35/AH35))</f>
        <v>4.7067960258515118E-2</v>
      </c>
      <c r="AK35" s="38">
        <v>3.4000000000000002E-2</v>
      </c>
      <c r="AL35" s="34">
        <v>150</v>
      </c>
      <c r="AM35" s="28">
        <v>412.79</v>
      </c>
      <c r="AN35" s="37">
        <f>AL35-AQ35</f>
        <v>57.08</v>
      </c>
      <c r="AO35" s="37">
        <f>AN35-AP35</f>
        <v>-1.0000000000033538E-2</v>
      </c>
      <c r="AP35" s="37">
        <f>AM35-AR35</f>
        <v>57.090000000000032</v>
      </c>
      <c r="AQ35" s="28">
        <v>92.92</v>
      </c>
      <c r="AR35" s="28">
        <v>355.7</v>
      </c>
      <c r="BB35" s="111">
        <f>(AM35-AL35)/AK35/1000</f>
        <v>7.729117647058823</v>
      </c>
      <c r="BC35" s="109"/>
      <c r="BD35" s="109"/>
      <c r="BE35" s="109">
        <f>AL35/AJ35/1000</f>
        <v>3.1868812494984491</v>
      </c>
      <c r="BF35" s="304"/>
      <c r="BG35" s="32" t="s">
        <v>0</v>
      </c>
      <c r="BH35" s="31" t="str">
        <f>IF(OR(AE35="",Y35=""),"",Y35/AE35)</f>
        <v/>
      </c>
      <c r="BI35" s="7" t="str">
        <f>IF(OR(AE35="",Y35=""),"",IF(Y35/AE35&gt;1.05,"OC",IF(Y35/AE35&lt;0.95,"UC","OK")))</f>
        <v/>
      </c>
      <c r="BJ35" s="37">
        <f>(AM35-AL35)/2</f>
        <v>131.39500000000001</v>
      </c>
      <c r="BK35" s="37"/>
      <c r="BL35" s="37" t="str">
        <f>IF(BZ35="=",BJ35,"")</f>
        <v/>
      </c>
      <c r="BM35" s="110">
        <f>AN35/(AM35-AL35)</f>
        <v>0.2172076563035123</v>
      </c>
      <c r="BN35" s="110" t="str">
        <f>IF(BM35="","",IF(AND(BM35&gt;=3/4,BM35&lt;=1.5),"HS",IF(AND(BM35&gt;=0.5,BM35&lt;=1),"NC",IF(AND(BM35&gt;=0,BM35&lt;=0.5),"OC",IF(BM35&lt;0,"H-OC","")))))</f>
        <v>OC</v>
      </c>
      <c r="BO35" s="109">
        <f>IF(BX35="","",BX35)</f>
        <v>4.6677333333370523</v>
      </c>
      <c r="BP35" s="110"/>
      <c r="BQ35" s="27">
        <f>BJ35/AL35</f>
        <v>0.87596666666666678</v>
      </c>
      <c r="BR35" s="26">
        <f>AL35/W35</f>
        <v>0.62728698379508629</v>
      </c>
      <c r="BS35" s="26" t="str">
        <f>IF(OR(BR35="",BH35=""),"",IF(AND(BR35&lt;1,BH35&gt;1),"NO",""))</f>
        <v/>
      </c>
      <c r="BT35" s="25" t="str">
        <f>IF(AA35="","",AA35/W35)</f>
        <v/>
      </c>
      <c r="BU35" s="24">
        <f>BU34</f>
        <v>0.36</v>
      </c>
      <c r="BV35" s="23">
        <v>0.25538933110675893</v>
      </c>
      <c r="BW35" s="22">
        <f>(BQ35/BU35)^(1/0.8)</f>
        <v>3.039004542792314</v>
      </c>
      <c r="BX35" s="21">
        <f>(BQ35/BV35)^(1/0.8)</f>
        <v>4.6677333333370523</v>
      </c>
      <c r="BY35" s="20">
        <f>BU35*BW35^0.8</f>
        <v>0.875966666666667</v>
      </c>
      <c r="BZ35" s="19" t="str">
        <f>IF(BR35&lt;0.85,"",IF(AND(BR35&gt;=0.85,BR35&lt;=1.15),"=","&gt;"))</f>
        <v/>
      </c>
      <c r="CA35" s="19" t="str">
        <f>IF(BZ35="","",IF(AND(BQ35&gt;=0.2,BQ35&lt;=0.451),"OK","NO"))</f>
        <v/>
      </c>
      <c r="CB35" s="18" t="str">
        <f>IF(BZ35="","",IF(AL35&lt;=CF34/1.11,"OC","NC"))</f>
        <v/>
      </c>
      <c r="CC35" s="18" t="str">
        <f>IF(BZ35="","",IF(CA35="OK","NC","OC"))</f>
        <v/>
      </c>
      <c r="CE35" s="17">
        <f>IF(BQ35="","",IF(BX35="","",BX35*AL35))</f>
        <v>700.16000000055783</v>
      </c>
      <c r="CG35" s="15">
        <f>CG34</f>
        <v>700.16</v>
      </c>
      <c r="CH35" s="14">
        <f>CG35/W35</f>
        <v>2.9280083638264505</v>
      </c>
      <c r="CI35" s="13" t="str">
        <f>IF(BQ35&lt;0.28,"Y","")</f>
        <v/>
      </c>
      <c r="CJ35" s="12" t="str">
        <f>IF(BQ35&lt;0.8,"Y","")</f>
        <v/>
      </c>
      <c r="CK35" s="12" t="str">
        <f>IF(BQ35&lt;BQ34,"","ERR")</f>
        <v/>
      </c>
      <c r="CL35" s="11">
        <f>IFERROR(CE35-CG35,"")</f>
        <v>5.5786131269996986E-10</v>
      </c>
      <c r="CN35" s="7" t="str">
        <f>IF(OR(BS35="NO",BG35="TX-CID"),"",BH35)</f>
        <v/>
      </c>
      <c r="CO35" s="7" t="str">
        <f>IF(CN35="","",BQ35)</f>
        <v/>
      </c>
      <c r="CP35" s="10" t="str">
        <f>IF(CO35="","",BR35)</f>
        <v/>
      </c>
      <c r="CQ35" s="9" t="str">
        <f>IF(CO35="","",BV35)</f>
        <v/>
      </c>
      <c r="CR35" s="8" t="str">
        <f>IF(CU35="","",BX35)</f>
        <v/>
      </c>
      <c r="CS35" s="8" t="str">
        <f>IF(CR35="","",LN(CR35))</f>
        <v/>
      </c>
      <c r="CT35" s="8" t="str">
        <f>IF(CS35="","",BM35)</f>
        <v/>
      </c>
      <c r="CU35" s="7" t="str">
        <f>IF(CO35="","",BU35)</f>
        <v/>
      </c>
      <c r="CV35" s="6" t="str">
        <f>IF(CR35="","",CH34)</f>
        <v/>
      </c>
      <c r="CW35" s="5" t="str">
        <f>IF(CU35="","",E35)</f>
        <v/>
      </c>
      <c r="CY35" s="4" t="str">
        <f>IF(CW35="","",IF(H35=1,$DJ$3*CV35^0.8*W35,IF(H35=2,$DK$3*CV35^0.8*W35,IF(H35=3,$DL$3*CV35^0.8*W35,"ERR"))))</f>
        <v/>
      </c>
      <c r="CZ35" s="4" t="str">
        <f>IF(CY35="","",IF(BI35="OK",BJ35,""))</f>
        <v/>
      </c>
      <c r="DA35" s="4" t="str">
        <f>IF(CY35="","",IF(BK35="","",BK35))</f>
        <v/>
      </c>
      <c r="DB35" s="6" t="str">
        <f>IF(CW35="","",BM35)</f>
        <v/>
      </c>
      <c r="DD35" s="4">
        <f>IF(OR(CH35="",W35=""),"",IF(H35=1,$DJ$3*CH35^0.8*W35,IF(H35=2,$DK$3*CH35^0.8*W35,IF(H35=3,$DL$3*CH35^0.8*W35,"ERR"))))</f>
        <v>237.20952495880056</v>
      </c>
      <c r="DE35" s="4">
        <f>IF(OR(CH35="",W35=""),"",IF(H35=1,$DJ$3*W35,IF(H35=2,$DK$3*W35,IF(H35=3,$DL$3*W35,"ERR"))))</f>
        <v>100.43249999999999</v>
      </c>
      <c r="DF35" s="3">
        <f>IF(DE35="","",-1.485*LN(E35)+7.098)</f>
        <v>2.2973235858947696</v>
      </c>
      <c r="DG35" s="4">
        <f>IF(OR(DF35="",W35=""),"",IF(H35=1,$DJ$3*DF35^0.8*W35,IF(H35=2,$DK$3*DF35^0.8*W35,IF(H35=3,$DL$3*CH35^0.8*W35,"ERR"))))</f>
        <v>237.20952495880056</v>
      </c>
    </row>
    <row r="36" spans="1:116" s="162" customFormat="1">
      <c r="A36" s="286" t="str">
        <f>IF(B36="","",IF(F36&lt;10,CONCATENATE(B36," - 0",F36),CONCATENATE(B36," - ",F36)))</f>
        <v>LR04 - 25.5</v>
      </c>
      <c r="B36" s="212" t="s">
        <v>6</v>
      </c>
      <c r="C36" s="212">
        <v>25.2</v>
      </c>
      <c r="D36" s="212">
        <v>25.5</v>
      </c>
      <c r="E36" s="301">
        <f>AVERAGE(D36,C36)</f>
        <v>25.35</v>
      </c>
      <c r="F36" s="301">
        <f>IF(E36="","",CEILING(E36,0.25))</f>
        <v>25.5</v>
      </c>
      <c r="G36" s="301" t="s">
        <v>1</v>
      </c>
      <c r="H36" s="300">
        <v>3</v>
      </c>
      <c r="I36" s="222">
        <v>17.73</v>
      </c>
      <c r="J36" s="222">
        <v>12.85</v>
      </c>
      <c r="K36" s="222">
        <v>0.38</v>
      </c>
      <c r="L36" s="171">
        <v>1.097</v>
      </c>
      <c r="M36" s="299">
        <v>0.93</v>
      </c>
      <c r="N36" s="298">
        <v>4.4000000000000004</v>
      </c>
      <c r="O36" s="223"/>
      <c r="P36" s="222"/>
      <c r="Q36" s="221"/>
      <c r="R36" s="221">
        <f>IF(L36="","",L36/(1+L36))</f>
        <v>0.52312827849308541</v>
      </c>
      <c r="S36" s="221" t="str">
        <f>IF(R36="","",IF(R36&lt;0.3,"S",IF(R36&lt;0.45,"L",IF(AND(R36&lt;0.5,R36&gt;=0.45),"C",IF(R36&gt;=0.5,"SC","")))))</f>
        <v>SC</v>
      </c>
      <c r="T36" s="285">
        <f>L36*9.81/($P$19*(1+L36))</f>
        <v>0.39895478714826382</v>
      </c>
      <c r="U36" s="284">
        <f>N36</f>
        <v>4.4000000000000004</v>
      </c>
      <c r="V36" s="284">
        <f>IF(E36="","",IF(E36&lt;=10,IF(E36&lt;=N36,18*E36,18*N36+(18-0)*(E36-N36)),IF(AND(E36&gt;10,N36&lt;=10),18*N36+(18-0)*(10-N36)+(17.5-0)*(E36-10),IF(E36&lt;N36,(18*0)+17.5*(E36-10),(18*0)+17.5*(N36-10)+(17.5-0)*(E36-N36)))))</f>
        <v>448.625</v>
      </c>
      <c r="W36" s="186">
        <f>IF(E36="","",IF(E36&lt;=10,IF(E36&lt;=N36,18*E36,18*N36+(18-10)*(E36-N36)),IF(AND(E36&gt;10,N36&lt;=10),18*N36+(18-10)*(10-N36)+(17.5-10)*(E36-10),IF(E36&lt;N36,(18*10)+17.5*(E36-10),(18*10)+17.5*(N36-10)+(17.5-10)*(E36-N36)))))</f>
        <v>239.125</v>
      </c>
      <c r="X36" s="197"/>
      <c r="Y36" s="205"/>
      <c r="Z36" s="164"/>
      <c r="AA36" s="189"/>
      <c r="AB36" s="204">
        <v>0.39400000000000002</v>
      </c>
      <c r="AC36" s="203"/>
      <c r="AD36" s="202">
        <f>9.81*AE36/P34/(1+AE36)</f>
        <v>0.38334702772793944</v>
      </c>
      <c r="AE36" s="325">
        <v>0.97399999999999998</v>
      </c>
      <c r="AF36" s="296">
        <v>79.400000000000006</v>
      </c>
      <c r="AG36" s="295">
        <v>77.2</v>
      </c>
      <c r="AH36" s="295">
        <v>1104.47</v>
      </c>
      <c r="AI36" s="295">
        <v>1069.42</v>
      </c>
      <c r="AJ36" s="199">
        <f>IF(AF36="","",1-(AG36*AI36/AF36/AH36))</f>
        <v>5.8563188348040862E-2</v>
      </c>
      <c r="AK36" s="198">
        <v>3.4000000000000002E-2</v>
      </c>
      <c r="AL36" s="197">
        <v>300</v>
      </c>
      <c r="AM36" s="189">
        <v>725.11</v>
      </c>
      <c r="AN36" s="186">
        <f>AL36-AQ36</f>
        <v>126.71000000000001</v>
      </c>
      <c r="AO36" s="186">
        <f>AN36-AP36</f>
        <v>9.9999999999624833E-3</v>
      </c>
      <c r="AP36" s="186">
        <f>AM36-AR36</f>
        <v>126.70000000000005</v>
      </c>
      <c r="AQ36" s="189">
        <v>173.29</v>
      </c>
      <c r="AR36" s="189">
        <v>598.41</v>
      </c>
      <c r="AS36" s="196"/>
      <c r="AT36" s="66"/>
      <c r="AU36" s="192"/>
      <c r="AV36" s="192"/>
      <c r="AW36" s="195"/>
      <c r="AX36" s="192"/>
      <c r="AY36" s="192"/>
      <c r="AZ36" s="192"/>
      <c r="BA36" s="195"/>
      <c r="BB36" s="194">
        <f>(AM36-AL36)/AK36/1000</f>
        <v>12.503235294117648</v>
      </c>
      <c r="BC36" s="187"/>
      <c r="BD36" s="187"/>
      <c r="BE36" s="187">
        <f>AL36/AJ36/1000</f>
        <v>5.1226719115274397</v>
      </c>
      <c r="BF36" s="294"/>
      <c r="BG36" s="192" t="s">
        <v>0</v>
      </c>
      <c r="BH36" s="191" t="str">
        <f>IF(OR(AE36="",Y36=""),"",Y36/AE36)</f>
        <v/>
      </c>
      <c r="BI36" s="168" t="str">
        <f>IF(OR(AE36="",Y36=""),"",IF(Y36/AE36&gt;1.05,"OC",IF(Y36/AE36&lt;0.95,"UC","OK")))</f>
        <v/>
      </c>
      <c r="BJ36" s="186">
        <f>(AM36-AL36)/2</f>
        <v>212.55500000000001</v>
      </c>
      <c r="BK36" s="186"/>
      <c r="BL36" s="186" t="str">
        <f>IF(BZ36="=",BJ36,"")</f>
        <v/>
      </c>
      <c r="BM36" s="188">
        <f>AN36/(AM36-AL36)</f>
        <v>0.29806403048622709</v>
      </c>
      <c r="BN36" s="188" t="str">
        <f>IF(BM36="","",IF(AND(BM36&gt;=3/4,BM36&lt;=1.5),"HS",IF(AND(BM36&gt;=0.5,BM36&lt;=1),"NC",IF(AND(BM36&gt;=0,BM36&lt;=0.5),"OC",IF(BM36&lt;0,"H-OC","")))))</f>
        <v>OC</v>
      </c>
      <c r="BO36" s="187">
        <f>IF(BX36="","",BX36)</f>
        <v>2.3338666666705619</v>
      </c>
      <c r="BP36" s="188"/>
      <c r="BQ36" s="185">
        <f>BJ36/AL36</f>
        <v>0.70851666666666668</v>
      </c>
      <c r="BR36" s="184">
        <f>AL36/W36</f>
        <v>1.2545739675901726</v>
      </c>
      <c r="BS36" s="184" t="str">
        <f>IF(OR(BR36="",BH36=""),"",IF(AND(BR36&lt;1,BH36&gt;1),"NO",""))</f>
        <v/>
      </c>
      <c r="BT36" s="183" t="str">
        <f>IF(AA36="","",AA36/W36)</f>
        <v/>
      </c>
      <c r="BU36" s="182">
        <f>BU35</f>
        <v>0.36</v>
      </c>
      <c r="BV36" s="181">
        <v>0.35965759655654345</v>
      </c>
      <c r="BW36" s="180">
        <f>(BQ36/BU36)^(1/0.8)</f>
        <v>2.3310922605847351</v>
      </c>
      <c r="BX36" s="179">
        <f>(BQ36/BV36)^(1/0.8)</f>
        <v>2.3338666666705619</v>
      </c>
      <c r="BY36" s="178">
        <f>BU36*BW36^0.8</f>
        <v>0.70851666666666668</v>
      </c>
      <c r="BZ36" s="177" t="str">
        <f>IF(BR36&lt;0.85,"",IF(AND(BR36&gt;=0.85,BR36&lt;=1.15),"=","&gt;"))</f>
        <v>&gt;</v>
      </c>
      <c r="CA36" s="177" t="str">
        <f>IF(BZ36="","",IF(AND(BQ36&gt;=0.2,BQ36&lt;=0.451),"OK","NO"))</f>
        <v>NO</v>
      </c>
      <c r="CB36" s="176" t="str">
        <f>IF(BZ36="","",IF(AL36&lt;=CF34/1.11,"OC","NC"))</f>
        <v>OC</v>
      </c>
      <c r="CC36" s="176" t="str">
        <f>IF(BZ36="","",IF(CA36="OK","NC","OC"))</f>
        <v>OC</v>
      </c>
      <c r="CD36" s="172">
        <f>IF(BQ36="","",IF(BW36="","",BW36*AL36))</f>
        <v>699.32767817542049</v>
      </c>
      <c r="CE36" s="175">
        <f>IF(BQ36="","",IF(BX36="","",BX36*AL36))</f>
        <v>700.16000000116856</v>
      </c>
      <c r="CF36" s="174"/>
      <c r="CG36" s="66">
        <f>CG35</f>
        <v>700.16</v>
      </c>
      <c r="CH36" s="220">
        <f>CG36/W36</f>
        <v>2.9280083638264505</v>
      </c>
      <c r="CI36" s="173" t="str">
        <f>IF(BQ36&lt;0.28,"Y","")</f>
        <v/>
      </c>
      <c r="CJ36" s="172" t="str">
        <f>IF(BQ36&lt;0.8,"Y","")</f>
        <v>Y</v>
      </c>
      <c r="CK36" s="172" t="str">
        <f>IF(BQ36&lt;BQ35,"","ERR")</f>
        <v/>
      </c>
      <c r="CL36" s="11">
        <f>IFERROR(CE36-CG36,"")</f>
        <v>1.1685870049404912E-9</v>
      </c>
      <c r="CM36" s="163"/>
      <c r="CN36" s="168" t="str">
        <f>IF(OR(BS36="NO",BG36="TX-CID"),"",BH36)</f>
        <v/>
      </c>
      <c r="CO36" s="168" t="str">
        <f>IF(CN36="","",BQ36)</f>
        <v/>
      </c>
      <c r="CP36" s="171" t="str">
        <f>IF(CO36="","",BR36)</f>
        <v/>
      </c>
      <c r="CQ36" s="170" t="str">
        <f>IF(CO36="","",BV36)</f>
        <v/>
      </c>
      <c r="CR36" s="169" t="str">
        <f>IF(CU36="","",BX36)</f>
        <v/>
      </c>
      <c r="CS36" s="169" t="str">
        <f>IF(CR36="","",LN(CR36))</f>
        <v/>
      </c>
      <c r="CT36" s="169" t="str">
        <f>IF(CS36="","",BM36)</f>
        <v/>
      </c>
      <c r="CU36" s="168" t="str">
        <f>IF(CO36="","",BU36)</f>
        <v/>
      </c>
      <c r="CV36" s="166" t="str">
        <f>IF(CR36="","",CH34)</f>
        <v/>
      </c>
      <c r="CW36" s="167" t="str">
        <f>IF(CU36="","",E36)</f>
        <v/>
      </c>
      <c r="CX36" s="167"/>
      <c r="CY36" s="165" t="str">
        <f>IF(CW36="","",IF(H36=1,$DJ$3*CV36^0.8*W36,IF(H36=2,$DK$3*CV36^0.8*W36,IF(H36=3,$DL$3*CV36^0.8*W36,"ERR"))))</f>
        <v/>
      </c>
      <c r="CZ36" s="165" t="str">
        <f>IF(CY36="","",IF(BI36="OK",BJ36,""))</f>
        <v/>
      </c>
      <c r="DA36" s="165" t="str">
        <f>IF(CY36="","",IF(BK36="","",BK36))</f>
        <v/>
      </c>
      <c r="DB36" s="166" t="str">
        <f>IF(CW36="","",BM36)</f>
        <v/>
      </c>
      <c r="DC36" s="165"/>
      <c r="DD36" s="165">
        <f>IF(OR(CH36="",W36=""),"",IF(H36=1,$DJ$3*CH36^0.8*W36,IF(H36=2,$DK$3*CH36^0.8*W36,IF(H36=3,$DL$3*CH36^0.8*W36,"ERR"))))</f>
        <v>237.20952495880056</v>
      </c>
      <c r="DE36" s="165">
        <f>IF(OR(CH36="",W36=""),"",IF(H36=1,$DJ$3*W36,IF(H36=2,$DK$3*W36,IF(H36=3,$DL$3*W36,"ERR"))))</f>
        <v>100.43249999999999</v>
      </c>
      <c r="DF36" s="164">
        <f>IF(DE36="","",-1.485*LN(E36)+7.098)</f>
        <v>2.2973235858947696</v>
      </c>
      <c r="DG36" s="165">
        <f>IF(OR(DF36="",W36=""),"",IF(H36=1,$DJ$3*DF36^0.8*W36,IF(H36=2,$DK$3*DF36^0.8*W36,IF(H36=3,$DL$3*CH36^0.8*W36,"ERR"))))</f>
        <v>237.20952495880056</v>
      </c>
      <c r="DH36" s="164"/>
      <c r="DJ36" s="163"/>
      <c r="DK36" s="163"/>
      <c r="DL36" s="163"/>
    </row>
    <row r="37" spans="1:116" s="367" customFormat="1">
      <c r="A37" s="398" t="str">
        <f>IF(B37="","",IF(F37&lt;10,CONCATENATE(B37," - 0",F37),CONCATENATE(B37," - ",F37)))</f>
        <v>LR13 - 14.25</v>
      </c>
      <c r="B37" s="397" t="s">
        <v>5</v>
      </c>
      <c r="C37" s="397">
        <v>14.05</v>
      </c>
      <c r="D37" s="397">
        <v>14.35</v>
      </c>
      <c r="E37" s="397">
        <v>14.2</v>
      </c>
      <c r="F37" s="397">
        <f>IF(E37="","",CEILING(E37,0.25))</f>
        <v>14.25</v>
      </c>
      <c r="G37" s="397" t="s">
        <v>1</v>
      </c>
      <c r="H37" s="396">
        <v>3</v>
      </c>
      <c r="I37" s="368">
        <v>17.899999999999999</v>
      </c>
      <c r="J37" s="368">
        <v>12.92</v>
      </c>
      <c r="K37" s="386">
        <v>0.38500000000000001</v>
      </c>
      <c r="L37" s="391">
        <v>1.1200000000000001</v>
      </c>
      <c r="M37" s="395">
        <v>0.92</v>
      </c>
      <c r="N37" s="394">
        <v>8</v>
      </c>
      <c r="O37" s="401">
        <f>(P37*(1+AVERAGE(L37:L39))+(9.81*M37*AVERAGE(L37:L39)))/(1+AVERAGE(L37:L39))</f>
        <v>17.520614163200328</v>
      </c>
      <c r="P37" s="401">
        <f>AVERAGE(J37:J39)</f>
        <v>12.666666666666666</v>
      </c>
      <c r="Q37" s="400">
        <f>AVERAGE(K37:K39)</f>
        <v>0.39933333333333332</v>
      </c>
      <c r="R37" s="393">
        <f>IF(L37="","",L37/(1+L37))</f>
        <v>0.52830188679245282</v>
      </c>
      <c r="S37" s="393" t="str">
        <f>IF(R37="","",IF(R37&lt;0.3,"S",IF(R37&lt;0.45,"L",IF(AND(R37&lt;0.5,R37&gt;=0.45),"C",IF(R37&gt;=0.5,"SC","")))))</f>
        <v>SC</v>
      </c>
      <c r="T37" s="392">
        <f>L37*9.81/($P$28*(1+L37))</f>
        <v>0.35676742836856101</v>
      </c>
      <c r="U37" s="341">
        <f>N37</f>
        <v>8</v>
      </c>
      <c r="V37" s="341">
        <f>IF(E37="","",IF(E37&lt;=10,IF(E37&lt;=N37,18*E37,18*N37+(18-0)*(E37-N37)),IF(AND(E37&gt;10,N37&lt;=10),18*N37+(18-0)*(10-N37)+(17.5-0)*(E37-10),IF(E37&lt;N37,(18*0)+17.5*(E37-10),(18*0)+17.5*(N37-10)+(17.5-0)*(E37-N37)))))</f>
        <v>253.5</v>
      </c>
      <c r="W37" s="341">
        <f>IF(E37="","",IF(E37&lt;=10,IF(E37&lt;=N37,18*E37,18*N37+(18-10)*(E37-N37)),IF(AND(E37&gt;10,N37&lt;=10),18*N37+(18-10)*(10-N37)+(17.5-10)*(E37-10),IF(E37&lt;N37,(18*10)+17.5*(E37-10),(18*10)+17.5*(N37-10)+(17.5-10)*(E37-N37)))))</f>
        <v>191.5</v>
      </c>
      <c r="X37" s="385"/>
      <c r="Y37" s="391">
        <v>1.32</v>
      </c>
      <c r="Z37" s="369">
        <v>4</v>
      </c>
      <c r="AA37" s="341">
        <v>772</v>
      </c>
      <c r="AB37" s="390"/>
      <c r="AC37" s="389"/>
      <c r="AD37" s="389"/>
      <c r="AE37" s="388">
        <v>1.077</v>
      </c>
      <c r="AF37" s="375">
        <v>79.5</v>
      </c>
      <c r="AG37" s="369">
        <v>78.650000000000006</v>
      </c>
      <c r="AH37" s="369">
        <v>1134.1099999999999</v>
      </c>
      <c r="AI37" s="369">
        <v>1123.04</v>
      </c>
      <c r="AJ37" s="387">
        <f>IF(AF37="","",1-(AG37*AI37/AF37/AH37))</f>
        <v>2.0348419387845595E-2</v>
      </c>
      <c r="AK37" s="386">
        <v>7.6999999999999999E-2</v>
      </c>
      <c r="AL37" s="385">
        <v>100</v>
      </c>
      <c r="AM37" s="341">
        <v>430.56</v>
      </c>
      <c r="AN37" s="341">
        <f>AL37-AQ37</f>
        <v>0</v>
      </c>
      <c r="AO37" s="341">
        <f>AN37-AP37</f>
        <v>0</v>
      </c>
      <c r="AP37" s="341">
        <f>AM37-AR37</f>
        <v>0</v>
      </c>
      <c r="AQ37" s="341">
        <v>100</v>
      </c>
      <c r="AR37" s="341">
        <v>430.56</v>
      </c>
      <c r="AS37" s="372"/>
      <c r="AT37" s="375"/>
      <c r="AU37" s="369"/>
      <c r="AV37" s="369">
        <v>80</v>
      </c>
      <c r="AW37" s="384">
        <v>19</v>
      </c>
      <c r="AX37" s="369"/>
      <c r="AY37" s="369"/>
      <c r="AZ37" s="369"/>
      <c r="BA37" s="384"/>
      <c r="BB37" s="375">
        <f>(AM37-AL37)/AK37/1000</f>
        <v>4.2929870129870134</v>
      </c>
      <c r="BC37" s="341"/>
      <c r="BD37" s="341"/>
      <c r="BE37" s="369">
        <f>AL37/AJ37/1000</f>
        <v>4.9143866210921248</v>
      </c>
      <c r="BF37" s="383"/>
      <c r="BG37" s="382" t="s">
        <v>4</v>
      </c>
      <c r="BH37" s="381">
        <f>IF(OR(AE37="",Y37=""),"",Y37/AE37)</f>
        <v>1.2256267409470754</v>
      </c>
      <c r="BI37" s="380" t="str">
        <f>IF(OR(AE37="",Y37=""),"",IF(Y37/AE37&gt;1.05,"OC",IF(Y37/AE37&lt;0.95,"UC","OK")))</f>
        <v>OC</v>
      </c>
      <c r="BJ37" s="341"/>
      <c r="BK37" s="341"/>
      <c r="BL37" s="341"/>
      <c r="BM37" s="377"/>
      <c r="BN37" s="341"/>
      <c r="BO37" s="369" t="str">
        <f>IF(BX37="","",BX37)</f>
        <v/>
      </c>
      <c r="BP37" s="341"/>
      <c r="BQ37" s="379"/>
      <c r="BR37" s="341"/>
      <c r="BS37" s="341" t="str">
        <f>IF(OR(BR37="",BH37=""),"",IF(AND(BR37&lt;1,BH37&gt;1),"NO",""))</f>
        <v/>
      </c>
      <c r="BT37" s="378"/>
      <c r="BU37" s="332"/>
      <c r="BV37" s="332"/>
      <c r="BW37" s="378"/>
      <c r="BX37" s="378"/>
      <c r="BY37" s="332"/>
      <c r="BZ37" s="377" t="str">
        <f>IF(BR37&lt;0.85,"",IF(AND(BR37&gt;=0.85,BR37&lt;=1.15),"=","&gt;"))</f>
        <v/>
      </c>
      <c r="CA37" s="377" t="str">
        <f>IF(BZ37="","",IF(AND(BQ37&gt;=0.2,BQ37&lt;=0.451),"OK","NO"))</f>
        <v/>
      </c>
      <c r="CB37" s="332" t="str">
        <f>IF(BZ37="","",IF(AL37&lt;=CF37/1.11,"OC","NC"))</f>
        <v/>
      </c>
      <c r="CC37" s="332" t="str">
        <f>IF(BZ37="","",IF(CA37="OK","NC","OC"))</f>
        <v/>
      </c>
      <c r="CD37" s="369"/>
      <c r="CE37" s="369" t="str">
        <f>IF(BQ37="","",IF(BX37="","",BX37*AL37))</f>
        <v/>
      </c>
      <c r="CF37" s="376"/>
      <c r="CG37" s="375">
        <v>774</v>
      </c>
      <c r="CH37" s="341">
        <f>CG37/W37</f>
        <v>4.0417754569190603</v>
      </c>
      <c r="CI37" s="375"/>
      <c r="CJ37" s="369"/>
      <c r="CK37" s="369"/>
      <c r="CL37" s="399" t="str">
        <f>IFERROR(CE37-CG37,"")</f>
        <v/>
      </c>
      <c r="CM37" s="368"/>
      <c r="CN37" s="373" t="str">
        <f>IF(OR(BS37="NO",BG37="TX-CID"),"",BH37)</f>
        <v/>
      </c>
      <c r="CO37" s="373" t="str">
        <f>IF(CN37="","",BQ37)</f>
        <v/>
      </c>
      <c r="CP37" s="374" t="str">
        <f>IF(CO37="","",BR37)</f>
        <v/>
      </c>
      <c r="CQ37" s="373" t="str">
        <f>IF(CO37="","",BV37)</f>
        <v/>
      </c>
      <c r="CR37" s="371" t="str">
        <f>IF(CU37="","",BX37)</f>
        <v/>
      </c>
      <c r="CS37" s="371" t="str">
        <f>IF(CR37="","",LN(CR37))</f>
        <v/>
      </c>
      <c r="CT37" s="371" t="str">
        <f>IF(CS37="","",BM37)</f>
        <v/>
      </c>
      <c r="CU37" s="373" t="str">
        <f>IF(CO37="","",BU37)</f>
        <v/>
      </c>
      <c r="CV37" s="371" t="str">
        <f>IF(CR37="","",CH37)</f>
        <v/>
      </c>
      <c r="CW37" s="372" t="str">
        <f>IF(CU37="","",E37)</f>
        <v/>
      </c>
      <c r="CX37" s="372"/>
      <c r="CY37" s="370" t="str">
        <f>IF(CW37="","",IF(H37=1,$DJ$3*CV37^0.8*W37,IF(H37=2,$DK$3*CV37^0.8*W37,IF(H37=3,$DL$3*CV37^0.8*W37,"ERR"))))</f>
        <v/>
      </c>
      <c r="CZ37" s="370" t="str">
        <f>IF(CY37="","",IF(BI37="OK",BJ37,""))</f>
        <v/>
      </c>
      <c r="DA37" s="370" t="str">
        <f>IF(CY37="","",IF(BK37="","",BK37))</f>
        <v/>
      </c>
      <c r="DB37" s="371" t="str">
        <f>IF(CW37="","",BM37)</f>
        <v/>
      </c>
      <c r="DC37" s="370"/>
      <c r="DD37" s="370">
        <f>IF(OR(CH37="",W37=""),"",IF(H37=1,$DJ$3*CH37^0.8*W37,IF(H37=2,$DK$3*CH37^0.8*W37,IF(H37=3,$DL$3*CH37^0.8*W37,"ERR"))))</f>
        <v>245.8531712477776</v>
      </c>
      <c r="DE37" s="370">
        <f>IF(OR(CH37="",W37=""),"",IF(H37=1,$DJ$3*W37,IF(H37=2,$DK$3*W37,IF(H37=3,$DL$3*W37,"ERR"))))</f>
        <v>80.429999999999993</v>
      </c>
      <c r="DF37" s="369">
        <f>IF(DE37="","",-1.485*LN(E37)+7.098)</f>
        <v>3.1579356825582856</v>
      </c>
      <c r="DG37" s="370">
        <f>IF(OR(DF37="",W37=""),"",IF(H37=1,$DJ$3*DF37^0.8*W37,IF(H37=2,$DK$3*DF37^0.8*W37,IF(H37=3,$DL$3*CH37^0.8*W37,"ERR"))))</f>
        <v>245.8531712477776</v>
      </c>
      <c r="DH37" s="369"/>
      <c r="DJ37" s="368"/>
      <c r="DK37" s="368"/>
      <c r="DL37" s="368"/>
    </row>
    <row r="38" spans="1:116" s="367" customFormat="1">
      <c r="A38" s="398" t="str">
        <f>IF(B38="","",IF(F38&lt;10,CONCATENATE(B38," - 0",F38),CONCATENATE(B38," - ",F38)))</f>
        <v>LR13 - 14.25</v>
      </c>
      <c r="B38" s="397" t="s">
        <v>5</v>
      </c>
      <c r="C38" s="397">
        <v>14.05</v>
      </c>
      <c r="D38" s="397">
        <v>14.35</v>
      </c>
      <c r="E38" s="397">
        <v>14.2</v>
      </c>
      <c r="F38" s="397">
        <f>IF(E38="","",CEILING(E38,0.25))</f>
        <v>14.25</v>
      </c>
      <c r="G38" s="397" t="s">
        <v>1</v>
      </c>
      <c r="H38" s="396">
        <v>3</v>
      </c>
      <c r="I38" s="368">
        <v>17.59</v>
      </c>
      <c r="J38" s="368">
        <v>12.51</v>
      </c>
      <c r="K38" s="386">
        <v>0.40600000000000003</v>
      </c>
      <c r="L38" s="391">
        <v>1.1910000000000001</v>
      </c>
      <c r="M38" s="395">
        <v>0.92</v>
      </c>
      <c r="N38" s="394">
        <v>8</v>
      </c>
      <c r="O38" s="368"/>
      <c r="P38" s="368"/>
      <c r="Q38" s="393"/>
      <c r="R38" s="393">
        <f>IF(L38="","",L38/(1+L38))</f>
        <v>0.54358740301232322</v>
      </c>
      <c r="S38" s="393" t="str">
        <f>IF(R38="","",IF(R38&lt;0.3,"S",IF(R38&lt;0.45,"L",IF(AND(R38&lt;0.5,R38&gt;=0.45),"C",IF(R38&gt;=0.5,"SC","")))))</f>
        <v>SC</v>
      </c>
      <c r="T38" s="392">
        <f>L38*9.81/($P$28*(1+L38))</f>
        <v>0.36708988688968963</v>
      </c>
      <c r="U38" s="341">
        <f>N38</f>
        <v>8</v>
      </c>
      <c r="V38" s="341">
        <f>IF(E38="","",IF(E38&lt;=10,IF(E38&lt;=N38,18*E38,18*N38+(18-0)*(E38-N38)),IF(AND(E38&gt;10,N38&lt;=10),18*N38+(18-0)*(10-N38)+(17.5-0)*(E38-10),IF(E38&lt;N38,(18*0)+17.5*(E38-10),(18*0)+17.5*(N38-10)+(17.5-0)*(E38-N38)))))</f>
        <v>253.5</v>
      </c>
      <c r="W38" s="341">
        <f>IF(E38="","",IF(E38&lt;=10,IF(E38&lt;=N38,18*E38,18*N38+(18-10)*(E38-N38)),IF(AND(E38&gt;10,N38&lt;=10),18*N38+(18-10)*(10-N38)+(17.5-10)*(E38-10),IF(E38&lt;N38,(18*10)+17.5*(E38-10),(18*10)+17.5*(N38-10)+(17.5-10)*(E38-N38)))))</f>
        <v>191.5</v>
      </c>
      <c r="X38" s="385"/>
      <c r="Y38" s="391">
        <f>Y37</f>
        <v>1.32</v>
      </c>
      <c r="Z38" s="369"/>
      <c r="AA38" s="341"/>
      <c r="AB38" s="390"/>
      <c r="AC38" s="389"/>
      <c r="AD38" s="389"/>
      <c r="AE38" s="388">
        <v>1.0349999999999999</v>
      </c>
      <c r="AF38" s="375">
        <v>79</v>
      </c>
      <c r="AG38" s="369">
        <v>77.5</v>
      </c>
      <c r="AH38" s="369">
        <v>1122.21</v>
      </c>
      <c r="AI38" s="369">
        <v>1062.8599999999999</v>
      </c>
      <c r="AJ38" s="387">
        <f>IF(AF38="","",1-(AG38*AI38/AF38/AH38))</f>
        <v>7.0869878254470553E-2</v>
      </c>
      <c r="AK38" s="386">
        <v>0.14599999999999999</v>
      </c>
      <c r="AL38" s="385">
        <v>200</v>
      </c>
      <c r="AM38" s="341">
        <v>565.15</v>
      </c>
      <c r="AN38" s="341">
        <f>AL38-AQ38</f>
        <v>0</v>
      </c>
      <c r="AO38" s="341">
        <f>AN38-AP38</f>
        <v>0</v>
      </c>
      <c r="AP38" s="341">
        <f>AM38-AR38</f>
        <v>0</v>
      </c>
      <c r="AQ38" s="341">
        <v>200</v>
      </c>
      <c r="AR38" s="341">
        <v>565.15</v>
      </c>
      <c r="AS38" s="372"/>
      <c r="AT38" s="375"/>
      <c r="AU38" s="369"/>
      <c r="AV38" s="369"/>
      <c r="AW38" s="384"/>
      <c r="AX38" s="369"/>
      <c r="AY38" s="369"/>
      <c r="AZ38" s="369"/>
      <c r="BA38" s="384"/>
      <c r="BB38" s="375">
        <f>(AM38-AL38)/AK38/1000</f>
        <v>2.5010273972602741</v>
      </c>
      <c r="BC38" s="341"/>
      <c r="BD38" s="341"/>
      <c r="BE38" s="369">
        <f>AL38/AJ38/1000</f>
        <v>2.8220734242249637</v>
      </c>
      <c r="BF38" s="383"/>
      <c r="BG38" s="382" t="s">
        <v>4</v>
      </c>
      <c r="BH38" s="381">
        <f>IF(OR(AE38="",Y38=""),"",Y38/AE38)</f>
        <v>1.2753623188405798</v>
      </c>
      <c r="BI38" s="380" t="str">
        <f>IF(OR(AE38="",Y38=""),"",IF(Y38/AE38&gt;1.05,"OC",IF(Y38/AE38&lt;0.95,"UC","OK")))</f>
        <v>OC</v>
      </c>
      <c r="BJ38" s="341"/>
      <c r="BK38" s="341"/>
      <c r="BL38" s="341"/>
      <c r="BM38" s="377"/>
      <c r="BN38" s="341"/>
      <c r="BO38" s="369" t="str">
        <f>IF(BX38="","",BX38)</f>
        <v/>
      </c>
      <c r="BP38" s="341"/>
      <c r="BQ38" s="379"/>
      <c r="BR38" s="341"/>
      <c r="BS38" s="341" t="str">
        <f>IF(OR(BR38="",BH38=""),"",IF(AND(BR38&lt;1,BH38&gt;1),"NO",""))</f>
        <v/>
      </c>
      <c r="BT38" s="378"/>
      <c r="BU38" s="332"/>
      <c r="BV38" s="332"/>
      <c r="BW38" s="378"/>
      <c r="BX38" s="378"/>
      <c r="BY38" s="332"/>
      <c r="BZ38" s="377" t="str">
        <f>IF(BR38&lt;0.85,"",IF(AND(BR38&gt;=0.85,BR38&lt;=1.15),"=","&gt;"))</f>
        <v/>
      </c>
      <c r="CA38" s="377" t="str">
        <f>IF(BZ38="","",IF(AND(BQ38&gt;=0.2,BQ38&lt;=0.451),"OK","NO"))</f>
        <v/>
      </c>
      <c r="CB38" s="332" t="str">
        <f>IF(BZ38="","",IF(AL38&lt;=CF37/1.11,"OC","NC"))</f>
        <v/>
      </c>
      <c r="CC38" s="332" t="str">
        <f>IF(BZ38="","",IF(CA38="OK","NC","OC"))</f>
        <v/>
      </c>
      <c r="CD38" s="369"/>
      <c r="CE38" s="369" t="str">
        <f>IF(BQ38="","",IF(BX38="","",BX38*AL38))</f>
        <v/>
      </c>
      <c r="CF38" s="376"/>
      <c r="CG38" s="375">
        <f>CG37</f>
        <v>774</v>
      </c>
      <c r="CH38" s="341">
        <f>CG38/W38</f>
        <v>4.0417754569190603</v>
      </c>
      <c r="CI38" s="375"/>
      <c r="CJ38" s="369"/>
      <c r="CK38" s="369"/>
      <c r="CL38" s="341" t="str">
        <f>IFERROR(CE38-CG38,"")</f>
        <v/>
      </c>
      <c r="CM38" s="368"/>
      <c r="CN38" s="373" t="str">
        <f>IF(OR(BS38="NO",BG38="TX-CID"),"",BH38)</f>
        <v/>
      </c>
      <c r="CO38" s="373" t="str">
        <f>IF(CN38="","",BQ38)</f>
        <v/>
      </c>
      <c r="CP38" s="374" t="str">
        <f>IF(CO38="","",BR38)</f>
        <v/>
      </c>
      <c r="CQ38" s="373" t="str">
        <f>IF(CO38="","",BV38)</f>
        <v/>
      </c>
      <c r="CR38" s="371" t="str">
        <f>IF(CU38="","",BX38)</f>
        <v/>
      </c>
      <c r="CS38" s="371" t="str">
        <f>IF(CR38="","",LN(CR38))</f>
        <v/>
      </c>
      <c r="CT38" s="371" t="str">
        <f>IF(CS38="","",BM38)</f>
        <v/>
      </c>
      <c r="CU38" s="373" t="str">
        <f>IF(CO38="","",BU38)</f>
        <v/>
      </c>
      <c r="CV38" s="371" t="str">
        <f>IF(CR38="","",CH37)</f>
        <v/>
      </c>
      <c r="CW38" s="372" t="str">
        <f>IF(CU38="","",E38)</f>
        <v/>
      </c>
      <c r="CX38" s="372"/>
      <c r="CY38" s="370" t="str">
        <f>IF(CW38="","",IF(H38=1,$DJ$3*CV38^0.8*W38,IF(H38=2,$DK$3*CV38^0.8*W38,IF(H38=3,$DL$3*CV38^0.8*W38,"ERR"))))</f>
        <v/>
      </c>
      <c r="CZ38" s="370" t="str">
        <f>IF(CY38="","",IF(BI38="OK",BJ38,""))</f>
        <v/>
      </c>
      <c r="DA38" s="370" t="str">
        <f>IF(CY38="","",IF(BK38="","",BK38))</f>
        <v/>
      </c>
      <c r="DB38" s="371" t="str">
        <f>IF(CW38="","",BM38)</f>
        <v/>
      </c>
      <c r="DC38" s="370"/>
      <c r="DD38" s="370">
        <f>IF(OR(CH38="",W38=""),"",IF(H38=1,$DJ$3*CH38^0.8*W38,IF(H38=2,$DK$3*CH38^0.8*W38,IF(H38=3,$DL$3*CH38^0.8*W38,"ERR"))))</f>
        <v>245.8531712477776</v>
      </c>
      <c r="DE38" s="370">
        <f>IF(OR(CH38="",W38=""),"",IF(H38=1,$DJ$3*W38,IF(H38=2,$DK$3*W38,IF(H38=3,$DL$3*W38,"ERR"))))</f>
        <v>80.429999999999993</v>
      </c>
      <c r="DF38" s="369">
        <f>IF(DE38="","",-1.485*LN(E38)+7.098)</f>
        <v>3.1579356825582856</v>
      </c>
      <c r="DG38" s="370">
        <f>IF(OR(DF38="",W38=""),"",IF(H38=1,$DJ$3*DF38^0.8*W38,IF(H38=2,$DK$3*DF38^0.8*W38,IF(H38=3,$DL$3*CH38^0.8*W38,"ERR"))))</f>
        <v>245.8531712477776</v>
      </c>
      <c r="DH38" s="369"/>
      <c r="DJ38" s="368"/>
      <c r="DK38" s="368"/>
      <c r="DL38" s="368"/>
    </row>
    <row r="39" spans="1:116" s="333" customFormat="1">
      <c r="A39" s="366" t="str">
        <f>IF(B39="","",IF(F39&lt;10,CONCATENATE(B39," - 0",F39),CONCATENATE(B39," - ",F39)))</f>
        <v>LR13 - 14.25</v>
      </c>
      <c r="B39" s="365" t="s">
        <v>5</v>
      </c>
      <c r="C39" s="365">
        <v>14.05</v>
      </c>
      <c r="D39" s="365">
        <v>14.35</v>
      </c>
      <c r="E39" s="365">
        <v>14.2</v>
      </c>
      <c r="F39" s="365">
        <f>IF(E39="","",CEILING(E39,0.25))</f>
        <v>14.25</v>
      </c>
      <c r="G39" s="365" t="s">
        <v>1</v>
      </c>
      <c r="H39" s="364">
        <v>3</v>
      </c>
      <c r="I39" s="334">
        <v>17.68</v>
      </c>
      <c r="J39" s="334">
        <v>12.57</v>
      </c>
      <c r="K39" s="354">
        <v>0.40699999999999997</v>
      </c>
      <c r="L39" s="359">
        <v>1.18</v>
      </c>
      <c r="M39" s="363">
        <v>0.93</v>
      </c>
      <c r="N39" s="362">
        <v>8</v>
      </c>
      <c r="O39" s="334"/>
      <c r="P39" s="334"/>
      <c r="Q39" s="361"/>
      <c r="R39" s="361">
        <f>IF(L39="","",L39/(1+L39))</f>
        <v>0.54128440366972486</v>
      </c>
      <c r="S39" s="361" t="str">
        <f>IF(R39="","",IF(R39&lt;0.3,"S",IF(R39&lt;0.45,"L",IF(AND(R39&lt;0.5,R39&gt;=0.45),"C",IF(R39&gt;=0.5,"SC","")))))</f>
        <v>SC</v>
      </c>
      <c r="T39" s="360">
        <f>L39*9.81/($P$28*(1+L39))</f>
        <v>0.36553464892152371</v>
      </c>
      <c r="U39" s="343">
        <f>N39</f>
        <v>8</v>
      </c>
      <c r="V39" s="343">
        <f>IF(E39="","",IF(E39&lt;=10,IF(E39&lt;=N39,18*E39,18*N39+(18-0)*(E39-N39)),IF(AND(E39&gt;10,N39&lt;=10),18*N39+(18-0)*(10-N39)+(17.5-0)*(E39-10),IF(E39&lt;N39,(18*0)+17.5*(E39-10),(18*0)+17.5*(N39-10)+(17.5-0)*(E39-N39)))))</f>
        <v>253.5</v>
      </c>
      <c r="W39" s="343">
        <f>IF(E39="","",IF(E39&lt;=10,IF(E39&lt;=N39,18*E39,18*N39+(18-10)*(E39-N39)),IF(AND(E39&gt;10,N39&lt;=10),18*N39+(18-10)*(10-N39)+(17.5-10)*(E39-10),IF(E39&lt;N39,(18*10)+17.5*(E39-10),(18*10)+17.5*(N39-10)+(17.5-10)*(E39-N39)))))</f>
        <v>191.5</v>
      </c>
      <c r="X39" s="353"/>
      <c r="Y39" s="359">
        <f>Y38</f>
        <v>1.32</v>
      </c>
      <c r="Z39" s="335"/>
      <c r="AA39" s="343"/>
      <c r="AB39" s="358"/>
      <c r="AC39" s="357"/>
      <c r="AD39" s="357"/>
      <c r="AE39" s="356">
        <v>1.044</v>
      </c>
      <c r="AF39" s="342">
        <v>79.5</v>
      </c>
      <c r="AG39" s="335">
        <v>76.92</v>
      </c>
      <c r="AH39" s="335">
        <v>1121.21</v>
      </c>
      <c r="AI39" s="335">
        <v>1087.4000000000001</v>
      </c>
      <c r="AJ39" s="355">
        <f>IF(AF39="","",1-(AG39*AI39/AF39/AH39))</f>
        <v>6.1629139543145084E-2</v>
      </c>
      <c r="AK39" s="354">
        <v>0.127</v>
      </c>
      <c r="AL39" s="353">
        <v>400</v>
      </c>
      <c r="AM39" s="343">
        <v>991.57</v>
      </c>
      <c r="AN39" s="343">
        <f>AL39-AQ39</f>
        <v>0</v>
      </c>
      <c r="AO39" s="343">
        <f>AN39-AP39</f>
        <v>0</v>
      </c>
      <c r="AP39" s="343">
        <f>AM39-AR39</f>
        <v>0</v>
      </c>
      <c r="AQ39" s="343">
        <v>400</v>
      </c>
      <c r="AR39" s="343">
        <v>991.57</v>
      </c>
      <c r="AS39" s="338"/>
      <c r="AT39" s="342"/>
      <c r="AU39" s="335"/>
      <c r="AV39" s="335"/>
      <c r="AW39" s="352"/>
      <c r="AX39" s="335"/>
      <c r="AY39" s="335"/>
      <c r="AZ39" s="335"/>
      <c r="BA39" s="352"/>
      <c r="BB39" s="342">
        <f>(AM39-AL39)/AK39/1000</f>
        <v>4.6580314960629918</v>
      </c>
      <c r="BC39" s="343"/>
      <c r="BD39" s="343"/>
      <c r="BE39" s="335">
        <f>AL39/AJ39/1000</f>
        <v>6.4904362281412284</v>
      </c>
      <c r="BF39" s="351"/>
      <c r="BG39" s="350" t="s">
        <v>4</v>
      </c>
      <c r="BH39" s="349">
        <f>IF(OR(AE39="",Y39=""),"",Y39/AE39)</f>
        <v>1.264367816091954</v>
      </c>
      <c r="BI39" s="348" t="str">
        <f>IF(OR(AE39="",Y39=""),"",IF(Y39/AE39&gt;1.05,"OC",IF(Y39/AE39&lt;0.95,"UC","OK")))</f>
        <v>OC</v>
      </c>
      <c r="BJ39" s="343"/>
      <c r="BK39" s="343"/>
      <c r="BL39" s="343"/>
      <c r="BM39" s="345"/>
      <c r="BN39" s="343"/>
      <c r="BO39" s="335" t="str">
        <f>IF(BX39="","",BX39)</f>
        <v/>
      </c>
      <c r="BP39" s="343"/>
      <c r="BQ39" s="347"/>
      <c r="BR39" s="343"/>
      <c r="BS39" s="343" t="str">
        <f>IF(OR(BR39="",BH39=""),"",IF(AND(BR39&lt;1,BH39&gt;1),"NO",""))</f>
        <v/>
      </c>
      <c r="BT39" s="346"/>
      <c r="BU39" s="331"/>
      <c r="BV39" s="331"/>
      <c r="BW39" s="346"/>
      <c r="BX39" s="346"/>
      <c r="BY39" s="331"/>
      <c r="BZ39" s="345" t="str">
        <f>IF(BR39&lt;0.85,"",IF(AND(BR39&gt;=0.85,BR39&lt;=1.15),"=","&gt;"))</f>
        <v/>
      </c>
      <c r="CA39" s="345" t="str">
        <f>IF(BZ39="","",IF(AND(BQ39&gt;=0.2,BQ39&lt;=0.451),"OK","NO"))</f>
        <v/>
      </c>
      <c r="CB39" s="331" t="str">
        <f>IF(BZ39="","",IF(AL39&lt;=CF37/1.11,"OC","NC"))</f>
        <v/>
      </c>
      <c r="CC39" s="331" t="str">
        <f>IF(BZ39="","",IF(CA39="OK","NC","OC"))</f>
        <v/>
      </c>
      <c r="CD39" s="335"/>
      <c r="CE39" s="335" t="str">
        <f>IF(BQ39="","",IF(BX39="","",BX39*AL39))</f>
        <v/>
      </c>
      <c r="CF39" s="344"/>
      <c r="CG39" s="342">
        <f>CG38</f>
        <v>774</v>
      </c>
      <c r="CH39" s="343">
        <f>CG39/W39</f>
        <v>4.0417754569190603</v>
      </c>
      <c r="CI39" s="342"/>
      <c r="CJ39" s="335"/>
      <c r="CK39" s="335"/>
      <c r="CL39" s="341" t="str">
        <f>IFERROR(CE39-CG39,"")</f>
        <v/>
      </c>
      <c r="CM39" s="334"/>
      <c r="CN39" s="339" t="str">
        <f>IF(OR(BS39="NO",BG39="TX-CID"),"",BH39)</f>
        <v/>
      </c>
      <c r="CO39" s="339" t="str">
        <f>IF(CN39="","",BQ39)</f>
        <v/>
      </c>
      <c r="CP39" s="340" t="str">
        <f>IF(CO39="","",BR39)</f>
        <v/>
      </c>
      <c r="CQ39" s="339" t="str">
        <f>IF(CO39="","",BV39)</f>
        <v/>
      </c>
      <c r="CR39" s="337" t="str">
        <f>IF(CU39="","",BX39)</f>
        <v/>
      </c>
      <c r="CS39" s="337" t="str">
        <f>IF(CR39="","",LN(CR39))</f>
        <v/>
      </c>
      <c r="CT39" s="337" t="str">
        <f>IF(CS39="","",BM39)</f>
        <v/>
      </c>
      <c r="CU39" s="339" t="str">
        <f>IF(CO39="","",BU39)</f>
        <v/>
      </c>
      <c r="CV39" s="337" t="str">
        <f>IF(CR39="","",CH37)</f>
        <v/>
      </c>
      <c r="CW39" s="338" t="str">
        <f>IF(CU39="","",E39)</f>
        <v/>
      </c>
      <c r="CX39" s="338"/>
      <c r="CY39" s="336" t="str">
        <f>IF(CW39="","",IF(H39=1,$DJ$3*CV39^0.8*W39,IF(H39=2,$DK$3*CV39^0.8*W39,IF(H39=3,$DL$3*CV39^0.8*W39,"ERR"))))</f>
        <v/>
      </c>
      <c r="CZ39" s="336" t="str">
        <f>IF(CY39="","",IF(BI39="OK",BJ39,""))</f>
        <v/>
      </c>
      <c r="DA39" s="336" t="str">
        <f>IF(CY39="","",IF(BK39="","",BK39))</f>
        <v/>
      </c>
      <c r="DB39" s="337" t="str">
        <f>IF(CW39="","",BM39)</f>
        <v/>
      </c>
      <c r="DC39" s="336"/>
      <c r="DD39" s="336">
        <f>IF(OR(CH39="",W39=""),"",IF(H39=1,$DJ$3*CH39^0.8*W39,IF(H39=2,$DK$3*CH39^0.8*W39,IF(H39=3,$DL$3*CH39^0.8*W39,"ERR"))))</f>
        <v>245.8531712477776</v>
      </c>
      <c r="DE39" s="336">
        <f>IF(OR(CH39="",W39=""),"",IF(H39=1,$DJ$3*W39,IF(H39=2,$DK$3*W39,IF(H39=3,$DL$3*W39,"ERR"))))</f>
        <v>80.429999999999993</v>
      </c>
      <c r="DF39" s="335">
        <f>IF(DE39="","",-1.485*LN(E39)+7.098)</f>
        <v>3.1579356825582856</v>
      </c>
      <c r="DG39" s="336">
        <f>IF(OR(DF39="",W39=""),"",IF(H39=1,$DJ$3*DF39^0.8*W39,IF(H39=2,$DK$3*DF39^0.8*W39,IF(H39=3,$DL$3*CH39^0.8*W39,"ERR"))))</f>
        <v>245.8531712477776</v>
      </c>
      <c r="DH39" s="335"/>
      <c r="DJ39" s="334"/>
      <c r="DK39" s="334"/>
      <c r="DL39" s="334"/>
    </row>
    <row r="40" spans="1:116">
      <c r="A40" s="51" t="str">
        <f>IF(B40="","",IF(F40&lt;10,CONCATENATE(B40," - 0",F40),CONCATENATE(B40," - ",F40)))</f>
        <v>TRT04 - 44.5</v>
      </c>
      <c r="B40" s="114" t="s">
        <v>3</v>
      </c>
      <c r="C40" s="114">
        <v>44.3</v>
      </c>
      <c r="D40" s="114">
        <v>44.6</v>
      </c>
      <c r="E40" s="114">
        <v>44.45</v>
      </c>
      <c r="F40" s="114">
        <f>IF(E40="","",CEILING(E40,0.25))</f>
        <v>44.5</v>
      </c>
      <c r="G40" s="114" t="s">
        <v>1</v>
      </c>
      <c r="H40" s="113">
        <v>3</v>
      </c>
      <c r="I40" s="2">
        <v>17.809999999999999</v>
      </c>
      <c r="J40" s="2">
        <v>12.24</v>
      </c>
      <c r="K40" s="112">
        <v>0.45500000000000002</v>
      </c>
      <c r="L40" s="45">
        <v>1.246</v>
      </c>
      <c r="M40" s="49">
        <v>1</v>
      </c>
      <c r="N40" s="48">
        <v>10</v>
      </c>
      <c r="O40" s="218">
        <f>(P40*(1+AVERAGE(L40:L42))+(9.81*M40*AVERAGE(L40:L42)))/(1+AVERAGE(L40:L42))</f>
        <v>18.196396056219843</v>
      </c>
      <c r="P40" s="217">
        <f>AVERAGE(J40:J42)</f>
        <v>13.016666666666667</v>
      </c>
      <c r="Q40" s="216">
        <f>AVERAGE(K40:K42)</f>
        <v>0.39366666666666666</v>
      </c>
      <c r="R40" s="47">
        <f>IF(L40="","",L40/(1+L40))</f>
        <v>0.55476402493321464</v>
      </c>
      <c r="S40" s="47" t="str">
        <f>IF(R40="","",IF(R40&lt;0.3,"S",IF(R40&lt;0.45,"L",IF(AND(R40&lt;0.5,R40&gt;=0.45),"C",IF(R40&gt;=0.5,"SC","")))))</f>
        <v>SC</v>
      </c>
      <c r="T40" s="46">
        <f>L40*9.81/($P$28*(1+L40))</f>
        <v>0.37463756892575739</v>
      </c>
      <c r="U40" s="37">
        <f>N40</f>
        <v>10</v>
      </c>
      <c r="V40" s="37">
        <f>IF(E40="","",IF(E40&lt;=10,IF(E40&lt;=N40,18*E40,18*N40+(18-0)*(E40-N40)),IF(AND(E40&gt;10,N40&lt;=10),18*N40+(18-0)*(10-N40)+(17.5-0)*(E40-10),IF(E40&lt;N40,(18*0)+17.5*(E40-10),(18*0)+17.5*(N40-10)+(17.5-0)*(E40-N40)))))</f>
        <v>782.875</v>
      </c>
      <c r="W40" s="37">
        <f>IF(E40="","",IF(E40&lt;=10,IF(E40&lt;=N40,18*E40,18*N40+(18-10)*(E40-N40)),IF(AND(E40&gt;10,N40&lt;=10),18*N40+(18-10)*(10-N40)+(17.5-10)*(E40-10),IF(E40&lt;N40,(18*10)+17.5*(E40-10),(18*10)+17.5*(N40-10)+(17.5-10)*(E40-N40)))))</f>
        <v>438.375</v>
      </c>
      <c r="X40" s="34">
        <v>412</v>
      </c>
      <c r="Y40" s="45">
        <v>1.337</v>
      </c>
      <c r="Z40" s="3">
        <v>2.1</v>
      </c>
      <c r="AA40" s="28">
        <v>850</v>
      </c>
      <c r="AE40" s="41">
        <v>1.2070000000000001</v>
      </c>
      <c r="AF40" s="40">
        <v>78.86</v>
      </c>
      <c r="AG40" s="3">
        <v>78.459999999999994</v>
      </c>
      <c r="AH40" s="3">
        <v>1141.29</v>
      </c>
      <c r="AI40" s="3">
        <v>1126.92</v>
      </c>
      <c r="AJ40" s="39">
        <f>IF(AF40="","",1-(AG40*AI40/AF40/AH40))</f>
        <v>1.7599430264146565E-2</v>
      </c>
      <c r="AK40" s="38">
        <v>0.1308</v>
      </c>
      <c r="AL40" s="34">
        <v>100</v>
      </c>
      <c r="AM40" s="28">
        <v>263.85000000000002</v>
      </c>
      <c r="AN40" s="37">
        <f>AL40-AQ40</f>
        <v>11.120000000000005</v>
      </c>
      <c r="AO40" s="37">
        <f>AN40-AP40</f>
        <v>9.9999999999909051E-3</v>
      </c>
      <c r="AP40" s="37">
        <f>AM40-AR40</f>
        <v>11.110000000000014</v>
      </c>
      <c r="AQ40" s="28">
        <v>88.88</v>
      </c>
      <c r="AR40" s="28">
        <v>252.74</v>
      </c>
      <c r="AT40" s="15">
        <v>38</v>
      </c>
      <c r="AU40" s="32">
        <v>15</v>
      </c>
      <c r="AV40" s="32">
        <v>25</v>
      </c>
      <c r="AW40" s="35">
        <v>21</v>
      </c>
      <c r="AX40" s="32">
        <v>50</v>
      </c>
      <c r="AY40" s="32">
        <v>12</v>
      </c>
      <c r="AZ40" s="32">
        <v>30</v>
      </c>
      <c r="BA40" s="35">
        <v>18</v>
      </c>
      <c r="BB40" s="111">
        <f>(AM40-AL40)/AK40/1000</f>
        <v>1.2526758409785934</v>
      </c>
      <c r="BE40" s="109">
        <f>AL40/AJ40/1000</f>
        <v>5.682002115927542</v>
      </c>
      <c r="BG40" s="32" t="s">
        <v>0</v>
      </c>
      <c r="BH40" s="31">
        <f>IF(OR(AE40="",Y40=""),"",Y40/AE40)</f>
        <v>1.1077050538525268</v>
      </c>
      <c r="BI40" s="30" t="str">
        <f>IF(OR(AE40="",Y40=""),"",IF(Y40/AE40&gt;1.05,"OC",IF(Y40/AE40&lt;0.95,"UC","OK")))</f>
        <v>OC</v>
      </c>
      <c r="BJ40" s="37">
        <f>(AM40-AL40)/2</f>
        <v>81.925000000000011</v>
      </c>
      <c r="BK40" s="37">
        <f>AVERAGE(BJ40:BJ42)+(_xlfn.COVARIANCE.P(AL40:AL42,BJ40:BJ42)/_xlfn.STDEV.P(AL40:AL42)^2)*(W40-AVERAGE(AL40:AL42))</f>
        <v>193.8794125</v>
      </c>
      <c r="BL40" s="37" t="str">
        <f>IF(BZ40="=",BJ40,"")</f>
        <v/>
      </c>
      <c r="BM40" s="110">
        <f>AN40/(AM40-AL40)</f>
        <v>6.7866951480012219E-2</v>
      </c>
      <c r="BN40" s="37" t="str">
        <f>IF(BM40="","",IF(AND(BM40&gt;=3/4,BM40&lt;=1.5),"HS",IF(AND(BM40&gt;=0.5,BM40&lt;=1),"NC",IF(AND(BM40&gt;=0,BM40&lt;=0.5),"OC",IF(BM40&lt;0,"H-OC","")))))</f>
        <v>OC</v>
      </c>
      <c r="BO40" s="109">
        <f>IF(BX40="","",BX40)</f>
        <v>8.4999999999735767</v>
      </c>
      <c r="BP40" s="37"/>
      <c r="BQ40" s="27">
        <f>BJ40/AL40</f>
        <v>0.81925000000000014</v>
      </c>
      <c r="BR40" s="26">
        <f>AL40/W40</f>
        <v>0.22811519817507842</v>
      </c>
      <c r="BS40" s="26" t="str">
        <f>IF(OR(BR40="",BH40=""),"",IF(AND(BR40&lt;1,BH40&gt;1),"NO",""))</f>
        <v>NO</v>
      </c>
      <c r="BU40" s="332">
        <v>0.24449760807118148</v>
      </c>
      <c r="BV40" s="23">
        <v>0.14787042104548931</v>
      </c>
      <c r="BW40" s="22">
        <f>(BQ40/BU40)^(1/0.8)</f>
        <v>4.5334339653421338</v>
      </c>
      <c r="BX40" s="21">
        <f>(BQ40/BV40)^(1/0.8)</f>
        <v>8.4999999999735767</v>
      </c>
      <c r="BY40" s="20">
        <f>BU40*BW40^0.8</f>
        <v>0.81925000000000026</v>
      </c>
      <c r="BZ40" s="19" t="str">
        <f>IF(BR40&lt;0.85,"",IF(AND(BR40&gt;=0.85,BR40&lt;=1.15),"=","&gt;"))</f>
        <v/>
      </c>
      <c r="CA40" s="19" t="str">
        <f>IF(BZ40="","",IF(AND(BQ40&gt;=0.2,BQ40&lt;=0.451),"OK","NO"))</f>
        <v/>
      </c>
      <c r="CB40" s="18" t="str">
        <f>IF(BZ40="","",IF(AL40&lt;=CF40/1.11,"OC","NC"))</f>
        <v/>
      </c>
      <c r="CC40" s="18" t="str">
        <f>IF(BZ40="","",IF(CA40="OK","NC","OC"))</f>
        <v/>
      </c>
      <c r="CE40" s="17">
        <f>IF(BQ40="","",IF(BX40="","",BX40*AL40))</f>
        <v>849.99999999735769</v>
      </c>
      <c r="CF40" s="16">
        <f>AVERAGE(CD40:CD42)</f>
        <v>849.99999999912495</v>
      </c>
      <c r="CG40" s="15">
        <v>850</v>
      </c>
      <c r="CH40" s="14">
        <f>CG40/W40</f>
        <v>1.9389791844881665</v>
      </c>
      <c r="CI40" s="13" t="str">
        <f>IF(BQ40&lt;0.28,"Y","")</f>
        <v/>
      </c>
      <c r="CJ40" s="12" t="str">
        <f>IF(BQ40&lt;0.8,"Y","")</f>
        <v/>
      </c>
      <c r="CL40" s="125">
        <f>IFERROR(CE40-CG40,"")</f>
        <v>-2.6423094823257998E-9</v>
      </c>
      <c r="CN40" s="7" t="str">
        <f>IF(OR(BS40="NO",BG40="TX-CID"),"",BH40)</f>
        <v/>
      </c>
      <c r="CO40" s="7" t="str">
        <f>IF(CN40="","",BQ40)</f>
        <v/>
      </c>
      <c r="CP40" s="10" t="str">
        <f>IF(CO40="","",BR40)</f>
        <v/>
      </c>
      <c r="CQ40" s="9" t="str">
        <f>IF(CO40="","",BV40)</f>
        <v/>
      </c>
      <c r="CR40" s="8" t="str">
        <f>IF(CU40="","",BX40)</f>
        <v/>
      </c>
      <c r="CS40" s="8" t="str">
        <f>IF(CR40="","",LN(CR40))</f>
        <v/>
      </c>
      <c r="CT40" s="8" t="str">
        <f>IF(CS40="","",BM40)</f>
        <v/>
      </c>
      <c r="CU40" s="7" t="str">
        <f>IF(CO40="","",BU40)</f>
        <v/>
      </c>
      <c r="CV40" s="6" t="str">
        <f>IF(CR40="","",CH40)</f>
        <v/>
      </c>
      <c r="CW40" s="5" t="str">
        <f>IF(CU40="","",E40)</f>
        <v/>
      </c>
      <c r="CY40" s="4" t="str">
        <f>IF(CW40="","",IF(H40=1,$DJ$3*CV40^0.8*W40,IF(H40=2,$DK$3*CV40^0.8*W40,IF(H40=3,$DL$3*CV40^0.8*W40,"ERR"))))</f>
        <v/>
      </c>
      <c r="CZ40" s="4" t="str">
        <f>IF(CY40="","",IF(BI40="OK",BJ40,""))</f>
        <v/>
      </c>
      <c r="DA40" s="4" t="str">
        <f>IF(CY40="","",IF(BK40="","",BK40))</f>
        <v/>
      </c>
      <c r="DB40" s="6" t="str">
        <f>IF(CW40="","",BM40)</f>
        <v/>
      </c>
      <c r="DD40" s="4">
        <f>IF(OR(CH40="",W40=""),"",IF(H40=1,$DJ$3*CH40^0.8*W40,IF(H40=2,$DK$3*CH40^0.8*W40,IF(H40=3,$DL$3*CH40^0.8*W40,"ERR"))))</f>
        <v>312.71850898278177</v>
      </c>
      <c r="DE40" s="4">
        <f>IF(OR(CH40="",W40=""),"",IF(H40=1,$DJ$3*W40,IF(H40=2,$DK$3*W40,IF(H40=3,$DL$3*W40,"ERR"))))</f>
        <v>184.11750000000001</v>
      </c>
      <c r="DF40" s="3">
        <f>IF(DE40="","",-1.485*LN(E40)+7.098)</f>
        <v>1.4633680314895274</v>
      </c>
      <c r="DG40" s="4">
        <f>IF(OR(DF40="",W40=""),"",IF(H40=1,$DJ$3*DF40^0.8*W40,IF(H40=2,$DK$3*DF40^0.8*W40,IF(H40=3,$DL$3*CH40^0.8*W40,"ERR"))))</f>
        <v>312.71850898278177</v>
      </c>
    </row>
    <row r="41" spans="1:116">
      <c r="A41" s="51" t="str">
        <f>IF(B41="","",IF(F41&lt;10,CONCATENATE(B41," - 0",F41),CONCATENATE(B41," - ",F41)))</f>
        <v>TRT04 - 44.5</v>
      </c>
      <c r="B41" s="114" t="s">
        <v>3</v>
      </c>
      <c r="C41" s="114">
        <v>44.3</v>
      </c>
      <c r="D41" s="114">
        <v>44.6</v>
      </c>
      <c r="E41" s="114">
        <v>44.45</v>
      </c>
      <c r="F41" s="114">
        <f>IF(E41="","",CEILING(E41,0.25))</f>
        <v>44.5</v>
      </c>
      <c r="G41" s="114" t="s">
        <v>1</v>
      </c>
      <c r="H41" s="113">
        <v>3</v>
      </c>
      <c r="I41" s="2">
        <v>18.309999999999999</v>
      </c>
      <c r="J41" s="2">
        <v>13.93</v>
      </c>
      <c r="K41" s="112">
        <v>0.315</v>
      </c>
      <c r="L41" s="45">
        <v>0.97499999999999998</v>
      </c>
      <c r="M41" s="49">
        <v>0.89</v>
      </c>
      <c r="N41" s="48">
        <v>10</v>
      </c>
      <c r="R41" s="47">
        <f>IF(L41="","",L41/(1+L41))</f>
        <v>0.49367088607594933</v>
      </c>
      <c r="S41" s="47" t="str">
        <f>IF(R41="","",IF(R41&lt;0.3,"S",IF(R41&lt;0.45,"L",IF(AND(R41&lt;0.5,R41&gt;=0.45),"C",IF(R41&gt;=0.5,"SC","")))))</f>
        <v>C</v>
      </c>
      <c r="T41" s="46">
        <f>L41*9.81/($P$28*(1+L41))</f>
        <v>0.33338077506230357</v>
      </c>
      <c r="U41" s="37">
        <f>N41</f>
        <v>10</v>
      </c>
      <c r="V41" s="37">
        <f>IF(E41="","",IF(E41&lt;=10,IF(E41&lt;=N41,18*E41,18*N41+(18-0)*(E41-N41)),IF(AND(E41&gt;10,N41&lt;=10),18*N41+(18-0)*(10-N41)+(17.5-0)*(E41-10),IF(E41&lt;N41,(18*0)+17.5*(E41-10),(18*0)+17.5*(N41-10)+(17.5-0)*(E41-N41)))))</f>
        <v>782.875</v>
      </c>
      <c r="W41" s="37">
        <f>IF(E41="","",IF(E41&lt;=10,IF(E41&lt;=N41,18*E41,18*N41+(18-10)*(E41-N41)),IF(AND(E41&gt;10,N41&lt;=10),18*N41+(18-10)*(10-N41)+(17.5-10)*(E41-10),IF(E41&lt;N41,(18*10)+17.5*(E41-10),(18*10)+17.5*(N41-10)+(17.5-10)*(E41-N41)))))</f>
        <v>438.375</v>
      </c>
      <c r="Y41" s="45">
        <f>Y40</f>
        <v>1.337</v>
      </c>
      <c r="AE41" s="41">
        <v>0.94299999999999995</v>
      </c>
      <c r="AF41" s="40">
        <v>79.06</v>
      </c>
      <c r="AG41" s="3">
        <v>78.36</v>
      </c>
      <c r="AH41" s="3">
        <v>1135.31</v>
      </c>
      <c r="AI41" s="3">
        <v>1127.07</v>
      </c>
      <c r="AJ41" s="39">
        <f>IF(AF41="","",1-(AG41*AI41/AF41/AH41))</f>
        <v>1.6047702500843974E-2</v>
      </c>
      <c r="AK41" s="38">
        <v>7.7600000000000002E-2</v>
      </c>
      <c r="AL41" s="34">
        <v>200</v>
      </c>
      <c r="AM41" s="28">
        <v>457.88</v>
      </c>
      <c r="AN41" s="37">
        <f>AL41-AQ41</f>
        <v>17.03</v>
      </c>
      <c r="AO41" s="37">
        <f>AN41-AP41</f>
        <v>2.8421709430404007E-14</v>
      </c>
      <c r="AP41" s="37">
        <f>AM41-AR41</f>
        <v>17.029999999999973</v>
      </c>
      <c r="AQ41" s="28">
        <v>182.97</v>
      </c>
      <c r="AR41" s="28">
        <v>440.85</v>
      </c>
      <c r="BB41" s="111">
        <f>(AM41-AL41)/AK41/1000</f>
        <v>3.3231958762886595</v>
      </c>
      <c r="BE41" s="109">
        <f>AL41/AJ41/1000</f>
        <v>12.462843200731175</v>
      </c>
      <c r="BG41" s="32" t="s">
        <v>0</v>
      </c>
      <c r="BH41" s="31">
        <f>IF(OR(AE41="",Y41=""),"",Y41/AE41)</f>
        <v>1.4178154825026512</v>
      </c>
      <c r="BI41" s="30" t="str">
        <f>IF(OR(AE41="",Y41=""),"",IF(Y41/AE41&gt;1.05,"OC",IF(Y41/AE41&lt;0.95,"UC","OK")))</f>
        <v>OC</v>
      </c>
      <c r="BJ41" s="37">
        <f>(AM41-AL41)/2</f>
        <v>128.94</v>
      </c>
      <c r="BL41" s="37" t="str">
        <f>IF(BZ41="=",BJ41,"")</f>
        <v/>
      </c>
      <c r="BM41" s="110">
        <f>AN41/(AM41-AL41)</f>
        <v>6.6038467504265549E-2</v>
      </c>
      <c r="BN41" s="37" t="str">
        <f>IF(BM41="","",IF(AND(BM41&gt;=3/4,BM41&lt;=1.5),"HS",IF(AND(BM41&gt;=0.5,BM41&lt;=1),"NC",IF(AND(BM41&gt;=0,BM41&lt;=0.5),"OC",IF(BM41&lt;0,"H-OC","")))))</f>
        <v>OC</v>
      </c>
      <c r="BO41" s="109">
        <f>IF(BX41="","",BX41)</f>
        <v>4.2499999999688605</v>
      </c>
      <c r="BP41" s="37"/>
      <c r="BQ41" s="27">
        <f>BJ41/AL41</f>
        <v>0.64469999999999994</v>
      </c>
      <c r="BR41" s="26">
        <f>AL41/W41</f>
        <v>0.45623039635015683</v>
      </c>
      <c r="BS41" s="26" t="str">
        <f>IF(OR(BR41="",BH41=""),"",IF(AND(BR41&lt;1,BH41&gt;1),"NO",""))</f>
        <v>NO</v>
      </c>
      <c r="BU41" s="332">
        <f>BU40</f>
        <v>0.24449760807118148</v>
      </c>
      <c r="BV41" s="23">
        <v>0.20260330527553269</v>
      </c>
      <c r="BW41" s="22">
        <f>(BQ41/BU41)^(1/0.8)</f>
        <v>3.3601125081629299</v>
      </c>
      <c r="BX41" s="21">
        <f>(BQ41/BV41)^(1/0.8)</f>
        <v>4.2499999999688605</v>
      </c>
      <c r="BY41" s="20">
        <f>BU41*BW41^0.8</f>
        <v>0.64470000000000005</v>
      </c>
      <c r="BZ41" s="19" t="str">
        <f>IF(BR41&lt;0.85,"",IF(AND(BR41&gt;=0.85,BR41&lt;=1.15),"=","&gt;"))</f>
        <v/>
      </c>
      <c r="CA41" s="19" t="str">
        <f>IF(BZ41="","",IF(AND(BQ41&gt;=0.2,BQ41&lt;=0.451),"OK","NO"))</f>
        <v/>
      </c>
      <c r="CB41" s="18" t="str">
        <f>IF(BZ41="","",IF(AL41&lt;=CF40/1.11,"OC","NC"))</f>
        <v/>
      </c>
      <c r="CC41" s="18" t="str">
        <f>IF(BZ41="","",IF(CA41="OK","NC","OC"))</f>
        <v/>
      </c>
      <c r="CE41" s="17">
        <f>IF(BQ41="","",IF(BX41="","",BX41*AL41))</f>
        <v>849.99999999377212</v>
      </c>
      <c r="CG41" s="15">
        <f>CG40</f>
        <v>850</v>
      </c>
      <c r="CH41" s="14">
        <f>CG41/W41</f>
        <v>1.9389791844881665</v>
      </c>
      <c r="CI41" s="13" t="str">
        <f>IF(BQ41&lt;0.28,"Y","")</f>
        <v/>
      </c>
      <c r="CJ41" s="12" t="str">
        <f>IF(BQ41&lt;0.8,"Y","")</f>
        <v>Y</v>
      </c>
      <c r="CK41" s="12" t="str">
        <f>IF(BQ41&lt;BQ40,"","ERR")</f>
        <v/>
      </c>
      <c r="CL41" s="11">
        <f>IFERROR(CE41-CG41,"")</f>
        <v>-6.2278786572278477E-9</v>
      </c>
      <c r="CN41" s="7" t="str">
        <f>IF(OR(BS41="NO",BG41="TX-CID"),"",BH41)</f>
        <v/>
      </c>
      <c r="CO41" s="7" t="str">
        <f>IF(CN41="","",BQ41)</f>
        <v/>
      </c>
      <c r="CP41" s="10" t="str">
        <f>IF(CO41="","",BR41)</f>
        <v/>
      </c>
      <c r="CQ41" s="9" t="str">
        <f>IF(CO41="","",BV41)</f>
        <v/>
      </c>
      <c r="CR41" s="8" t="str">
        <f>IF(CU41="","",BX41)</f>
        <v/>
      </c>
      <c r="CS41" s="8" t="str">
        <f>IF(CR41="","",LN(CR41))</f>
        <v/>
      </c>
      <c r="CT41" s="8" t="str">
        <f>IF(CS41="","",BM41)</f>
        <v/>
      </c>
      <c r="CU41" s="7" t="str">
        <f>IF(CO41="","",BU41)</f>
        <v/>
      </c>
      <c r="CV41" s="6" t="str">
        <f>IF(CR41="","",CH40)</f>
        <v/>
      </c>
      <c r="CW41" s="5" t="str">
        <f>IF(CU41="","",E41)</f>
        <v/>
      </c>
      <c r="CY41" s="4" t="str">
        <f>IF(CW41="","",IF(H41=1,$DJ$3*CV41^0.8*W41,IF(H41=2,$DK$3*CV41^0.8*W41,IF(H41=3,$DL$3*CV41^0.8*W41,"ERR"))))</f>
        <v/>
      </c>
      <c r="CZ41" s="4" t="str">
        <f>IF(CY41="","",IF(BI41="OK",BJ41,""))</f>
        <v/>
      </c>
      <c r="DA41" s="4" t="str">
        <f>IF(CY41="","",IF(BK41="","",BK41))</f>
        <v/>
      </c>
      <c r="DB41" s="6" t="str">
        <f>IF(CW41="","",BM41)</f>
        <v/>
      </c>
      <c r="DD41" s="4">
        <f>IF(OR(CH41="",W41=""),"",IF(H41=1,$DJ$3*CH41^0.8*W41,IF(H41=2,$DK$3*CH41^0.8*W41,IF(H41=3,$DL$3*CH41^0.8*W41,"ERR"))))</f>
        <v>312.71850898278177</v>
      </c>
      <c r="DE41" s="4">
        <f>IF(OR(CH41="",W41=""),"",IF(H41=1,$DJ$3*W41,IF(H41=2,$DK$3*W41,IF(H41=3,$DL$3*W41,"ERR"))))</f>
        <v>184.11750000000001</v>
      </c>
      <c r="DF41" s="3">
        <f>IF(DE41="","",-1.485*LN(E41)+7.098)</f>
        <v>1.4633680314895274</v>
      </c>
      <c r="DG41" s="4">
        <f>IF(OR(DF41="",W41=""),"",IF(H41=1,$DJ$3*DF41^0.8*W41,IF(H41=2,$DK$3*DF41^0.8*W41,IF(H41=3,$DL$3*CH41^0.8*W41,"ERR"))))</f>
        <v>312.71850898278177</v>
      </c>
    </row>
    <row r="42" spans="1:116" s="162" customFormat="1">
      <c r="A42" s="286" t="str">
        <f>IF(B42="","",IF(F42&lt;10,CONCATENATE(B42," - 0",F42),CONCATENATE(B42," - ",F42)))</f>
        <v>TRT04 - 44.5</v>
      </c>
      <c r="B42" s="212" t="s">
        <v>3</v>
      </c>
      <c r="C42" s="212">
        <v>44.3</v>
      </c>
      <c r="D42" s="212">
        <v>44.6</v>
      </c>
      <c r="E42" s="212">
        <v>44.45</v>
      </c>
      <c r="F42" s="212">
        <f>IF(E42="","",CEILING(E42,0.25))</f>
        <v>44.5</v>
      </c>
      <c r="G42" s="212" t="s">
        <v>1</v>
      </c>
      <c r="H42" s="211">
        <v>3</v>
      </c>
      <c r="I42" s="163">
        <v>18.18</v>
      </c>
      <c r="J42" s="163">
        <v>12.88</v>
      </c>
      <c r="K42" s="210">
        <v>0.41099999999999998</v>
      </c>
      <c r="L42" s="205">
        <v>1.135</v>
      </c>
      <c r="M42" s="209">
        <v>1</v>
      </c>
      <c r="N42" s="208">
        <v>10</v>
      </c>
      <c r="O42" s="163"/>
      <c r="P42" s="163"/>
      <c r="Q42" s="207"/>
      <c r="R42" s="207">
        <f>IF(L42="","",L42/(1+L42))</f>
        <v>0.53161592505854804</v>
      </c>
      <c r="S42" s="207" t="str">
        <f>IF(R42="","",IF(R42&lt;0.3,"S",IF(R42&lt;0.45,"L",IF(AND(R42&lt;0.5,R42&gt;=0.45),"C",IF(R42&gt;=0.5,"SC","")))))</f>
        <v>SC</v>
      </c>
      <c r="T42" s="206">
        <f>L42*9.81/($P$28*(1+L42))</f>
        <v>0.35900543080479741</v>
      </c>
      <c r="U42" s="186">
        <f>N42</f>
        <v>10</v>
      </c>
      <c r="V42" s="186">
        <f>IF(E42="","",IF(E42&lt;=10,IF(E42&lt;=N42,18*E42,18*N42+(18-0)*(E42-N42)),IF(AND(E42&gt;10,N42&lt;=10),18*N42+(18-0)*(10-N42)+(17.5-0)*(E42-10),IF(E42&lt;N42,(18*0)+17.5*(E42-10),(18*0)+17.5*(N42-10)+(17.5-0)*(E42-N42)))))</f>
        <v>782.875</v>
      </c>
      <c r="W42" s="186">
        <f>IF(E42="","",IF(E42&lt;=10,IF(E42&lt;=N42,18*E42,18*N42+(18-10)*(E42-N42)),IF(AND(E42&gt;10,N42&lt;=10),18*N42+(18-10)*(10-N42)+(17.5-10)*(E42-10),IF(E42&lt;N42,(18*10)+17.5*(E42-10),(18*10)+17.5*(N42-10)+(17.5-10)*(E42-N42)))))</f>
        <v>438.375</v>
      </c>
      <c r="X42" s="197"/>
      <c r="Y42" s="205">
        <f>Y41</f>
        <v>1.337</v>
      </c>
      <c r="Z42" s="164"/>
      <c r="AA42" s="189"/>
      <c r="AB42" s="204"/>
      <c r="AC42" s="203"/>
      <c r="AD42" s="202"/>
      <c r="AE42" s="201">
        <v>1.0269999999999999</v>
      </c>
      <c r="AF42" s="200">
        <v>79.099999999999994</v>
      </c>
      <c r="AG42" s="164">
        <v>77.790000000000006</v>
      </c>
      <c r="AH42" s="164">
        <v>1131.1300000000001</v>
      </c>
      <c r="AI42" s="164">
        <v>1092.18</v>
      </c>
      <c r="AJ42" s="199">
        <f>IF(AF42="","",1-(AG42*AI42/AF42/AH42))</f>
        <v>5.0425624631010302E-2</v>
      </c>
      <c r="AK42" s="198">
        <v>4.3499999999999997E-2</v>
      </c>
      <c r="AL42" s="197">
        <v>400</v>
      </c>
      <c r="AM42" s="189">
        <v>757.48</v>
      </c>
      <c r="AN42" s="186">
        <f>AL42-AQ42</f>
        <v>147.26</v>
      </c>
      <c r="AO42" s="186">
        <f>AN42-AP42</f>
        <v>0</v>
      </c>
      <c r="AP42" s="186">
        <f>AM42-AR42</f>
        <v>147.26</v>
      </c>
      <c r="AQ42" s="189">
        <v>252.74</v>
      </c>
      <c r="AR42" s="189">
        <v>610.22</v>
      </c>
      <c r="AS42" s="196"/>
      <c r="AT42" s="66"/>
      <c r="AU42" s="192"/>
      <c r="AV42" s="192"/>
      <c r="AW42" s="195"/>
      <c r="AX42" s="192"/>
      <c r="AY42" s="192"/>
      <c r="AZ42" s="192"/>
      <c r="BA42" s="195"/>
      <c r="BB42" s="194">
        <f>(AM42-AL42)/AK42/1000</f>
        <v>8.2179310344827599</v>
      </c>
      <c r="BC42" s="189"/>
      <c r="BD42" s="189"/>
      <c r="BE42" s="187">
        <f>AL42/AJ42/1000</f>
        <v>7.9324748662411517</v>
      </c>
      <c r="BF42" s="193"/>
      <c r="BG42" s="192" t="s">
        <v>0</v>
      </c>
      <c r="BH42" s="191">
        <f>IF(OR(AE42="",Y42=""),"",Y42/AE42)</f>
        <v>1.3018500486854918</v>
      </c>
      <c r="BI42" s="190" t="str">
        <f>IF(OR(AE42="",Y42=""),"",IF(Y42/AE42&gt;1.05,"OC",IF(Y42/AE42&lt;0.95,"UC","OK")))</f>
        <v>OC</v>
      </c>
      <c r="BJ42" s="186">
        <f>(AM42-AL42)/2</f>
        <v>178.74</v>
      </c>
      <c r="BK42" s="189"/>
      <c r="BL42" s="186">
        <f>IF(BZ42="=",BJ42,"")</f>
        <v>178.74</v>
      </c>
      <c r="BM42" s="188">
        <f>AN42/(AM42-AL42)</f>
        <v>0.41193912946178801</v>
      </c>
      <c r="BN42" s="186" t="str">
        <f>IF(BM42="","",IF(AND(BM42&gt;=3/4,BM42&lt;=1.5),"HS",IF(AND(BM42&gt;=0.5,BM42&lt;=1),"NC",IF(AND(BM42&gt;=0,BM42&lt;=0.5),"OC",IF(BM42&lt;0,"H-OC","")))))</f>
        <v>OC</v>
      </c>
      <c r="BO42" s="187">
        <f>IF(BX42="","",BX42)</f>
        <v>2.1249999999978124</v>
      </c>
      <c r="BP42" s="186"/>
      <c r="BQ42" s="185">
        <f>BJ42/AL42</f>
        <v>0.44685000000000002</v>
      </c>
      <c r="BR42" s="184">
        <f>AL42/W42</f>
        <v>0.91246079270031366</v>
      </c>
      <c r="BS42" s="184" t="str">
        <f>IF(OR(BR42="",BH42=""),"",IF(AND(BR42&lt;1,BH42&gt;1),"NO",""))</f>
        <v>NO</v>
      </c>
      <c r="BT42" s="183"/>
      <c r="BU42" s="331">
        <f>BU41</f>
        <v>0.24449760807118148</v>
      </c>
      <c r="BV42" s="181">
        <v>0.24449760807118148</v>
      </c>
      <c r="BW42" s="180">
        <f>(BQ42/BU42)^(1/0.8)</f>
        <v>2.1249999999978124</v>
      </c>
      <c r="BX42" s="179">
        <f>(BQ42/BV42)^(1/0.8)</f>
        <v>2.1249999999978124</v>
      </c>
      <c r="BY42" s="178">
        <f>BU42*BW42^0.8</f>
        <v>0.44685000000000002</v>
      </c>
      <c r="BZ42" s="177" t="str">
        <f>IF(BR42&lt;0.85,"",IF(AND(BR42&gt;=0.85,BR42&lt;=1.15),"=","&gt;"))</f>
        <v>=</v>
      </c>
      <c r="CA42" s="177" t="str">
        <f>IF(BZ42="","",IF(AND(BQ42&gt;=0.2,BQ42&lt;=0.451),"OK","NO"))</f>
        <v>OK</v>
      </c>
      <c r="CB42" s="176" t="str">
        <f>IF(BZ42="","",IF(AL42&lt;=CF40/1.11,"OC","NC"))</f>
        <v>OC</v>
      </c>
      <c r="CC42" s="176" t="str">
        <f>IF(BZ42="","",IF(CA42="OK","NC","OC"))</f>
        <v>NC</v>
      </c>
      <c r="CD42" s="172">
        <f>IF(BQ42="","",IF(BW42="","",BW42*AL42))</f>
        <v>849.99999999912495</v>
      </c>
      <c r="CE42" s="175">
        <f>IF(BQ42="","",IF(BX42="","",BX42*AL42))</f>
        <v>849.99999999912495</v>
      </c>
      <c r="CF42" s="174"/>
      <c r="CG42" s="66">
        <f>CG41</f>
        <v>850</v>
      </c>
      <c r="CH42" s="220">
        <f>CG42/W42</f>
        <v>1.9389791844881665</v>
      </c>
      <c r="CI42" s="173" t="str">
        <f>IF(BQ42&lt;0.28,"Y","")</f>
        <v/>
      </c>
      <c r="CJ42" s="172" t="str">
        <f>IF(BQ42&lt;0.8,"Y","")</f>
        <v>Y</v>
      </c>
      <c r="CK42" s="172" t="str">
        <f>IF(BQ42&lt;BQ41,"","ERR")</f>
        <v/>
      </c>
      <c r="CL42" s="11">
        <f>IFERROR(CE42-CG42,"")</f>
        <v>-8.7504758994327858E-10</v>
      </c>
      <c r="CM42" s="163"/>
      <c r="CN42" s="168" t="str">
        <f>IF(OR(BS42="NO",BG42="TX-CID"),"",BH42)</f>
        <v/>
      </c>
      <c r="CO42" s="168" t="str">
        <f>IF(CN42="","",BQ42)</f>
        <v/>
      </c>
      <c r="CP42" s="171" t="str">
        <f>IF(CO42="","",BR42)</f>
        <v/>
      </c>
      <c r="CQ42" s="170" t="str">
        <f>IF(CO42="","",BV42)</f>
        <v/>
      </c>
      <c r="CR42" s="169" t="str">
        <f>IF(CU42="","",BX42)</f>
        <v/>
      </c>
      <c r="CS42" s="169" t="str">
        <f>IF(CR42="","",LN(CR42))</f>
        <v/>
      </c>
      <c r="CT42" s="169" t="str">
        <f>IF(CS42="","",BM42)</f>
        <v/>
      </c>
      <c r="CU42" s="168" t="str">
        <f>IF(CO42="","",BU42)</f>
        <v/>
      </c>
      <c r="CV42" s="166" t="str">
        <f>IF(CR42="","",CH40)</f>
        <v/>
      </c>
      <c r="CW42" s="167" t="str">
        <f>IF(CU42="","",E42)</f>
        <v/>
      </c>
      <c r="CX42" s="167"/>
      <c r="CY42" s="165" t="str">
        <f>IF(CW42="","",IF(H42=1,$DJ$3*CV42^0.8*W42,IF(H42=2,$DK$3*CV42^0.8*W42,IF(H42=3,$DL$3*CV42^0.8*W42,"ERR"))))</f>
        <v/>
      </c>
      <c r="CZ42" s="165" t="str">
        <f>IF(CY42="","",IF(BI42="OK",BJ42,""))</f>
        <v/>
      </c>
      <c r="DA42" s="165" t="str">
        <f>IF(CY42="","",IF(BK42="","",BK42))</f>
        <v/>
      </c>
      <c r="DB42" s="166" t="str">
        <f>IF(CW42="","",BM42)</f>
        <v/>
      </c>
      <c r="DC42" s="165"/>
      <c r="DD42" s="165">
        <f>IF(OR(CH42="",W42=""),"",IF(H42=1,$DJ$3*CH42^0.8*W42,IF(H42=2,$DK$3*CH42^0.8*W42,IF(H42=3,$DL$3*CH42^0.8*W42,"ERR"))))</f>
        <v>312.71850898278177</v>
      </c>
      <c r="DE42" s="165">
        <f>IF(OR(CH42="",W42=""),"",IF(H42=1,$DJ$3*W42,IF(H42=2,$DK$3*W42,IF(H42=3,$DL$3*W42,"ERR"))))</f>
        <v>184.11750000000001</v>
      </c>
      <c r="DF42" s="164">
        <f>IF(DE42="","",-1.485*LN(E42)+7.098)</f>
        <v>1.4633680314895274</v>
      </c>
      <c r="DG42" s="165">
        <f>IF(OR(DF42="",W42=""),"",IF(H42=1,$DJ$3*DF42^0.8*W42,IF(H42=2,$DK$3*DF42^0.8*W42,IF(H42=3,$DL$3*CH42^0.8*W42,"ERR"))))</f>
        <v>312.71850898278177</v>
      </c>
      <c r="DH42" s="164"/>
      <c r="DJ42" s="163"/>
      <c r="DK42" s="163"/>
      <c r="DL42" s="163"/>
    </row>
    <row r="43" spans="1:116">
      <c r="A43" s="51" t="str">
        <f>IF(B43="","",IF(F43&lt;10,CONCATENATE(B43," - 0",F43),CONCATENATE(B43," - ",F43)))</f>
        <v>TRT05 - 07.75</v>
      </c>
      <c r="B43" s="114" t="s">
        <v>2</v>
      </c>
      <c r="C43" s="114">
        <v>7.6</v>
      </c>
      <c r="D43" s="114">
        <v>7.9</v>
      </c>
      <c r="E43" s="311">
        <f>AVERAGE(D43,C43)</f>
        <v>7.75</v>
      </c>
      <c r="F43" s="311">
        <f>IF(E43="","",CEILING(E43,0.25))</f>
        <v>7.75</v>
      </c>
      <c r="G43" s="311" t="s">
        <v>1</v>
      </c>
      <c r="H43" s="310">
        <v>3</v>
      </c>
      <c r="I43" s="217">
        <v>18.850000000000001</v>
      </c>
      <c r="J43" s="217">
        <v>14.02</v>
      </c>
      <c r="K43" s="217">
        <v>0.34399999999999997</v>
      </c>
      <c r="L43" s="10">
        <v>0.96099999999999997</v>
      </c>
      <c r="M43" s="309">
        <v>0.98</v>
      </c>
      <c r="N43" s="308">
        <v>9.3000000000000007</v>
      </c>
      <c r="O43" s="218">
        <f>(P43*(1+AVERAGE(L43:L45))+(9.81*M43*AVERAGE(L43:L45)))/(1+AVERAGE(L43:L45))</f>
        <v>18.837381371369652</v>
      </c>
      <c r="P43" s="217">
        <f>AVERAGE(J43:J45)</f>
        <v>14.18</v>
      </c>
      <c r="Q43" s="216">
        <f>AVERAGE(K43:K45)</f>
        <v>0.33300000000000002</v>
      </c>
      <c r="R43" s="216">
        <f>IF(L43="","",L43/(1+L43))</f>
        <v>0.49005609382967874</v>
      </c>
      <c r="S43" s="216" t="str">
        <f>IF(R43="","",IF(R43&lt;0.3,"S",IF(R43&lt;0.45,"L",IF(AND(R43&lt;0.5,R43&gt;=0.45),"C",IF(R43&gt;=0.5,"SC","")))))</f>
        <v>C</v>
      </c>
      <c r="T43" s="288">
        <f>L43*9.81/($P$22*(1+L43))</f>
        <v>0.36046865387171823</v>
      </c>
      <c r="U43" s="287">
        <f>N43</f>
        <v>9.3000000000000007</v>
      </c>
      <c r="V43" s="287">
        <f>IF(E43="","",IF(E43&lt;=10,IF(E43&lt;=N43,18*E43,18*N43+(18-0)*(E43-N43)),IF(AND(E43&gt;10,N43&lt;=10),18*N43+(18-0)*(10-N43)+(17.5-0)*(E43-10),IF(E43&lt;N43,(18*0)+17.5*(E43-10),(18*0)+17.5*(N43-10)+(17.5-0)*(E43-N43)))))</f>
        <v>139.5</v>
      </c>
      <c r="W43" s="37">
        <f>IF(E43="","",IF(E43&lt;=10,IF(E43&lt;=N43,18*E43,18*N43+(18-10)*(E43-N43)),IF(AND(E43&gt;10,N43&lt;=10),18*N43+(18-10)*(10-N43)+(17.5-10)*(E43-10),IF(E43&lt;N43,(18*10)+17.5*(E43-10),(18*10)+17.5*(N43-10)+(17.5-10)*(E43-N43)))))</f>
        <v>139.5</v>
      </c>
      <c r="X43" s="34">
        <v>140</v>
      </c>
      <c r="Y43" s="10">
        <v>1.004</v>
      </c>
      <c r="Z43" s="305">
        <v>3.3</v>
      </c>
      <c r="AA43" s="28">
        <v>450</v>
      </c>
      <c r="AB43" s="324">
        <v>0.433</v>
      </c>
      <c r="AC43" s="330">
        <v>0.13869999999999999</v>
      </c>
      <c r="AD43" s="42">
        <f>9.81*AE43/AC43/(1+AE43)/100</f>
        <v>0.3445732349841939</v>
      </c>
      <c r="AE43" s="326">
        <v>0.95</v>
      </c>
      <c r="AF43" s="306">
        <v>79.099999999999994</v>
      </c>
      <c r="AG43" s="305">
        <v>78.58</v>
      </c>
      <c r="AH43" s="305">
        <v>1134.1099999999999</v>
      </c>
      <c r="AI43" s="305">
        <v>1135.26</v>
      </c>
      <c r="AJ43" s="39">
        <f>IF(AF43="","",1-(AG43*AI43/AF43/AH43))</f>
        <v>5.5666120944861675E-3</v>
      </c>
      <c r="AK43" s="38">
        <v>5.1400000000000001E-2</v>
      </c>
      <c r="AL43" s="34">
        <v>50</v>
      </c>
      <c r="AM43" s="28">
        <v>309.61</v>
      </c>
      <c r="AN43" s="37">
        <f>AL43-AQ43</f>
        <v>20.29</v>
      </c>
      <c r="AO43" s="37">
        <f>AN43-AP43</f>
        <v>0</v>
      </c>
      <c r="AP43" s="37">
        <f>AM43-AR43</f>
        <v>20.29000000000002</v>
      </c>
      <c r="AQ43" s="28">
        <v>29.71</v>
      </c>
      <c r="AR43" s="28">
        <v>289.32</v>
      </c>
      <c r="AT43" s="15">
        <v>75</v>
      </c>
      <c r="AU43" s="32">
        <v>22</v>
      </c>
      <c r="AV43" s="32">
        <v>72</v>
      </c>
      <c r="AW43" s="35">
        <v>24</v>
      </c>
      <c r="AX43" s="32">
        <v>80</v>
      </c>
      <c r="AY43" s="32">
        <v>15</v>
      </c>
      <c r="AZ43" s="32">
        <v>80</v>
      </c>
      <c r="BA43" s="35">
        <v>15</v>
      </c>
      <c r="BB43" s="111">
        <f>(AM43-AL43)/AK43/1000</f>
        <v>5.0507782101167313</v>
      </c>
      <c r="BC43" s="109"/>
      <c r="BD43" s="109"/>
      <c r="BE43" s="109">
        <f>AL43/AJ43/1000</f>
        <v>8.9821239833696929</v>
      </c>
      <c r="BF43" s="304"/>
      <c r="BG43" s="32" t="s">
        <v>0</v>
      </c>
      <c r="BH43" s="31">
        <f>IF(OR(AE43="",Y43=""),"",Y43/AE43)</f>
        <v>1.056842105263158</v>
      </c>
      <c r="BI43" s="7" t="str">
        <f>IF(OR(AE43="",Y43=""),"",IF(Y43/AE43&gt;1.05,"OC",IF(Y43/AE43&lt;0.95,"UC","OK")))</f>
        <v>OC</v>
      </c>
      <c r="BJ43" s="215">
        <f>(AM43-AL43)/2</f>
        <v>129.80500000000001</v>
      </c>
      <c r="BK43" s="37">
        <f>AVERAGE(BJ43:BJ45)+(_xlfn.COVARIANCE.P(AL43:AL45,BJ43:BJ45)/_xlfn.STDEV.P(AL43:AL45)^2)*(W43-AVERAGE(AL43:AL45))</f>
        <v>197.88456428571428</v>
      </c>
      <c r="BL43" s="37" t="str">
        <f>IF(BZ43="=",BJ43,"")</f>
        <v/>
      </c>
      <c r="BM43" s="110">
        <f>AN43/(AM43-AL43)</f>
        <v>7.8155695081083151E-2</v>
      </c>
      <c r="BN43" s="110" t="str">
        <f>IF(BM43="","",IF(AND(BM43&gt;=3/4,BM43&lt;=1.5),"HS",IF(AND(BM43&gt;=0.5,BM43&lt;=1),"NC",IF(AND(BM43&gt;=0,BM43&lt;=0.5),"OC",IF(BM43&lt;0,"H-OC","")))))</f>
        <v>OC</v>
      </c>
      <c r="BO43" s="109">
        <f>IF(BX43="","",BX43)</f>
        <v>8.9999999999470237</v>
      </c>
      <c r="BP43" s="110"/>
      <c r="BQ43" s="27">
        <f>BJ43/AL43</f>
        <v>2.5961000000000003</v>
      </c>
      <c r="BR43" s="26">
        <f>AL43/W43</f>
        <v>0.35842293906810035</v>
      </c>
      <c r="BS43" s="26" t="str">
        <f>IF(OR(BR43="",BH43=""),"",IF(AND(BR43&lt;1,BH43&gt;1),"NO",""))</f>
        <v>NO</v>
      </c>
      <c r="BT43" s="25">
        <f>IF(AA43="","",AA43/W43)</f>
        <v>3.225806451612903</v>
      </c>
      <c r="BU43" s="24">
        <v>0.58083929413991642</v>
      </c>
      <c r="BV43" s="23">
        <v>0.44763847716229299</v>
      </c>
      <c r="BW43" s="22">
        <f>(BQ43/BU43)^(1/0.8)</f>
        <v>6.4987792516627199</v>
      </c>
      <c r="BX43" s="21">
        <f>(BQ43/BV43)^(1/0.8)</f>
        <v>8.9999999999470237</v>
      </c>
      <c r="BY43" s="20">
        <f>BU43*BW43^0.8</f>
        <v>2.5961000000000012</v>
      </c>
      <c r="BZ43" s="19" t="str">
        <f>IF(BR43&lt;0.85,"",IF(AND(BR43&gt;=0.85,BR43&lt;=1.15),"=","&gt;"))</f>
        <v/>
      </c>
      <c r="CA43" s="19" t="str">
        <f>IF(BZ43="","",IF(AND(BQ43&gt;=0.2,BQ43&lt;=0.451),"OK","NO"))</f>
        <v/>
      </c>
      <c r="CB43" s="18" t="str">
        <f>IF(BZ43="","",IF(AL43&lt;=CF43/1.11,"OC","NC"))</f>
        <v/>
      </c>
      <c r="CC43" s="18" t="str">
        <f>IF(BZ43="","",IF(CA43="OK","NC","OC"))</f>
        <v/>
      </c>
      <c r="CE43" s="17">
        <f>IF(BQ43="","",IF(BX43="","",BX43*AL43))</f>
        <v>449.99999999735121</v>
      </c>
      <c r="CF43" s="16">
        <f>AVERAGE(CD43:CD45)</f>
        <v>449.99999999576846</v>
      </c>
      <c r="CG43" s="15">
        <v>450</v>
      </c>
      <c r="CH43" s="14">
        <f>CG43/W43</f>
        <v>3.225806451612903</v>
      </c>
      <c r="CI43" s="13" t="str">
        <f>IF(BQ43&lt;0.28,"Y","")</f>
        <v/>
      </c>
      <c r="CJ43" s="12" t="str">
        <f>IF(BQ43&lt;0.8,"Y","")</f>
        <v/>
      </c>
      <c r="CL43" s="125">
        <f>IFERROR(CE43-CG43,"")</f>
        <v>-2.6487896320759319E-9</v>
      </c>
      <c r="CN43" s="7" t="str">
        <f>IF(OR(BS43="NO",BG43="TX-CID"),"",BH43)</f>
        <v/>
      </c>
      <c r="CO43" s="7" t="str">
        <f>IF(CN43="","",BQ43)</f>
        <v/>
      </c>
      <c r="CP43" s="10" t="str">
        <f>IF(CO43="","",BR43)</f>
        <v/>
      </c>
      <c r="CQ43" s="9" t="str">
        <f>IF(CO43="","",BV43)</f>
        <v/>
      </c>
      <c r="CR43" s="8" t="str">
        <f>IF(CU43="","",BX43)</f>
        <v/>
      </c>
      <c r="CS43" s="8" t="str">
        <f>IF(CR43="","",LN(CR43))</f>
        <v/>
      </c>
      <c r="CT43" s="8" t="str">
        <f>IF(CS43="","",BM43)</f>
        <v/>
      </c>
      <c r="CU43" s="7" t="str">
        <f>IF(CO43="","",BU43)</f>
        <v/>
      </c>
      <c r="CV43" s="6" t="str">
        <f>IF(CR43="","",CH43)</f>
        <v/>
      </c>
      <c r="CW43" s="5" t="str">
        <f>IF(CU43="","",E43)</f>
        <v/>
      </c>
      <c r="CY43" s="4" t="str">
        <f>IF(CW43="","",IF(H43=1,$DJ$3*CV43^0.8*W43,IF(H43=2,$DK$3*CV43^0.8*W43,IF(H43=3,$DL$3*CV43^0.8*W43,"ERR"))))</f>
        <v/>
      </c>
      <c r="CZ43" s="4" t="str">
        <f>IF(CY43="","",IF(BI43="OK",BJ43,""))</f>
        <v/>
      </c>
      <c r="DA43" s="4" t="str">
        <f>IF(CY43="","",IF(BK43="","",BK43))</f>
        <v/>
      </c>
      <c r="DB43" s="6" t="str">
        <f>IF(CW43="","",BM43)</f>
        <v/>
      </c>
      <c r="DD43" s="4">
        <f>IF(OR(CH43="",W43=""),"",IF(H43=1,$DJ$3*CH43^0.8*W43,IF(H43=2,$DK$3*CH43^0.8*W43,IF(H43=3,$DL$3*CH43^0.8*W43,"ERR"))))</f>
        <v>149.53200030060754</v>
      </c>
      <c r="DE43" s="4">
        <f>IF(OR(CH43="",W43=""),"",IF(H43=1,$DJ$3*W43,IF(H43=2,$DK$3*W43,IF(H43=3,$DL$3*W43,"ERR"))))</f>
        <v>58.589999999999996</v>
      </c>
      <c r="DF43" s="3">
        <f>IF(DE43="","",-1.485*LN(E43)+7.098)</f>
        <v>4.0571761276025953</v>
      </c>
      <c r="DG43" s="4">
        <f>IF(OR(DF43="",W43=""),"",IF(H43=1,$DJ$3*DF43^0.8*W43,IF(H43=2,$DK$3*DF43^0.8*W43,IF(H43=3,$DL$3*CH43^0.8*W43,"ERR"))))</f>
        <v>149.53200030060754</v>
      </c>
    </row>
    <row r="44" spans="1:116">
      <c r="A44" s="51" t="str">
        <f>IF(B44="","",IF(F44&lt;10,CONCATENATE(B44," - 0",F44),CONCATENATE(B44," - ",F44)))</f>
        <v>TRT05 - 07.75</v>
      </c>
      <c r="B44" s="114" t="s">
        <v>2</v>
      </c>
      <c r="C44" s="114">
        <v>7.6</v>
      </c>
      <c r="D44" s="114">
        <v>7.9</v>
      </c>
      <c r="E44" s="311">
        <f>AVERAGE(D44,C44)</f>
        <v>7.75</v>
      </c>
      <c r="F44" s="311">
        <f>IF(E44="","",CEILING(E44,0.25))</f>
        <v>7.75</v>
      </c>
      <c r="G44" s="311" t="s">
        <v>1</v>
      </c>
      <c r="H44" s="310">
        <v>3</v>
      </c>
      <c r="I44" s="217">
        <v>18.93</v>
      </c>
      <c r="J44" s="217">
        <v>14.42</v>
      </c>
      <c r="K44" s="217">
        <v>0.313</v>
      </c>
      <c r="L44" s="10">
        <v>0.90800000000000003</v>
      </c>
      <c r="M44" s="309">
        <v>0.95</v>
      </c>
      <c r="N44" s="308">
        <v>9.3000000000000007</v>
      </c>
      <c r="O44" s="218"/>
      <c r="P44" s="217"/>
      <c r="Q44" s="216"/>
      <c r="R44" s="216">
        <f>IF(L44="","",L44/(1+L44))</f>
        <v>0.47589098532494761</v>
      </c>
      <c r="S44" s="216" t="str">
        <f>IF(R44="","",IF(R44&lt;0.3,"S",IF(R44&lt;0.45,"L",IF(AND(R44&lt;0.5,R44&gt;=0.45),"C",IF(R44&gt;=0.5,"SC","")))))</f>
        <v>C</v>
      </c>
      <c r="T44" s="288">
        <f>L44*9.81/($P$22*(1+L44))</f>
        <v>0.35004928013279707</v>
      </c>
      <c r="U44" s="287">
        <f>N44</f>
        <v>9.3000000000000007</v>
      </c>
      <c r="V44" s="287">
        <f>IF(E44="","",IF(E44&lt;=10,IF(E44&lt;=N44,18*E44,18*N44+(18-0)*(E44-N44)),IF(AND(E44&gt;10,N44&lt;=10),18*N44+(18-0)*(10-N44)+(17.5-0)*(E44-10),IF(E44&lt;N44,(18*0)+17.5*(E44-10),(18*0)+17.5*(N44-10)+(17.5-0)*(E44-N44)))))</f>
        <v>139.5</v>
      </c>
      <c r="W44" s="37">
        <f>IF(E44="","",IF(E44&lt;=10,IF(E44&lt;=N44,18*E44,18*N44+(18-10)*(E44-N44)),IF(AND(E44&gt;10,N44&lt;=10),18*N44+(18-10)*(10-N44)+(17.5-10)*(E44-10),IF(E44&lt;N44,(18*10)+17.5*(E44-10),(18*10)+17.5*(N44-10)+(17.5-10)*(E44-N44)))))</f>
        <v>139.5</v>
      </c>
      <c r="Y44" s="45">
        <f>Y43</f>
        <v>1.004</v>
      </c>
      <c r="AB44" s="324">
        <v>0.39200000000000002</v>
      </c>
      <c r="AC44" s="330">
        <v>0.14410000000000001</v>
      </c>
      <c r="AD44" s="42">
        <f>9.81*AE44/AC44/(1+AE44)/100</f>
        <v>0.3198136971865449</v>
      </c>
      <c r="AE44" s="326">
        <v>0.88600000000000001</v>
      </c>
      <c r="AF44" s="306">
        <v>79.3</v>
      </c>
      <c r="AG44" s="305">
        <v>78.06</v>
      </c>
      <c r="AH44" s="305">
        <v>1140.0899999999999</v>
      </c>
      <c r="AI44" s="305">
        <v>1145.3900000000001</v>
      </c>
      <c r="AJ44" s="39">
        <f>IF(AF44="","",1-(AG44*AI44/AF44/AH44))</f>
        <v>1.1060758162086737E-2</v>
      </c>
      <c r="AK44" s="38">
        <v>5.3199999999999997E-2</v>
      </c>
      <c r="AL44" s="34">
        <v>100</v>
      </c>
      <c r="AM44" s="28">
        <v>507.19</v>
      </c>
      <c r="AN44" s="37">
        <f>AL44-AQ44</f>
        <v>17.590000000000003</v>
      </c>
      <c r="AO44" s="37">
        <f>AN44-AP44</f>
        <v>2.8421709430404007E-14</v>
      </c>
      <c r="AP44" s="37">
        <f>AM44-AR44</f>
        <v>17.589999999999975</v>
      </c>
      <c r="AQ44" s="28">
        <v>82.41</v>
      </c>
      <c r="AR44" s="28">
        <v>489.6</v>
      </c>
      <c r="BB44" s="111">
        <f>(AM44-AL44)/AK44/1000</f>
        <v>7.6539473684210533</v>
      </c>
      <c r="BC44" s="109"/>
      <c r="BD44" s="109"/>
      <c r="BE44" s="109">
        <f>AL44/AJ44/1000</f>
        <v>9.0409715622182887</v>
      </c>
      <c r="BF44" s="304"/>
      <c r="BG44" s="32" t="s">
        <v>0</v>
      </c>
      <c r="BH44" s="31">
        <f>IF(OR(AE44="",Y44=""),"",Y44/AE44)</f>
        <v>1.1331828442437923</v>
      </c>
      <c r="BI44" s="7" t="str">
        <f>IF(OR(AE44="",Y44=""),"",IF(Y44/AE44&gt;1.05,"OC",IF(Y44/AE44&lt;0.95,"UC","OK")))</f>
        <v>OC</v>
      </c>
      <c r="BJ44" s="37">
        <f>(AM44-AL44)/2</f>
        <v>203.595</v>
      </c>
      <c r="BK44" s="37"/>
      <c r="BL44" s="37" t="str">
        <f>IF(BZ44="=",BJ44,"")</f>
        <v/>
      </c>
      <c r="BM44" s="110">
        <f>AN44/(AM44-AL44)</f>
        <v>4.3198506839558934E-2</v>
      </c>
      <c r="BN44" s="110" t="str">
        <f>IF(BM44="","",IF(AND(BM44&gt;=3/4,BM44&lt;=1.5),"HS",IF(AND(BM44&gt;=0.5,BM44&lt;=1),"NC",IF(AND(BM44&gt;=0,BM44&lt;=0.5),"OC",IF(BM44&lt;0,"H-OC","")))))</f>
        <v>OC</v>
      </c>
      <c r="BO44" s="109">
        <f>IF(BX44="","",BX44)</f>
        <v>4.499999999978809</v>
      </c>
      <c r="BP44" s="110"/>
      <c r="BQ44" s="27">
        <f>BJ44/AL44</f>
        <v>2.0359500000000001</v>
      </c>
      <c r="BR44" s="26">
        <f>AL44/W44</f>
        <v>0.71684587813620071</v>
      </c>
      <c r="BS44" s="26" t="str">
        <f>IF(OR(BR44="",BH44=""),"",IF(AND(BR44&lt;1,BH44&gt;1),"NO",""))</f>
        <v>NO</v>
      </c>
      <c r="BT44" s="25" t="str">
        <f>IF(AA44="","",AA44/W44)</f>
        <v/>
      </c>
      <c r="BU44" s="24">
        <f>BU43</f>
        <v>0.58083929413991642</v>
      </c>
      <c r="BV44" s="23">
        <v>0.6112193534303122</v>
      </c>
      <c r="BW44" s="22">
        <f>(BQ44/BU44)^(1/0.8)</f>
        <v>4.7961073911853083</v>
      </c>
      <c r="BX44" s="21">
        <f>(BQ44/BV44)^(1/0.8)</f>
        <v>4.499999999978809</v>
      </c>
      <c r="BY44" s="20">
        <f>BU44*BW44^0.8</f>
        <v>2.0359500000000001</v>
      </c>
      <c r="BZ44" s="19" t="str">
        <f>IF(BR44&lt;0.85,"",IF(AND(BR44&gt;=0.85,BR44&lt;=1.15),"=","&gt;"))</f>
        <v/>
      </c>
      <c r="CA44" s="19" t="str">
        <f>IF(BZ44="","",IF(AND(BQ44&gt;=0.2,BQ44&lt;=0.451),"OK","NO"))</f>
        <v/>
      </c>
      <c r="CB44" s="18" t="str">
        <f>IF(BZ44="","",IF(AL44&lt;=CF43/1.11,"OC","NC"))</f>
        <v/>
      </c>
      <c r="CC44" s="18" t="str">
        <f>IF(BZ44="","",IF(CA44="OK","NC","OC"))</f>
        <v/>
      </c>
      <c r="CE44" s="17">
        <f>IF(BQ44="","",IF(BX44="","",BX44*AL44))</f>
        <v>449.99999999788088</v>
      </c>
      <c r="CG44" s="15">
        <f>CG43</f>
        <v>450</v>
      </c>
      <c r="CH44" s="14">
        <f>CG44/W44</f>
        <v>3.225806451612903</v>
      </c>
      <c r="CI44" s="13" t="str">
        <f>IF(BQ44&lt;0.28,"Y","")</f>
        <v/>
      </c>
      <c r="CJ44" s="12" t="str">
        <f>IF(BQ44&lt;0.8,"Y","")</f>
        <v/>
      </c>
      <c r="CK44" s="12" t="str">
        <f>IF(BQ44&lt;BQ43,"","ERR")</f>
        <v/>
      </c>
      <c r="CL44" s="11">
        <f>IFERROR(CE44-CG44,"")</f>
        <v>-2.1191226551309228E-9</v>
      </c>
      <c r="CN44" s="7" t="str">
        <f>IF(OR(BS44="NO",BG44="TX-CID"),"",BH44)</f>
        <v/>
      </c>
      <c r="CO44" s="7" t="str">
        <f>IF(CN44="","",BQ44)</f>
        <v/>
      </c>
      <c r="CP44" s="10" t="str">
        <f>IF(CO44="","",BR44)</f>
        <v/>
      </c>
      <c r="CQ44" s="9" t="str">
        <f>IF(CO44="","",BV44)</f>
        <v/>
      </c>
      <c r="CR44" s="8" t="str">
        <f>IF(CU44="","",BX44)</f>
        <v/>
      </c>
      <c r="CS44" s="8" t="str">
        <f>IF(CR44="","",LN(CR44))</f>
        <v/>
      </c>
      <c r="CT44" s="8" t="str">
        <f>IF(CS44="","",BM44)</f>
        <v/>
      </c>
      <c r="CU44" s="7" t="str">
        <f>IF(CO44="","",BU44)</f>
        <v/>
      </c>
      <c r="CV44" s="6" t="str">
        <f>IF(CR44="","",CH43)</f>
        <v/>
      </c>
      <c r="CW44" s="5" t="str">
        <f>IF(CU44="","",E44)</f>
        <v/>
      </c>
      <c r="CY44" s="4" t="str">
        <f>IF(CW44="","",IF(H44=1,$DJ$3*CV44^0.8*W44,IF(H44=2,$DK$3*CV44^0.8*W44,IF(H44=3,$DL$3*CV44^0.8*W44,"ERR"))))</f>
        <v/>
      </c>
      <c r="CZ44" s="4" t="str">
        <f>IF(CY44="","",IF(BI44="OK",BJ44,""))</f>
        <v/>
      </c>
      <c r="DA44" s="4" t="str">
        <f>IF(CY44="","",IF(BK44="","",BK44))</f>
        <v/>
      </c>
      <c r="DB44" s="6" t="str">
        <f>IF(CW44="","",BM44)</f>
        <v/>
      </c>
      <c r="DD44" s="4">
        <f>IF(OR(CH44="",W44=""),"",IF(H44=1,$DJ$3*CH44^0.8*W44,IF(H44=2,$DK$3*CH44^0.8*W44,IF(H44=3,$DL$3*CH44^0.8*W44,"ERR"))))</f>
        <v>149.53200030060754</v>
      </c>
      <c r="DE44" s="4">
        <f>IF(OR(CH44="",W44=""),"",IF(H44=1,$DJ$3*W44,IF(H44=2,$DK$3*W44,IF(H44=3,$DL$3*W44,"ERR"))))</f>
        <v>58.589999999999996</v>
      </c>
      <c r="DF44" s="3">
        <f>IF(DE44="","",-1.485*LN(E44)+7.098)</f>
        <v>4.0571761276025953</v>
      </c>
      <c r="DG44" s="4">
        <f>IF(OR(DF44="",W44=""),"",IF(H44=1,$DJ$3*DF44^0.8*W44,IF(H44=2,$DK$3*DF44^0.8*W44,IF(H44=3,$DL$3*CH44^0.8*W44,"ERR"))))</f>
        <v>149.53200030060754</v>
      </c>
    </row>
    <row r="45" spans="1:116" s="162" customFormat="1">
      <c r="A45" s="286" t="str">
        <f>IF(B45="","",IF(F45&lt;10,CONCATENATE(B45," - 0",F45),CONCATENATE(B45," - ",F45)))</f>
        <v>TRT05 - 07.75</v>
      </c>
      <c r="B45" s="212" t="s">
        <v>2</v>
      </c>
      <c r="C45" s="212">
        <v>7.6</v>
      </c>
      <c r="D45" s="212">
        <v>7.9</v>
      </c>
      <c r="E45" s="301">
        <f>AVERAGE(D45,C45)</f>
        <v>7.75</v>
      </c>
      <c r="F45" s="301">
        <f>IF(E45="","",CEILING(E45,0.25))</f>
        <v>7.75</v>
      </c>
      <c r="G45" s="301" t="s">
        <v>1</v>
      </c>
      <c r="H45" s="300">
        <v>3</v>
      </c>
      <c r="I45" s="222">
        <v>18.93</v>
      </c>
      <c r="J45" s="222">
        <v>14.1</v>
      </c>
      <c r="K45" s="222">
        <v>0.34200000000000003</v>
      </c>
      <c r="L45" s="171">
        <v>0.95</v>
      </c>
      <c r="M45" s="299">
        <v>0.99</v>
      </c>
      <c r="N45" s="298">
        <v>9.3000000000000007</v>
      </c>
      <c r="O45" s="223"/>
      <c r="P45" s="222"/>
      <c r="Q45" s="221"/>
      <c r="R45" s="221">
        <f>IF(L45="","",L45/(1+L45))</f>
        <v>0.48717948717948717</v>
      </c>
      <c r="S45" s="221" t="str">
        <f>IF(R45="","",IF(R45&lt;0.3,"S",IF(R45&lt;0.45,"L",IF(AND(R45&lt;0.5,R45&gt;=0.45),"C",IF(R45&gt;=0.5,"SC","")))))</f>
        <v>C</v>
      </c>
      <c r="T45" s="285">
        <f>L45*9.81/($P$22*(1+L45))</f>
        <v>0.35835271951242958</v>
      </c>
      <c r="U45" s="284">
        <f>N45</f>
        <v>9.3000000000000007</v>
      </c>
      <c r="V45" s="284">
        <f>IF(E45="","",IF(E45&lt;=10,IF(E45&lt;=N45,18*E45,18*N45+(18-0)*(E45-N45)),IF(AND(E45&gt;10,N45&lt;=10),18*N45+(18-0)*(10-N45)+(17.5-0)*(E45-10),IF(E45&lt;N45,(18*0)+17.5*(E45-10),(18*0)+17.5*(N45-10)+(17.5-0)*(E45-N45)))))</f>
        <v>139.5</v>
      </c>
      <c r="W45" s="186">
        <f>IF(E45="","",IF(E45&lt;=10,IF(E45&lt;=N45,18*E45,18*N45+(18-10)*(E45-N45)),IF(AND(E45&gt;10,N45&lt;=10),18*N45+(18-10)*(10-N45)+(17.5-10)*(E45-10),IF(E45&lt;N45,(18*10)+17.5*(E45-10),(18*10)+17.5*(N45-10)+(17.5-10)*(E45-N45)))))</f>
        <v>139.5</v>
      </c>
      <c r="X45" s="197"/>
      <c r="Y45" s="205">
        <f>Y44</f>
        <v>1.004</v>
      </c>
      <c r="Z45" s="164"/>
      <c r="AA45" s="189"/>
      <c r="AB45" s="323">
        <v>0.4</v>
      </c>
      <c r="AC45" s="329">
        <v>0.1416</v>
      </c>
      <c r="AD45" s="202">
        <f>9.81*AE45/AC45/(1+AE45)/100</f>
        <v>0.32739755417292427</v>
      </c>
      <c r="AE45" s="325">
        <v>0.89600000000000002</v>
      </c>
      <c r="AF45" s="296">
        <v>79.099999999999994</v>
      </c>
      <c r="AG45" s="295">
        <v>77.08</v>
      </c>
      <c r="AH45" s="295">
        <v>1146.08</v>
      </c>
      <c r="AI45" s="295">
        <v>1143.69</v>
      </c>
      <c r="AJ45" s="199">
        <f>IF(AF45="","",1-(AG45*AI45/AF45/AH45))</f>
        <v>2.7569409133499811E-2</v>
      </c>
      <c r="AK45" s="198">
        <v>6.9000000000000006E-2</v>
      </c>
      <c r="AL45" s="197">
        <v>200</v>
      </c>
      <c r="AM45" s="189">
        <v>644.49</v>
      </c>
      <c r="AN45" s="186">
        <f>AL45-AQ45</f>
        <v>22.099999999999994</v>
      </c>
      <c r="AO45" s="186">
        <f>AN45-AP45</f>
        <v>-1.0000000000019327E-2</v>
      </c>
      <c r="AP45" s="186">
        <f>AM45-AR45</f>
        <v>22.110000000000014</v>
      </c>
      <c r="AQ45" s="189">
        <v>177.9</v>
      </c>
      <c r="AR45" s="189">
        <v>622.38</v>
      </c>
      <c r="AS45" s="196"/>
      <c r="AT45" s="66"/>
      <c r="AU45" s="192"/>
      <c r="AV45" s="192"/>
      <c r="AW45" s="195"/>
      <c r="AX45" s="192"/>
      <c r="AY45" s="192"/>
      <c r="AZ45" s="192"/>
      <c r="BA45" s="195"/>
      <c r="BB45" s="194">
        <f>(AM45-AL45)/AK45/1000</f>
        <v>6.4418840579710137</v>
      </c>
      <c r="BC45" s="187"/>
      <c r="BD45" s="187"/>
      <c r="BE45" s="187">
        <f>AL45/AJ45/1000</f>
        <v>7.2544173519111945</v>
      </c>
      <c r="BF45" s="294"/>
      <c r="BG45" s="192" t="s">
        <v>0</v>
      </c>
      <c r="BH45" s="191">
        <f>IF(OR(AE45="",Y45=""),"",Y45/AE45)</f>
        <v>1.1205357142857142</v>
      </c>
      <c r="BI45" s="168" t="str">
        <f>IF(OR(AE45="",Y45=""),"",IF(Y45/AE45&gt;1.05,"OC",IF(Y45/AE45&lt;0.95,"UC","OK")))</f>
        <v>OC</v>
      </c>
      <c r="BJ45" s="186">
        <f>(AM45-AL45)/2</f>
        <v>222.245</v>
      </c>
      <c r="BK45" s="186"/>
      <c r="BL45" s="186" t="str">
        <f>IF(BZ45="=",BJ45,"")</f>
        <v/>
      </c>
      <c r="BM45" s="188">
        <f>AN45/(AM45-AL45)</f>
        <v>4.9719903709869721E-2</v>
      </c>
      <c r="BN45" s="188" t="str">
        <f>IF(BM45="","",IF(AND(BM45&gt;=3/4,BM45&lt;=1.5),"HS",IF(AND(BM45&gt;=0.5,BM45&lt;=1),"NC",IF(AND(BM45&gt;=0,BM45&lt;=0.5),"OC",IF(BM45&lt;0,"H-OC","")))))</f>
        <v>OC</v>
      </c>
      <c r="BO45" s="187">
        <f>IF(BX45="","",BX45)</f>
        <v>2.2499999999788423</v>
      </c>
      <c r="BP45" s="188"/>
      <c r="BQ45" s="185">
        <f>BJ45/AL45</f>
        <v>1.1112250000000001</v>
      </c>
      <c r="BR45" s="184">
        <f>AL45/W45</f>
        <v>1.4336917562724014</v>
      </c>
      <c r="BS45" s="184" t="str">
        <f>IF(OR(BR45="",BH45=""),"",IF(AND(BR45&lt;1,BH45&gt;1),"NO",""))</f>
        <v/>
      </c>
      <c r="BT45" s="183" t="str">
        <f>IF(AA45="","",AA45/W45)</f>
        <v/>
      </c>
      <c r="BU45" s="182">
        <f>BU44</f>
        <v>0.58083929413991642</v>
      </c>
      <c r="BV45" s="181">
        <v>0.58083929413991642</v>
      </c>
      <c r="BW45" s="180">
        <f>(BQ45/BU45)^(1/0.8)</f>
        <v>2.2499999999788423</v>
      </c>
      <c r="BX45" s="179">
        <f>(BQ45/BV45)^(1/0.8)</f>
        <v>2.2499999999788423</v>
      </c>
      <c r="BY45" s="178">
        <f>BU45*BW45^0.8</f>
        <v>1.1112250000000001</v>
      </c>
      <c r="BZ45" s="177" t="str">
        <f>IF(BR45&lt;0.85,"",IF(AND(BR45&gt;=0.85,BR45&lt;=1.15),"=","&gt;"))</f>
        <v>&gt;</v>
      </c>
      <c r="CA45" s="177" t="str">
        <f>IF(BZ45="","",IF(AND(BQ45&gt;=0.2,BQ45&lt;=0.451),"OK","NO"))</f>
        <v>NO</v>
      </c>
      <c r="CB45" s="176" t="str">
        <f>IF(BZ45="","",IF(AL45&lt;=CF43/1.11,"OC","NC"))</f>
        <v>OC</v>
      </c>
      <c r="CC45" s="176" t="str">
        <f>IF(BZ45="","",IF(CA45="OK","NC","OC"))</f>
        <v>OC</v>
      </c>
      <c r="CD45" s="172">
        <f>IF(BQ45="","",IF(BW45="","",BW45*AL45))</f>
        <v>449.99999999576846</v>
      </c>
      <c r="CE45" s="175">
        <f>IF(BQ45="","",IF(BX45="","",BX45*AL45))</f>
        <v>449.99999999576846</v>
      </c>
      <c r="CF45" s="174"/>
      <c r="CG45" s="66">
        <f>CG44</f>
        <v>450</v>
      </c>
      <c r="CH45" s="220">
        <f>CG45/W45</f>
        <v>3.225806451612903</v>
      </c>
      <c r="CI45" s="173" t="str">
        <f>IF(BQ45&lt;0.28,"Y","")</f>
        <v/>
      </c>
      <c r="CJ45" s="172" t="str">
        <f>IF(BQ45&lt;0.8,"Y","")</f>
        <v/>
      </c>
      <c r="CK45" s="172" t="str">
        <f>IF(BQ45&lt;BQ44,"","ERR")</f>
        <v/>
      </c>
      <c r="CL45" s="11">
        <f>IFERROR(CE45-CG45,"")</f>
        <v>-4.2315377868362702E-9</v>
      </c>
      <c r="CM45" s="163"/>
      <c r="CN45" s="168">
        <f>IF(OR(BS45="NO",BG45="TX-CID"),"",BH45)</f>
        <v>1.1205357142857142</v>
      </c>
      <c r="CO45" s="168">
        <f>IF(CN45="","",BQ45)</f>
        <v>1.1112250000000001</v>
      </c>
      <c r="CP45" s="171">
        <f>IF(CO45="","",BR45)</f>
        <v>1.4336917562724014</v>
      </c>
      <c r="CQ45" s="170">
        <f>IF(CO45="","",BV45)</f>
        <v>0.58083929413991642</v>
      </c>
      <c r="CR45" s="169">
        <f>IF(CU45="","",BX45)</f>
        <v>2.2499999999788423</v>
      </c>
      <c r="CS45" s="169">
        <f>IF(CR45="","",LN(CR45))</f>
        <v>0.81093021620692529</v>
      </c>
      <c r="CT45" s="169">
        <f>IF(CS45="","",BM45)</f>
        <v>4.9719903709869721E-2</v>
      </c>
      <c r="CU45" s="168">
        <f>IF(CO45="","",BU45)</f>
        <v>0.58083929413991642</v>
      </c>
      <c r="CV45" s="166">
        <f>IF(CR45="","",CH43)</f>
        <v>3.225806451612903</v>
      </c>
      <c r="CW45" s="167">
        <f>IF(CU45="","",E45)</f>
        <v>7.75</v>
      </c>
      <c r="CX45" s="167"/>
      <c r="CY45" s="165">
        <f>IF(CW45="","",IF(H45=1,$DJ$3*CV45^0.8*W45,IF(H45=2,$DK$3*CV45^0.8*W45,IF(H45=3,$DL$3*CV45^0.8*W45,"ERR"))))</f>
        <v>149.53200030060754</v>
      </c>
      <c r="CZ45" s="165" t="str">
        <f>IF(CY45="","",IF(BI45="OK",BJ45,""))</f>
        <v/>
      </c>
      <c r="DA45" s="165" t="str">
        <f>IF(CY45="","",IF(BK45="","",BK45))</f>
        <v/>
      </c>
      <c r="DB45" s="166">
        <f>IF(CW45="","",BM45)</f>
        <v>4.9719903709869721E-2</v>
      </c>
      <c r="DC45" s="165"/>
      <c r="DD45" s="165">
        <f>IF(OR(CH45="",W45=""),"",IF(H45=1,$DJ$3*CH45^0.8*W45,IF(H45=2,$DK$3*CH45^0.8*W45,IF(H45=3,$DL$3*CH45^0.8*W45,"ERR"))))</f>
        <v>149.53200030060754</v>
      </c>
      <c r="DE45" s="165">
        <f>IF(OR(CH45="",W45=""),"",IF(H45=1,$DJ$3*W45,IF(H45=2,$DK$3*W45,IF(H45=3,$DL$3*W45,"ERR"))))</f>
        <v>58.589999999999996</v>
      </c>
      <c r="DF45" s="164">
        <f>IF(DE45="","",-1.485*LN(E45)+7.098)</f>
        <v>4.0571761276025953</v>
      </c>
      <c r="DG45" s="165">
        <f>IF(OR(DF45="",W45=""),"",IF(H45=1,$DJ$3*DF45^0.8*W45,IF(H45=2,$DK$3*DF45^0.8*W45,IF(H45=3,$DL$3*CH45^0.8*W45,"ERR"))))</f>
        <v>149.53200030060754</v>
      </c>
      <c r="DH45" s="164"/>
      <c r="DJ45" s="163"/>
      <c r="DK45" s="163"/>
      <c r="DL45" s="163"/>
    </row>
    <row r="46" spans="1:116">
      <c r="A46" s="51" t="str">
        <f>IF(B46="","",IF(F46&lt;10,CONCATENATE(B46," - 0",F46),CONCATENATE(B46," - ",F46)))</f>
        <v>TRT05 - 10.75</v>
      </c>
      <c r="B46" s="114" t="s">
        <v>2</v>
      </c>
      <c r="C46" s="114">
        <v>10.6</v>
      </c>
      <c r="D46" s="114">
        <v>10.9</v>
      </c>
      <c r="E46" s="311">
        <f>AVERAGE(D46,C46)</f>
        <v>10.75</v>
      </c>
      <c r="F46" s="311">
        <f>IF(E46="","",CEILING(E46,0.25))</f>
        <v>10.75</v>
      </c>
      <c r="G46" s="311" t="s">
        <v>1</v>
      </c>
      <c r="H46" s="310">
        <v>3</v>
      </c>
      <c r="I46" s="217">
        <v>18.38</v>
      </c>
      <c r="J46" s="217">
        <v>13.18</v>
      </c>
      <c r="K46" s="217">
        <v>0.39400000000000002</v>
      </c>
      <c r="L46" s="10">
        <v>1.0860000000000001</v>
      </c>
      <c r="M46" s="309">
        <v>1</v>
      </c>
      <c r="N46" s="308">
        <v>9.3000000000000007</v>
      </c>
      <c r="O46" s="218">
        <f>(P46*(1+AVERAGE(L46:L48))+(9.81*M46*AVERAGE(L46:L48)))/(1+AVERAGE(L46:L48))</f>
        <v>18.463715775749669</v>
      </c>
      <c r="P46" s="217">
        <f>AVERAGE(J46:J48)</f>
        <v>13.449999999999998</v>
      </c>
      <c r="Q46" s="216">
        <f>AVERAGE(K46:K48)</f>
        <v>0.38400000000000006</v>
      </c>
      <c r="R46" s="216">
        <f>IF(L46="","",L46/(1+L46))</f>
        <v>0.5206136145733461</v>
      </c>
      <c r="S46" s="216" t="str">
        <f>IF(R46="","",IF(R46&lt;0.3,"S",IF(R46&lt;0.45,"L",IF(AND(R46&lt;0.5,R46&gt;=0.45),"C",IF(R46&gt;=0.5,"SC","")))))</f>
        <v>SC</v>
      </c>
      <c r="T46" s="288">
        <f>L46*9.81/($P$25*(1+L46))</f>
        <v>0.35540845921812986</v>
      </c>
      <c r="U46" s="287">
        <f>N46</f>
        <v>9.3000000000000007</v>
      </c>
      <c r="V46" s="287">
        <f>IF(E46="","",IF(E46&lt;=10,IF(E46&lt;=N46,18*E46,18*N46+(18-0)*(E46-N46)),IF(AND(E46&gt;10,N46&lt;=10),18*N46+(18-0)*(10-N46)+(17.5-0)*(E46-10),IF(E46&lt;N46,(18*0)+17.5*(E46-10),(18*0)+17.5*(N46-10)+(17.5-0)*(E46-N46)))))</f>
        <v>193.125</v>
      </c>
      <c r="W46" s="37">
        <f>IF(E46="","",IF(E46&lt;=10,IF(E46&lt;=N46,18*E46,18*N46+(18-10)*(E46-N46)),IF(AND(E46&gt;10,N46&lt;=10),18*N46+(18-10)*(10-N46)+(17.5-10)*(E46-10),IF(E46&lt;N46,(18*10)+17.5*(E46-10),(18*10)+17.5*(N46-10)+(17.5-10)*(E46-N46)))))</f>
        <v>178.625</v>
      </c>
      <c r="X46" s="34">
        <v>180</v>
      </c>
      <c r="Y46" s="10">
        <v>0.99099999999999999</v>
      </c>
      <c r="Z46" s="305">
        <v>2.6</v>
      </c>
      <c r="AA46" s="28">
        <v>480</v>
      </c>
      <c r="AB46" s="324">
        <v>0.39</v>
      </c>
      <c r="AC46" s="43">
        <v>0.1366</v>
      </c>
      <c r="AD46" s="42">
        <f>9.81*AE46/AC46/(1+AE46)/100</f>
        <v>0.36987430645594194</v>
      </c>
      <c r="AE46" s="326">
        <v>1.0620000000000001</v>
      </c>
      <c r="AF46" s="306">
        <v>78.95</v>
      </c>
      <c r="AG46" s="305">
        <v>77.92</v>
      </c>
      <c r="AH46" s="305">
        <v>1135.9100000000001</v>
      </c>
      <c r="AI46" s="305">
        <v>1138.0899999999999</v>
      </c>
      <c r="AJ46" s="39">
        <f>IF(AF46="","",1-(AG46*AI46/AF46/AH46))</f>
        <v>1.1152103547348857E-2</v>
      </c>
      <c r="AK46" s="38">
        <v>0.1109</v>
      </c>
      <c r="AL46" s="34">
        <v>50</v>
      </c>
      <c r="AM46" s="28">
        <v>216.45</v>
      </c>
      <c r="AN46" s="37">
        <f>AL46-AQ46</f>
        <v>-5.490000000000002</v>
      </c>
      <c r="AO46" s="37">
        <f>AN46-AP46</f>
        <v>7.1054273576010019E-15</v>
      </c>
      <c r="AP46" s="37">
        <f>AM46-AR46</f>
        <v>-5.4900000000000091</v>
      </c>
      <c r="AQ46" s="28">
        <v>55.49</v>
      </c>
      <c r="AR46" s="28">
        <v>221.94</v>
      </c>
      <c r="AS46" s="328"/>
      <c r="AT46" s="15">
        <v>40</v>
      </c>
      <c r="AU46" s="32">
        <v>22</v>
      </c>
      <c r="AV46" s="32">
        <v>30</v>
      </c>
      <c r="AW46" s="35">
        <v>30</v>
      </c>
      <c r="AX46" s="32">
        <v>45</v>
      </c>
      <c r="AY46" s="32">
        <v>16</v>
      </c>
      <c r="AZ46" s="32">
        <v>25</v>
      </c>
      <c r="BA46" s="35">
        <v>24</v>
      </c>
      <c r="BB46" s="111">
        <f>(AM46-AL46)/AK46/1000</f>
        <v>1.500901713255185</v>
      </c>
      <c r="BC46" s="109"/>
      <c r="BD46" s="109"/>
      <c r="BE46" s="109">
        <f>AL46/AJ46/1000</f>
        <v>4.483459088028849</v>
      </c>
      <c r="BF46" s="304"/>
      <c r="BG46" s="32" t="s">
        <v>0</v>
      </c>
      <c r="BH46" s="31">
        <f>IF(OR(AE46="",Y46=""),"",Y46/AE46)</f>
        <v>0.93314500941619583</v>
      </c>
      <c r="BI46" s="7" t="str">
        <f>IF(OR(AE46="",Y46=""),"",IF(Y46/AE46&gt;1.05,"OC",IF(Y46/AE46&lt;0.95,"UC","OK")))</f>
        <v>UC</v>
      </c>
      <c r="BJ46" s="215">
        <f>(AM46-AL46)/2</f>
        <v>83.224999999999994</v>
      </c>
      <c r="BK46" s="37">
        <f>AVERAGE(BJ46:BJ48)+(_xlfn.COVARIANCE.P(AL46:AL48,BJ46:BJ48)/_xlfn.STDEV.P(AL46:AL48)^2)*(W46-AVERAGE(AL46:AL48))</f>
        <v>168.96571071428571</v>
      </c>
      <c r="BL46" s="37" t="str">
        <f>IF(BZ46="=",BJ46,"")</f>
        <v/>
      </c>
      <c r="BM46" s="110">
        <f>AN46/(AM46-AL46)</f>
        <v>-3.2982877741063399E-2</v>
      </c>
      <c r="BN46" s="327" t="str">
        <f>IF(BM46="","",IF(AND(BM46&gt;=3/4,BM46&lt;=1.5),"HS",IF(AND(BM46&gt;=0.5,BM46&lt;=1),"NC",IF(AND(BM46&gt;=0,BM46&lt;=0.5),"OC",IF(BM46&lt;0,"H-OC","")))))</f>
        <v>H-OC</v>
      </c>
      <c r="BO46" s="109">
        <f>IF(BX46="","",BX46)</f>
        <v>9.6000000001293273</v>
      </c>
      <c r="BP46" s="110"/>
      <c r="BQ46" s="27">
        <f>BJ46/AL46</f>
        <v>1.6644999999999999</v>
      </c>
      <c r="BR46" s="26">
        <f>AL46/W46</f>
        <v>0.27991602519244224</v>
      </c>
      <c r="BS46" s="26" t="str">
        <f>IF(OR(BR46="",BH46=""),"",IF(AND(BR46&lt;1,BH46&gt;1),"NO",""))</f>
        <v/>
      </c>
      <c r="BT46" s="25">
        <f>IF(AA46="","",AA46/W46)</f>
        <v>2.6871938418474457</v>
      </c>
      <c r="BU46" s="24">
        <v>0.43650856989822273</v>
      </c>
      <c r="BV46" s="23">
        <v>0.27256294499197475</v>
      </c>
      <c r="BW46" s="22">
        <f>(BQ46/BU46)^(1/0.8)</f>
        <v>5.328608106839205</v>
      </c>
      <c r="BX46" s="21">
        <f>(BQ46/BV46)^(1/0.8)</f>
        <v>9.6000000001293273</v>
      </c>
      <c r="BY46" s="20">
        <f>BU46*BW46^0.8</f>
        <v>1.6645000000000003</v>
      </c>
      <c r="BZ46" s="19" t="str">
        <f>IF(BR46&lt;0.85,"",IF(AND(BR46&gt;=0.85,BR46&lt;=1.15),"=","&gt;"))</f>
        <v/>
      </c>
      <c r="CA46" s="19" t="str">
        <f>IF(BZ46="","",IF(AND(BQ46&gt;=0.2,BQ46&lt;=0.451),"OK","NO"))</f>
        <v/>
      </c>
      <c r="CB46" s="18" t="str">
        <f>IF(BZ46="","",IF(AL46&lt;=CF46/1.11,"OC","NC"))</f>
        <v/>
      </c>
      <c r="CC46" s="18" t="str">
        <f>IF(BZ46="","",IF(CA46="OK","NC","OC"))</f>
        <v/>
      </c>
      <c r="CE46" s="17">
        <f>IF(BQ46="","",IF(BX46="","",BX46*AL46))</f>
        <v>480.00000000646639</v>
      </c>
      <c r="CF46" s="16">
        <f>AVERAGE(CD46:CD48)</f>
        <v>479.99999999856675</v>
      </c>
      <c r="CG46" s="15">
        <v>480</v>
      </c>
      <c r="CH46" s="14">
        <f>CG46/W46</f>
        <v>2.6871938418474457</v>
      </c>
      <c r="CI46" s="13" t="str">
        <f>IF(BQ46&lt;0.28,"Y","")</f>
        <v/>
      </c>
      <c r="CJ46" s="12" t="str">
        <f>IF(BQ46&lt;0.8,"Y","")</f>
        <v/>
      </c>
      <c r="CL46" s="125">
        <f>IFERROR(CE46-CG46,"")</f>
        <v>6.4663936427677982E-9</v>
      </c>
      <c r="CN46" s="7">
        <f>IF(OR(BS46="NO",BG46="TX-CID"),"",BH46)</f>
        <v>0.93314500941619583</v>
      </c>
      <c r="CO46" s="7">
        <f>IF(CN46="","",BQ46)</f>
        <v>1.6644999999999999</v>
      </c>
      <c r="CP46" s="10">
        <f>IF(CO46="","",BR46)</f>
        <v>0.27991602519244224</v>
      </c>
      <c r="CQ46" s="9">
        <f>IF(CO46="","",BV46)</f>
        <v>0.27256294499197475</v>
      </c>
      <c r="CR46" s="8">
        <f>IF(CU46="","",BX46)</f>
        <v>9.6000000001293273</v>
      </c>
      <c r="CS46" s="8">
        <f>IF(CR46="","",LN(CR46))</f>
        <v>2.2617630984872621</v>
      </c>
      <c r="CT46" s="8">
        <f>IF(CS46="","",BM46)</f>
        <v>-3.2982877741063399E-2</v>
      </c>
      <c r="CU46" s="7">
        <f>IF(CO46="","",BU46)</f>
        <v>0.43650856989822273</v>
      </c>
      <c r="CV46" s="6">
        <f>IF(CR46="","",CH46)</f>
        <v>2.6871938418474457</v>
      </c>
      <c r="CW46" s="5">
        <f>IF(CU46="","",E46)</f>
        <v>10.75</v>
      </c>
      <c r="CY46" s="4">
        <f>IF(CW46="","",IF(H46=1,$DJ$3*CV46^0.8*W46,IF(H46=2,$DK$3*CV46^0.8*W46,IF(H46=3,$DL$3*CV46^0.8*W46,"ERR"))))</f>
        <v>165.43626959286735</v>
      </c>
      <c r="CZ46" s="4" t="str">
        <f>IF(CY46="","",IF(BI46="OK",BJ46,""))</f>
        <v/>
      </c>
      <c r="DA46" s="4">
        <f>IF(CY46="","",IF(BK46="","",BK46))</f>
        <v>168.96571071428571</v>
      </c>
      <c r="DB46" s="6">
        <f>IF(CW46="","",BM46)</f>
        <v>-3.2982877741063399E-2</v>
      </c>
      <c r="DD46" s="4">
        <f>IF(OR(CH46="",W46=""),"",IF(H46=1,$DJ$3*CH46^0.8*W46,IF(H46=2,$DK$3*CH46^0.8*W46,IF(H46=3,$DL$3*CH46^0.8*W46,"ERR"))))</f>
        <v>165.43626959286735</v>
      </c>
      <c r="DE46" s="4">
        <f>IF(OR(CH46="",W46=""),"",IF(H46=1,$DJ$3*W46,IF(H46=2,$DK$3*W46,IF(H46=3,$DL$3*W46,"ERR"))))</f>
        <v>75.022499999999994</v>
      </c>
      <c r="DF46" s="3">
        <f>IF(DE46="","",-1.485*LN(E46)+7.098)</f>
        <v>3.5712649544580972</v>
      </c>
      <c r="DG46" s="4">
        <f>IF(OR(DF46="",W46=""),"",IF(H46=1,$DJ$3*DF46^0.8*W46,IF(H46=2,$DK$3*DF46^0.8*W46,IF(H46=3,$DL$3*CH46^0.8*W46,"ERR"))))</f>
        <v>165.43626959286735</v>
      </c>
    </row>
    <row r="47" spans="1:116">
      <c r="A47" s="51" t="str">
        <f>IF(B47="","",IF(F47&lt;10,CONCATENATE(B47," - 0",F47),CONCATENATE(B47," - ",F47)))</f>
        <v>TRT05 - 10.75</v>
      </c>
      <c r="B47" s="114" t="s">
        <v>2</v>
      </c>
      <c r="C47" s="114">
        <v>10.6</v>
      </c>
      <c r="D47" s="114">
        <v>10.9</v>
      </c>
      <c r="E47" s="311">
        <f>AVERAGE(D47,C47)</f>
        <v>10.75</v>
      </c>
      <c r="F47" s="311">
        <f>IF(E47="","",CEILING(E47,0.25))</f>
        <v>10.75</v>
      </c>
      <c r="G47" s="311" t="s">
        <v>1</v>
      </c>
      <c r="H47" s="310">
        <v>3</v>
      </c>
      <c r="I47" s="217">
        <v>18.61</v>
      </c>
      <c r="J47" s="217">
        <v>13.37</v>
      </c>
      <c r="K47" s="217">
        <v>0.39200000000000002</v>
      </c>
      <c r="L47" s="10">
        <v>1.0569999999999999</v>
      </c>
      <c r="M47" s="309">
        <v>1</v>
      </c>
      <c r="N47" s="308">
        <v>9.3000000000000007</v>
      </c>
      <c r="O47" s="218"/>
      <c r="P47" s="217"/>
      <c r="Q47" s="216"/>
      <c r="R47" s="216">
        <f>IF(L47="","",L47/(1+L47))</f>
        <v>0.51385512882839079</v>
      </c>
      <c r="S47" s="216" t="str">
        <f>IF(R47="","",IF(R47&lt;0.3,"S",IF(R47&lt;0.45,"L",IF(AND(R47&lt;0.5,R47&gt;=0.45),"C",IF(R47&gt;=0.5,"SC","")))))</f>
        <v>SC</v>
      </c>
      <c r="T47" s="288">
        <f>L47*9.81/($P$25*(1+L47))</f>
        <v>0.35079462865737754</v>
      </c>
      <c r="U47" s="287">
        <f>N47</f>
        <v>9.3000000000000007</v>
      </c>
      <c r="V47" s="287">
        <f>IF(E47="","",IF(E47&lt;=10,IF(E47&lt;=N47,18*E47,18*N47+(18-0)*(E47-N47)),IF(AND(E47&gt;10,N47&lt;=10),18*N47+(18-0)*(10-N47)+(17.5-0)*(E47-10),IF(E47&lt;N47,(18*0)+17.5*(E47-10),(18*0)+17.5*(N47-10)+(17.5-0)*(E47-N47)))))</f>
        <v>193.125</v>
      </c>
      <c r="W47" s="37">
        <f>IF(E47="","",IF(E47&lt;=10,IF(E47&lt;=N47,18*E47,18*N47+(18-10)*(E47-N47)),IF(AND(E47&gt;10,N47&lt;=10),18*N47+(18-10)*(10-N47)+(17.5-10)*(E47-10),IF(E47&lt;N47,(18*10)+17.5*(E47-10),(18*10)+17.5*(N47-10)+(17.5-10)*(E47-N47)))))</f>
        <v>178.625</v>
      </c>
      <c r="Y47" s="45">
        <f>Y46</f>
        <v>0.99099999999999999</v>
      </c>
      <c r="AB47" s="324">
        <v>0.39</v>
      </c>
      <c r="AC47" s="43">
        <v>0.13819999999999999</v>
      </c>
      <c r="AD47" s="42">
        <f>9.81*AE47/AC47/(1+AE47)/100</f>
        <v>0.35895558529873184</v>
      </c>
      <c r="AE47" s="326">
        <v>1.0229999999999999</v>
      </c>
      <c r="AF47" s="306">
        <v>78.900000000000006</v>
      </c>
      <c r="AG47" s="305">
        <v>78.099999999999994</v>
      </c>
      <c r="AH47" s="305">
        <v>1135.9100000000001</v>
      </c>
      <c r="AI47" s="305">
        <v>1128.3399999999999</v>
      </c>
      <c r="AJ47" s="39">
        <f>IF(AF47="","",1-(AG47*AI47/AF47/AH47))</f>
        <v>1.6736105641458443E-2</v>
      </c>
      <c r="AK47" s="38">
        <v>4.9000000000000002E-2</v>
      </c>
      <c r="AL47" s="34">
        <v>100</v>
      </c>
      <c r="AM47" s="28">
        <v>379.66</v>
      </c>
      <c r="AN47" s="37">
        <f>AL47-AQ47</f>
        <v>42.78</v>
      </c>
      <c r="AO47" s="37">
        <f>AN47-AP47</f>
        <v>0</v>
      </c>
      <c r="AP47" s="37">
        <f>AM47-AR47</f>
        <v>42.78000000000003</v>
      </c>
      <c r="AQ47" s="28">
        <v>57.22</v>
      </c>
      <c r="AR47" s="28">
        <v>336.88</v>
      </c>
      <c r="BB47" s="111">
        <f>(AM47-AL47)/AK47/1000</f>
        <v>5.70734693877551</v>
      </c>
      <c r="BC47" s="109"/>
      <c r="BD47" s="109"/>
      <c r="BE47" s="109">
        <f>AL47/AJ47/1000</f>
        <v>5.9751056872084636</v>
      </c>
      <c r="BF47" s="304"/>
      <c r="BG47" s="32" t="s">
        <v>0</v>
      </c>
      <c r="BH47" s="303">
        <f>IF(OR(AE47="",Y47=""),"",Y47/AE47)</f>
        <v>0.96871945259042036</v>
      </c>
      <c r="BI47" s="7" t="str">
        <f>IF(OR(AE47="",Y47=""),"",IF(Y47/AE47&gt;1.05,"OC",IF(Y47/AE47&lt;0.95,"UC","OK")))</f>
        <v>OK</v>
      </c>
      <c r="BJ47" s="37">
        <f>(AM47-AL47)/2</f>
        <v>139.83000000000001</v>
      </c>
      <c r="BK47" s="37"/>
      <c r="BL47" s="37" t="str">
        <f>IF(BZ47="=",BJ47,"")</f>
        <v/>
      </c>
      <c r="BM47" s="110">
        <f>AN47/(AM47-AL47)</f>
        <v>0.1529714653507831</v>
      </c>
      <c r="BN47" s="110" t="str">
        <f>IF(BM47="","",IF(AND(BM47&gt;=3/4,BM47&lt;=1.5),"HS",IF(AND(BM47&gt;=0.5,BM47&lt;=1),"NC",IF(AND(BM47&gt;=0,BM47&lt;=0.5),"OC",IF(BM47&lt;0,"H-OC","")))))</f>
        <v>OC</v>
      </c>
      <c r="BO47" s="109">
        <f>IF(BX47="","",BX47)</f>
        <v>4.7999999999925045</v>
      </c>
      <c r="BP47" s="110"/>
      <c r="BQ47" s="27">
        <f>BJ47/AL47</f>
        <v>1.3983000000000001</v>
      </c>
      <c r="BR47" s="26">
        <f>AL47/W47</f>
        <v>0.55983205038488448</v>
      </c>
      <c r="BS47" s="26" t="str">
        <f>IF(OR(BR47="",BH47=""),"",IF(AND(BR47&lt;1,BH47&gt;1),"NO",""))</f>
        <v/>
      </c>
      <c r="BT47" s="25" t="str">
        <f>IF(AA47="","",AA47/W47)</f>
        <v/>
      </c>
      <c r="BU47" s="24">
        <f>BU46</f>
        <v>0.43650856989822273</v>
      </c>
      <c r="BV47" s="23">
        <v>0.39866431927421586</v>
      </c>
      <c r="BW47" s="22">
        <f>(BQ47/BU47)^(1/0.8)</f>
        <v>4.2855787396061542</v>
      </c>
      <c r="BX47" s="21">
        <f>(BQ47/BV47)^(1/0.8)</f>
        <v>4.7999999999925045</v>
      </c>
      <c r="BY47" s="20">
        <f>BU47*BW47^0.8</f>
        <v>1.3983000000000001</v>
      </c>
      <c r="BZ47" s="19" t="str">
        <f>IF(BR47&lt;0.85,"",IF(AND(BR47&gt;=0.85,BR47&lt;=1.15),"=","&gt;"))</f>
        <v/>
      </c>
      <c r="CA47" s="19" t="str">
        <f>IF(BZ47="","",IF(AND(BQ47&gt;=0.2,BQ47&lt;=0.451),"OK","NO"))</f>
        <v/>
      </c>
      <c r="CB47" s="18" t="str">
        <f>IF(BZ47="","",IF(AL47&lt;=CF46/1.11,"OC","NC"))</f>
        <v/>
      </c>
      <c r="CC47" s="18" t="str">
        <f>IF(BZ47="","",IF(CA47="OK","NC","OC"))</f>
        <v/>
      </c>
      <c r="CE47" s="17">
        <f>IF(BQ47="","",IF(BX47="","",BX47*AL47))</f>
        <v>479.99999999925046</v>
      </c>
      <c r="CG47" s="15">
        <f>CG46</f>
        <v>480</v>
      </c>
      <c r="CH47" s="14">
        <f>CG47/W47</f>
        <v>2.6871938418474457</v>
      </c>
      <c r="CI47" s="13" t="str">
        <f>IF(BQ47&lt;0.28,"Y","")</f>
        <v/>
      </c>
      <c r="CJ47" s="12" t="str">
        <f>IF(BQ47&lt;0.8,"Y","")</f>
        <v/>
      </c>
      <c r="CK47" s="12" t="str">
        <f>IF(BQ47&lt;BQ46,"","ERR")</f>
        <v/>
      </c>
      <c r="CL47" s="11">
        <f>IFERROR(CE47-CG47,"")</f>
        <v>-7.4953732109861448E-10</v>
      </c>
      <c r="CN47" s="7">
        <f>IF(OR(BS47="NO",BG47="TX-CID"),"",BH47)</f>
        <v>0.96871945259042036</v>
      </c>
      <c r="CO47" s="7">
        <f>IF(CN47="","",BQ47)</f>
        <v>1.3983000000000001</v>
      </c>
      <c r="CP47" s="10">
        <f>IF(CO47="","",BR47)</f>
        <v>0.55983205038488448</v>
      </c>
      <c r="CQ47" s="9">
        <f>IF(CO47="","",BV47)</f>
        <v>0.39866431927421586</v>
      </c>
      <c r="CR47" s="8">
        <f>IF(CU47="","",BX47)</f>
        <v>4.7999999999925045</v>
      </c>
      <c r="CS47" s="8">
        <f>IF(CR47="","",LN(CR47))</f>
        <v>1.5686159179122836</v>
      </c>
      <c r="CT47" s="8">
        <f>IF(CS47="","",BM47)</f>
        <v>0.1529714653507831</v>
      </c>
      <c r="CU47" s="7">
        <f>IF(CO47="","",BU47)</f>
        <v>0.43650856989822273</v>
      </c>
      <c r="CV47" s="6">
        <f>IF(CR47="","",CH46)</f>
        <v>2.6871938418474457</v>
      </c>
      <c r="CW47" s="5">
        <f>IF(CU47="","",E47)</f>
        <v>10.75</v>
      </c>
      <c r="CY47" s="4">
        <f>IF(CW47="","",IF(H47=1,$DJ$3*CV47^0.8*W47,IF(H47=2,$DK$3*CV47^0.8*W47,IF(H47=3,$DL$3*CV47^0.8*W47,"ERR"))))</f>
        <v>165.43626959286735</v>
      </c>
      <c r="CZ47" s="4">
        <f>IF(CY47="","",IF(BI47="OK",BJ47,""))</f>
        <v>139.83000000000001</v>
      </c>
      <c r="DA47" s="4" t="str">
        <f>IF(CY47="","",IF(BK47="","",BK47))</f>
        <v/>
      </c>
      <c r="DB47" s="6">
        <f>IF(CW47="","",BM47)</f>
        <v>0.1529714653507831</v>
      </c>
      <c r="DD47" s="4">
        <f>IF(OR(CH47="",W47=""),"",IF(H47=1,$DJ$3*CH47^0.8*W47,IF(H47=2,$DK$3*CH47^0.8*W47,IF(H47=3,$DL$3*CH47^0.8*W47,"ERR"))))</f>
        <v>165.43626959286735</v>
      </c>
      <c r="DE47" s="4">
        <f>IF(OR(CH47="",W47=""),"",IF(H47=1,$DJ$3*W47,IF(H47=2,$DK$3*W47,IF(H47=3,$DL$3*W47,"ERR"))))</f>
        <v>75.022499999999994</v>
      </c>
      <c r="DF47" s="3">
        <f>IF(DE47="","",-1.485*LN(E47)+7.098)</f>
        <v>3.5712649544580972</v>
      </c>
      <c r="DG47" s="4">
        <f>IF(OR(DF47="",W47=""),"",IF(H47=1,$DJ$3*DF47^0.8*W47,IF(H47=2,$DK$3*DF47^0.8*W47,IF(H47=3,$DL$3*CH47^0.8*W47,"ERR"))))</f>
        <v>165.43626959286735</v>
      </c>
    </row>
    <row r="48" spans="1:116" s="162" customFormat="1">
      <c r="A48" s="286" t="str">
        <f>IF(B48="","",IF(F48&lt;10,CONCATENATE(B48," - 0",F48),CONCATENATE(B48," - ",F48)))</f>
        <v>TRT05 - 10.75</v>
      </c>
      <c r="B48" s="212" t="s">
        <v>2</v>
      </c>
      <c r="C48" s="212">
        <v>10.6</v>
      </c>
      <c r="D48" s="212">
        <v>10.9</v>
      </c>
      <c r="E48" s="301">
        <f>AVERAGE(D48,C48)</f>
        <v>10.75</v>
      </c>
      <c r="F48" s="301">
        <f>IF(E48="","",CEILING(E48,0.25))</f>
        <v>10.75</v>
      </c>
      <c r="G48" s="301" t="s">
        <v>1</v>
      </c>
      <c r="H48" s="300">
        <v>3</v>
      </c>
      <c r="I48" s="222">
        <v>18.84</v>
      </c>
      <c r="J48" s="222">
        <v>13.8</v>
      </c>
      <c r="K48" s="222">
        <v>0.36599999999999999</v>
      </c>
      <c r="L48" s="171">
        <v>0.99299999999999999</v>
      </c>
      <c r="M48" s="299">
        <v>1</v>
      </c>
      <c r="N48" s="298">
        <v>9.3000000000000007</v>
      </c>
      <c r="O48" s="223"/>
      <c r="P48" s="222"/>
      <c r="Q48" s="221"/>
      <c r="R48" s="221">
        <f>IF(L48="","",L48/(1+L48))</f>
        <v>0.49824385348720523</v>
      </c>
      <c r="S48" s="221" t="str">
        <f>IF(R48="","",IF(R48&lt;0.3,"S",IF(R48&lt;0.45,"L",IF(AND(R48&lt;0.5,R48&gt;=0.45),"C",IF(R48&gt;=0.5,"SC","")))))</f>
        <v>C</v>
      </c>
      <c r="T48" s="285">
        <f>L48*9.81/($P$25*(1+L48))</f>
        <v>0.34013724444742405</v>
      </c>
      <c r="U48" s="284">
        <f>N48</f>
        <v>9.3000000000000007</v>
      </c>
      <c r="V48" s="284">
        <f>IF(E48="","",IF(E48&lt;=10,IF(E48&lt;=N48,18*E48,18*N48+(18-0)*(E48-N48)),IF(AND(E48&gt;10,N48&lt;=10),18*N48+(18-0)*(10-N48)+(17.5-0)*(E48-10),IF(E48&lt;N48,(18*0)+17.5*(E48-10),(18*0)+17.5*(N48-10)+(17.5-0)*(E48-N48)))))</f>
        <v>193.125</v>
      </c>
      <c r="W48" s="186">
        <f>IF(E48="","",IF(E48&lt;=10,IF(E48&lt;=N48,18*E48,18*N48+(18-10)*(E48-N48)),IF(AND(E48&gt;10,N48&lt;=10),18*N48+(18-10)*(10-N48)+(17.5-10)*(E48-10),IF(E48&lt;N48,(18*10)+17.5*(E48-10),(18*10)+17.5*(N48-10)+(17.5-10)*(E48-N48)))))</f>
        <v>178.625</v>
      </c>
      <c r="X48" s="197"/>
      <c r="Y48" s="205">
        <f>Y47</f>
        <v>0.99099999999999999</v>
      </c>
      <c r="Z48" s="164"/>
      <c r="AA48" s="189"/>
      <c r="AB48" s="323">
        <v>0.41199999999999998</v>
      </c>
      <c r="AC48" s="203">
        <v>0.1361</v>
      </c>
      <c r="AD48" s="202">
        <f>9.81*AE48/AC48/(1+AE48)/100</f>
        <v>0.34301914519013499</v>
      </c>
      <c r="AE48" s="325">
        <v>0.90800000000000003</v>
      </c>
      <c r="AF48" s="296">
        <v>78.63</v>
      </c>
      <c r="AG48" s="295">
        <v>77.2</v>
      </c>
      <c r="AH48" s="295">
        <v>1134.1099999999999</v>
      </c>
      <c r="AI48" s="295">
        <v>1105.9000000000001</v>
      </c>
      <c r="AJ48" s="199">
        <f>IF(AF48="","",1-(AG48*AI48/AF48/AH48))</f>
        <v>4.2608201258779177E-2</v>
      </c>
      <c r="AK48" s="198">
        <v>4.58E-2</v>
      </c>
      <c r="AL48" s="197">
        <v>200</v>
      </c>
      <c r="AM48" s="189">
        <v>551.74</v>
      </c>
      <c r="AN48" s="186">
        <f>AL48-AQ48</f>
        <v>73.94</v>
      </c>
      <c r="AO48" s="186">
        <f>AN48-AP48</f>
        <v>-9.9999999999909051E-3</v>
      </c>
      <c r="AP48" s="186">
        <f>AM48-AR48</f>
        <v>73.949999999999989</v>
      </c>
      <c r="AQ48" s="189">
        <v>126.06</v>
      </c>
      <c r="AR48" s="189">
        <v>477.79</v>
      </c>
      <c r="AS48" s="196"/>
      <c r="AT48" s="66"/>
      <c r="AU48" s="192"/>
      <c r="AV48" s="192"/>
      <c r="AW48" s="195"/>
      <c r="AX48" s="192"/>
      <c r="AY48" s="192"/>
      <c r="AZ48" s="192"/>
      <c r="BA48" s="195"/>
      <c r="BB48" s="194">
        <f>(AM48-AL48)/AK48/1000</f>
        <v>7.6799126637554584</v>
      </c>
      <c r="BC48" s="187"/>
      <c r="BD48" s="187"/>
      <c r="BE48" s="187">
        <f>AL48/AJ48/1000</f>
        <v>4.6939320152312494</v>
      </c>
      <c r="BF48" s="294"/>
      <c r="BG48" s="192" t="s">
        <v>0</v>
      </c>
      <c r="BH48" s="191">
        <f>IF(OR(AE48="",Y48=""),"",Y48/AE48)</f>
        <v>1.0914096916299558</v>
      </c>
      <c r="BI48" s="168" t="str">
        <f>IF(OR(AE48="",Y48=""),"",IF(Y48/AE48&gt;1.05,"OC",IF(Y48/AE48&lt;0.95,"UC","OK")))</f>
        <v>OC</v>
      </c>
      <c r="BJ48" s="186">
        <f>(AM48-AL48)/2</f>
        <v>175.87</v>
      </c>
      <c r="BK48" s="186"/>
      <c r="BL48" s="186">
        <f>IF(BZ48="=",BJ48,"")</f>
        <v>175.87</v>
      </c>
      <c r="BM48" s="188">
        <f>AN48/(AM48-AL48)</f>
        <v>0.21021208847444134</v>
      </c>
      <c r="BN48" s="188" t="str">
        <f>IF(BM48="","",IF(AND(BM48&gt;=3/4,BM48&lt;=1.5),"HS",IF(AND(BM48&gt;=0.5,BM48&lt;=1),"NC",IF(AND(BM48&gt;=0,BM48&lt;=0.5),"OC",IF(BM48&lt;0,"H-OC","")))))</f>
        <v>OC</v>
      </c>
      <c r="BO48" s="187">
        <f>IF(BX48="","",BX48)</f>
        <v>2.3999999999928336</v>
      </c>
      <c r="BP48" s="188"/>
      <c r="BQ48" s="185">
        <f>BJ48/AL48</f>
        <v>0.87935000000000008</v>
      </c>
      <c r="BR48" s="184">
        <f>AL48/W48</f>
        <v>1.119664100769769</v>
      </c>
      <c r="BS48" s="184" t="str">
        <f>IF(OR(BR48="",BH48=""),"",IF(AND(BR48&lt;1,BH48&gt;1),"NO",""))</f>
        <v/>
      </c>
      <c r="BT48" s="183" t="str">
        <f>IF(AA48="","",AA48/W48)</f>
        <v/>
      </c>
      <c r="BU48" s="182">
        <f>BU47</f>
        <v>0.43650856989822273</v>
      </c>
      <c r="BV48" s="181">
        <v>0.43650856989822273</v>
      </c>
      <c r="BW48" s="180">
        <f>(BQ48/BU48)^(1/0.8)</f>
        <v>2.3999999999928336</v>
      </c>
      <c r="BX48" s="179">
        <f>(BQ48/BV48)^(1/0.8)</f>
        <v>2.3999999999928336</v>
      </c>
      <c r="BY48" s="178">
        <f>BU48*BW48^0.8</f>
        <v>0.87935000000000008</v>
      </c>
      <c r="BZ48" s="177" t="str">
        <f>IF(BR48&lt;0.85,"",IF(AND(BR48&gt;=0.85,BR48&lt;=1.15),"=","&gt;"))</f>
        <v>=</v>
      </c>
      <c r="CA48" s="177" t="str">
        <f>IF(BZ48="","",IF(AND(BQ48&gt;=0.2,BQ48&lt;=0.451),"OK","NO"))</f>
        <v>NO</v>
      </c>
      <c r="CB48" s="176" t="str">
        <f>IF(BZ48="","",IF(AL48&lt;=CF46/1.11,"OC","NC"))</f>
        <v>OC</v>
      </c>
      <c r="CC48" s="176" t="str">
        <f>IF(BZ48="","",IF(CA48="OK","NC","OC"))</f>
        <v>OC</v>
      </c>
      <c r="CD48" s="172">
        <f>IF(BQ48="","",IF(BW48="","",BW48*AL48))</f>
        <v>479.99999999856675</v>
      </c>
      <c r="CE48" s="175">
        <f>IF(BQ48="","",IF(BX48="","",BX48*AL48))</f>
        <v>479.99999999856675</v>
      </c>
      <c r="CF48" s="174"/>
      <c r="CG48" s="66">
        <f>CG47</f>
        <v>480</v>
      </c>
      <c r="CH48" s="220">
        <f>CG48/W48</f>
        <v>2.6871938418474457</v>
      </c>
      <c r="CI48" s="173" t="str">
        <f>IF(BQ48&lt;0.28,"Y","")</f>
        <v/>
      </c>
      <c r="CJ48" s="172" t="str">
        <f>IF(BQ48&lt;0.8,"Y","")</f>
        <v/>
      </c>
      <c r="CK48" s="172" t="str">
        <f>IF(BQ48&lt;BQ47,"","ERR")</f>
        <v/>
      </c>
      <c r="CL48" s="11">
        <f>IFERROR(CE48-CG48,"")</f>
        <v>-1.4332499631564133E-9</v>
      </c>
      <c r="CM48" s="163"/>
      <c r="CN48" s="168">
        <f>IF(OR(BS48="NO",BG48="TX-CID"),"",BH48)</f>
        <v>1.0914096916299558</v>
      </c>
      <c r="CO48" s="168">
        <f>IF(CN48="","",BQ48)</f>
        <v>0.87935000000000008</v>
      </c>
      <c r="CP48" s="171">
        <f>IF(CO48="","",BR48)</f>
        <v>1.119664100769769</v>
      </c>
      <c r="CQ48" s="170">
        <f>IF(CO48="","",BV48)</f>
        <v>0.43650856989822273</v>
      </c>
      <c r="CR48" s="169">
        <f>IF(CU48="","",BX48)</f>
        <v>2.3999999999928336</v>
      </c>
      <c r="CS48" s="169">
        <f>IF(CR48="","",LN(CR48))</f>
        <v>0.87546873735091391</v>
      </c>
      <c r="CT48" s="169">
        <f>IF(CS48="","",BM48)</f>
        <v>0.21021208847444134</v>
      </c>
      <c r="CU48" s="168">
        <f>IF(CO48="","",BU48)</f>
        <v>0.43650856989822273</v>
      </c>
      <c r="CV48" s="166">
        <f>IF(CR48="","",CH46)</f>
        <v>2.6871938418474457</v>
      </c>
      <c r="CW48" s="167">
        <f>IF(CU48="","",E48)</f>
        <v>10.75</v>
      </c>
      <c r="CX48" s="167"/>
      <c r="CY48" s="165">
        <f>IF(CW48="","",IF(H48=1,$DJ$3*CV48^0.8*W48,IF(H48=2,$DK$3*CV48^0.8*W48,IF(H48=3,$DL$3*CV48^0.8*W48,"ERR"))))</f>
        <v>165.43626959286735</v>
      </c>
      <c r="CZ48" s="165" t="str">
        <f>IF(CY48="","",IF(BI48="OK",BJ48,""))</f>
        <v/>
      </c>
      <c r="DA48" s="165" t="str">
        <f>IF(CY48="","",IF(BK48="","",BK48))</f>
        <v/>
      </c>
      <c r="DB48" s="166">
        <f>IF(CW48="","",BM48)</f>
        <v>0.21021208847444134</v>
      </c>
      <c r="DC48" s="165"/>
      <c r="DD48" s="165">
        <f>IF(OR(CH48="",W48=""),"",IF(H48=1,$DJ$3*CH48^0.8*W48,IF(H48=2,$DK$3*CH48^0.8*W48,IF(H48=3,$DL$3*CH48^0.8*W48,"ERR"))))</f>
        <v>165.43626959286735</v>
      </c>
      <c r="DE48" s="165">
        <f>IF(OR(CH48="",W48=""),"",IF(H48=1,$DJ$3*W48,IF(H48=2,$DK$3*W48,IF(H48=3,$DL$3*W48,"ERR"))))</f>
        <v>75.022499999999994</v>
      </c>
      <c r="DF48" s="164">
        <f>IF(DE48="","",-1.485*LN(E48)+7.098)</f>
        <v>3.5712649544580972</v>
      </c>
      <c r="DG48" s="165">
        <f>IF(OR(DF48="",W48=""),"",IF(H48=1,$DJ$3*DF48^0.8*W48,IF(H48=2,$DK$3*DF48^0.8*W48,IF(H48=3,$DL$3*CH48^0.8*W48,"ERR"))))</f>
        <v>165.43626959286735</v>
      </c>
      <c r="DH48" s="164"/>
      <c r="DJ48" s="163"/>
      <c r="DK48" s="163"/>
      <c r="DL48" s="163"/>
    </row>
    <row r="49" spans="1:116">
      <c r="A49" s="51" t="str">
        <f>IF(B49="","",IF(F49&lt;10,CONCATENATE(B49," - 0",F49),CONCATENATE(B49," - ",F49)))</f>
        <v>TRT05 - 13.75</v>
      </c>
      <c r="B49" s="114" t="s">
        <v>2</v>
      </c>
      <c r="C49" s="114">
        <v>13.5</v>
      </c>
      <c r="D49" s="114">
        <v>13.8</v>
      </c>
      <c r="E49" s="311">
        <f>AVERAGE(D49,C49)</f>
        <v>13.65</v>
      </c>
      <c r="F49" s="311">
        <f>IF(E49="","",CEILING(E49,0.25))</f>
        <v>13.75</v>
      </c>
      <c r="G49" s="311" t="s">
        <v>1</v>
      </c>
      <c r="H49" s="310">
        <v>3</v>
      </c>
      <c r="I49" s="217">
        <v>17.59</v>
      </c>
      <c r="J49" s="217">
        <v>11.66</v>
      </c>
      <c r="K49" s="217">
        <v>0.50900000000000001</v>
      </c>
      <c r="L49" s="10">
        <v>1.359</v>
      </c>
      <c r="M49" s="309">
        <v>1</v>
      </c>
      <c r="N49" s="308">
        <v>9.3000000000000007</v>
      </c>
      <c r="O49" s="218">
        <f>(P49*(1+AVERAGE(L49:L51))+(9.81*M49*AVERAGE(L49:L51)))/(1+AVERAGE(L49:L51))</f>
        <v>17.535095217328102</v>
      </c>
      <c r="P49" s="217">
        <f>AVERAGE(J49:J51)</f>
        <v>12.003333333333336</v>
      </c>
      <c r="Q49" s="216">
        <f>AVERAGE(K49:K51)</f>
        <v>0.48</v>
      </c>
      <c r="R49" s="216">
        <f>IF(L49="","",L49/(1+L49))</f>
        <v>0.57609156422212804</v>
      </c>
      <c r="S49" s="216" t="str">
        <f>IF(R49="","",IF(R49&lt;0.3,"S",IF(R49&lt;0.45,"L",IF(AND(R49&lt;0.5,R49&gt;=0.45),"C",IF(R49&gt;=0.5,"SC","")))))</f>
        <v>SC</v>
      </c>
      <c r="T49" s="288">
        <f>L49*9.81/($P$28*(1+L49))</f>
        <v>0.3890402646869488</v>
      </c>
      <c r="U49" s="287">
        <f>N49</f>
        <v>9.3000000000000007</v>
      </c>
      <c r="V49" s="287">
        <f>IF(E49="","",IF(E49&lt;=10,IF(E49&lt;=N49,18*E49,18*N49+(18-0)*(E49-N49)),IF(AND(E49&gt;10,N49&lt;=10),18*N49+(18-0)*(10-N49)+(17.5-0)*(E49-10),IF(E49&lt;N49,(18*0)+17.5*(E49-10),(18*0)+17.5*(N49-10)+(17.5-0)*(E49-N49)))))</f>
        <v>243.875</v>
      </c>
      <c r="W49" s="37">
        <f>IF(E49="","",IF(E49&lt;=10,IF(E49&lt;=N49,18*E49,18*N49+(18-10)*(E49-N49)),IF(AND(E49&gt;10,N49&lt;=10),18*N49+(18-10)*(10-N49)+(17.5-10)*(E49-10),IF(E49&lt;N49,(18*10)+17.5*(E49-10),(18*10)+17.5*(N49-10)+(17.5-10)*(E49-N49)))))</f>
        <v>200.375</v>
      </c>
      <c r="X49" s="34">
        <v>196</v>
      </c>
      <c r="Y49" s="10">
        <v>1.2350000000000001</v>
      </c>
      <c r="Z49" s="305">
        <v>2.8</v>
      </c>
      <c r="AA49" s="28">
        <v>550</v>
      </c>
      <c r="AB49" s="44">
        <v>0.38900000000000001</v>
      </c>
      <c r="AC49" s="43">
        <v>0.13439999999999999</v>
      </c>
      <c r="AD49" s="42">
        <f>9.81*AE49/AC49/(1+AE49)/100</f>
        <v>0.4169129808870376</v>
      </c>
      <c r="AE49" s="307">
        <v>1.3320000000000001</v>
      </c>
      <c r="AF49" s="306">
        <v>78.680000000000007</v>
      </c>
      <c r="AG49" s="305">
        <v>78.239999999999995</v>
      </c>
      <c r="AH49" s="305">
        <v>1128.1500000000001</v>
      </c>
      <c r="AI49" s="305">
        <v>1121.72</v>
      </c>
      <c r="AJ49" s="39">
        <f>IF(AF49="","",1-(AG49*AI49/AF49/AH49))</f>
        <v>1.1259995483245411E-2</v>
      </c>
      <c r="AK49" s="38">
        <v>4.5499999999999999E-2</v>
      </c>
      <c r="AL49" s="34">
        <v>50</v>
      </c>
      <c r="AM49" s="28">
        <v>265.23</v>
      </c>
      <c r="AN49" s="37">
        <f>AL49-AQ49</f>
        <v>5.3800000000000026</v>
      </c>
      <c r="AO49" s="37">
        <f>AN49-AP49</f>
        <v>7.1054273576010019E-15</v>
      </c>
      <c r="AP49" s="37">
        <f>AM49-AR49</f>
        <v>5.3799999999999955</v>
      </c>
      <c r="AQ49" s="28">
        <v>44.62</v>
      </c>
      <c r="AR49" s="28">
        <v>259.85000000000002</v>
      </c>
      <c r="AT49" s="15">
        <v>68</v>
      </c>
      <c r="AU49" s="32">
        <v>18</v>
      </c>
      <c r="AV49" s="32">
        <v>50</v>
      </c>
      <c r="AW49" s="35">
        <v>24</v>
      </c>
      <c r="AX49" s="32">
        <v>45</v>
      </c>
      <c r="AY49" s="32">
        <v>16</v>
      </c>
      <c r="AZ49" s="32">
        <v>20</v>
      </c>
      <c r="BA49" s="35">
        <v>25</v>
      </c>
      <c r="BB49" s="111">
        <f>(AM49-AL49)/AK49/1000</f>
        <v>4.7303296703296711</v>
      </c>
      <c r="BC49" s="109"/>
      <c r="BD49" s="109"/>
      <c r="BE49" s="109">
        <f>AL49/AJ49/1000</f>
        <v>4.4404991169311518</v>
      </c>
      <c r="BF49" s="304"/>
      <c r="BG49" s="32" t="s">
        <v>0</v>
      </c>
      <c r="BH49" s="31">
        <f>IF(OR(AE49="",Y49=""),"",Y49/AE49)</f>
        <v>0.92717717717717718</v>
      </c>
      <c r="BI49" s="302" t="str">
        <f>IF(OR(AE49="",Y49=""),"",IF(Y49/AE49&gt;1.05,"OC",IF(Y49/AE49&lt;0.95,"UC","OK")))</f>
        <v>UC</v>
      </c>
      <c r="BJ49" s="215">
        <f>(AM49-AL49)/2</f>
        <v>107.61500000000001</v>
      </c>
      <c r="BK49" s="37">
        <f>AVERAGE(BJ49:BJ51)+(_xlfn.COVARIANCE.P(AL49:AL51,BJ49:BJ51)/_xlfn.STDEV.P(AL49:AL51)^2)*(W49-AVERAGE(AL49:AL51))</f>
        <v>175.15455624999996</v>
      </c>
      <c r="BL49" s="37" t="str">
        <f>IF(BZ49="=",BJ49,"")</f>
        <v/>
      </c>
      <c r="BM49" s="110">
        <f>AN49/(AM49-AL49)</f>
        <v>2.4996515355666042E-2</v>
      </c>
      <c r="BN49" s="110" t="str">
        <f>IF(BM49="","",IF(AND(BM49&gt;=3/4,BM49&lt;=1.5),"HS",IF(AND(BM49&gt;=0.5,BM49&lt;=1),"NC",IF(AND(BM49&gt;=0,BM49&lt;=0.5),"OC",IF(BM49&lt;0,"H-OC","")))))</f>
        <v>OC</v>
      </c>
      <c r="BO49" s="109">
        <f>IF(BX49="","",BX49)</f>
        <v>10.999999999959046</v>
      </c>
      <c r="BP49" s="110"/>
      <c r="BQ49" s="27">
        <f>BJ49/AL49</f>
        <v>2.1523000000000003</v>
      </c>
      <c r="BR49" s="26">
        <f>AL49/W49</f>
        <v>0.24953212726138491</v>
      </c>
      <c r="BS49" s="26" t="str">
        <f>IF(OR(BR49="",BH49=""),"",IF(AND(BR49&lt;1,BH49&gt;1),"NO",""))</f>
        <v/>
      </c>
      <c r="BT49" s="25">
        <f>IF(AA49="","",AA49/W49)</f>
        <v>2.7448533998752338</v>
      </c>
      <c r="BU49" s="24">
        <v>0.392380025533279</v>
      </c>
      <c r="BV49" s="23">
        <v>0.31607391628702769</v>
      </c>
      <c r="BW49" s="22">
        <f>(BQ49/BU49)^(1/0.8)</f>
        <v>8.3945011553893156</v>
      </c>
      <c r="BX49" s="21">
        <f>(BQ49/BV49)^(1/0.8)</f>
        <v>10.999999999959046</v>
      </c>
      <c r="BY49" s="20">
        <f>BU49*BW49^0.8</f>
        <v>2.1523000000000003</v>
      </c>
      <c r="BZ49" s="19" t="str">
        <f>IF(BR49&lt;0.85,"",IF(AND(BR49&gt;=0.85,BR49&lt;=1.15),"=","&gt;"))</f>
        <v/>
      </c>
      <c r="CA49" s="19" t="str">
        <f>IF(BZ49="","",IF(AND(BQ49&gt;=0.2,BQ49&lt;=0.451),"OK","NO"))</f>
        <v/>
      </c>
      <c r="CB49" s="18" t="str">
        <f>IF(BZ49="","",IF(AL49&lt;=CF49/1.11,"OC","NC"))</f>
        <v/>
      </c>
      <c r="CC49" s="18" t="str">
        <f>IF(BZ49="","",IF(CA49="OK","NC","OC"))</f>
        <v/>
      </c>
      <c r="CE49" s="17">
        <f>IF(BQ49="","",IF(BX49="","",BX49*AL49))</f>
        <v>549.99999999795227</v>
      </c>
      <c r="CF49" s="16">
        <f>AVERAGE(CD49:CD51)</f>
        <v>549.99999999971601</v>
      </c>
      <c r="CG49" s="15">
        <v>550</v>
      </c>
      <c r="CH49" s="14">
        <f>CG49/W49</f>
        <v>2.7448533998752338</v>
      </c>
      <c r="CI49" s="13" t="str">
        <f>IF(BQ49&lt;0.28,"Y","")</f>
        <v/>
      </c>
      <c r="CJ49" s="12" t="str">
        <f>IF(BQ49&lt;0.8,"Y","")</f>
        <v/>
      </c>
      <c r="CL49" s="125">
        <f>IFERROR(CE49-CG49,"")</f>
        <v>-2.0477273210417479E-9</v>
      </c>
      <c r="CN49" s="7">
        <f>IF(OR(BS49="NO",BG49="TX-CID"),"",BH49)</f>
        <v>0.92717717717717718</v>
      </c>
      <c r="CO49" s="7">
        <f>IF(CN49="","",BQ49)</f>
        <v>2.1523000000000003</v>
      </c>
      <c r="CP49" s="10">
        <f>IF(CO49="","",BR49)</f>
        <v>0.24953212726138491</v>
      </c>
      <c r="CQ49" s="9">
        <f>IF(CO49="","",BV49)</f>
        <v>0.31607391628702769</v>
      </c>
      <c r="CR49" s="8">
        <f>IF(CU49="","",BX49)</f>
        <v>10.999999999959046</v>
      </c>
      <c r="CS49" s="8">
        <f>IF(CR49="","",LN(CR49))</f>
        <v>2.3978952727946474</v>
      </c>
      <c r="CT49" s="8">
        <f>IF(CS49="","",BM49)</f>
        <v>2.4996515355666042E-2</v>
      </c>
      <c r="CU49" s="7">
        <f>IF(CO49="","",BU49)</f>
        <v>0.392380025533279</v>
      </c>
      <c r="CV49" s="6">
        <f>IF(CR49="","",CH49)</f>
        <v>2.7448533998752338</v>
      </c>
      <c r="CW49" s="5">
        <f>IF(CU49="","",E49)</f>
        <v>13.65</v>
      </c>
      <c r="CY49" s="4">
        <f>IF(CW49="","",IF(H49=1,$DJ$3*CV49^0.8*W49,IF(H49=2,$DK$3*CV49^0.8*W49,IF(H49=3,$DL$3*CV49^0.8*W49,"ERR"))))</f>
        <v>188.75920913581041</v>
      </c>
      <c r="CZ49" s="4" t="str">
        <f>IF(CY49="","",IF(BI49="OK",BJ49,""))</f>
        <v/>
      </c>
      <c r="DA49" s="4">
        <f>IF(CY49="","",IF(BK49="","",BK49))</f>
        <v>175.15455624999996</v>
      </c>
      <c r="DB49" s="6">
        <f>IF(CW49="","",BM49)</f>
        <v>2.4996515355666042E-2</v>
      </c>
      <c r="DD49" s="4">
        <f>IF(OR(CH49="",W49=""),"",IF(H49=1,$DJ$3*CH49^0.8*W49,IF(H49=2,$DK$3*CH49^0.8*W49,IF(H49=3,$DL$3*CH49^0.8*W49,"ERR"))))</f>
        <v>188.75920913581041</v>
      </c>
      <c r="DE49" s="4">
        <f>IF(OR(CH49="",W49=""),"",IF(H49=1,$DJ$3*W49,IF(H49=2,$DK$3*W49,IF(H49=3,$DL$3*W49,"ERR"))))</f>
        <v>84.157499999999999</v>
      </c>
      <c r="DF49" s="3">
        <f>IF(DE49="","",-1.485*LN(E49)+7.098)</f>
        <v>3.2165968103780109</v>
      </c>
      <c r="DG49" s="4">
        <f>IF(OR(DF49="",W49=""),"",IF(H49=1,$DJ$3*DF49^0.8*W49,IF(H49=2,$DK$3*DF49^0.8*W49,IF(H49=3,$DL$3*CH49^0.8*W49,"ERR"))))</f>
        <v>188.75920913581041</v>
      </c>
    </row>
    <row r="50" spans="1:116">
      <c r="A50" s="51" t="str">
        <f>IF(B50="","",IF(F50&lt;10,CONCATENATE(B50," - 0",F50),CONCATENATE(B50," - ",F50)))</f>
        <v>TRT05 - 13.75</v>
      </c>
      <c r="B50" s="114" t="s">
        <v>2</v>
      </c>
      <c r="C50" s="114">
        <v>13.5</v>
      </c>
      <c r="D50" s="114">
        <v>13.8</v>
      </c>
      <c r="E50" s="311">
        <f>AVERAGE(D50,C50)</f>
        <v>13.65</v>
      </c>
      <c r="F50" s="311">
        <f>IF(E50="","",CEILING(E50,0.25))</f>
        <v>13.75</v>
      </c>
      <c r="G50" s="311" t="s">
        <v>1</v>
      </c>
      <c r="H50" s="310">
        <v>3</v>
      </c>
      <c r="I50" s="217">
        <v>17.739999999999998</v>
      </c>
      <c r="J50" s="217">
        <v>11.94</v>
      </c>
      <c r="K50" s="217">
        <v>0.48599999999999999</v>
      </c>
      <c r="L50" s="10">
        <v>1.304</v>
      </c>
      <c r="M50" s="309">
        <v>1</v>
      </c>
      <c r="N50" s="308">
        <v>9.3000000000000007</v>
      </c>
      <c r="O50" s="218"/>
      <c r="P50" s="217"/>
      <c r="Q50" s="216"/>
      <c r="R50" s="216">
        <f>IF(L50="","",L50/(1+L50))</f>
        <v>0.56597222222222221</v>
      </c>
      <c r="S50" s="216" t="str">
        <f>IF(R50="","",IF(R50&lt;0.3,"S",IF(R50&lt;0.45,"L",IF(AND(R50&lt;0.5,R50&gt;=0.45),"C",IF(R50&gt;=0.5,"SC","")))))</f>
        <v>SC</v>
      </c>
      <c r="T50" s="288">
        <f>L50*9.81/($P$28*(1+L50))</f>
        <v>0.38220657411656728</v>
      </c>
      <c r="U50" s="287">
        <f>N50</f>
        <v>9.3000000000000007</v>
      </c>
      <c r="V50" s="287">
        <f>IF(E50="","",IF(E50&lt;=10,IF(E50&lt;=N50,18*E50,18*N50+(18-0)*(E50-N50)),IF(AND(E50&gt;10,N50&lt;=10),18*N50+(18-0)*(10-N50)+(17.5-0)*(E50-10),IF(E50&lt;N50,(18*0)+17.5*(E50-10),(18*0)+17.5*(N50-10)+(17.5-0)*(E50-N50)))))</f>
        <v>243.875</v>
      </c>
      <c r="W50" s="37">
        <f>IF(E50="","",IF(E50&lt;=10,IF(E50&lt;=N50,18*E50,18*N50+(18-10)*(E50-N50)),IF(AND(E50&gt;10,N50&lt;=10),18*N50+(18-10)*(10-N50)+(17.5-10)*(E50-10),IF(E50&lt;N50,(18*10)+17.5*(E50-10),(18*10)+17.5*(N50-10)+(17.5-10)*(E50-N50)))))</f>
        <v>200.375</v>
      </c>
      <c r="Y50" s="45">
        <f>Y49</f>
        <v>1.2350000000000001</v>
      </c>
      <c r="AB50" s="324">
        <v>0.38100000000000001</v>
      </c>
      <c r="AC50" s="43">
        <v>0.13589999999999999</v>
      </c>
      <c r="AD50" s="42">
        <f>9.81*AE50/AC50/(1+AE50)/100</f>
        <v>0.40315483239039229</v>
      </c>
      <c r="AE50" s="307">
        <v>1.2649999999999999</v>
      </c>
      <c r="AF50" s="306">
        <v>78.900000000000006</v>
      </c>
      <c r="AG50" s="305">
        <v>78.19</v>
      </c>
      <c r="AH50" s="305">
        <v>1129.94</v>
      </c>
      <c r="AI50" s="305">
        <v>1121.02</v>
      </c>
      <c r="AJ50" s="39">
        <f>IF(AF50="","",1-(AG50*AI50/AF50/AH50))</f>
        <v>1.6821919030078458E-2</v>
      </c>
      <c r="AK50" s="38">
        <v>4.5100000000000001E-2</v>
      </c>
      <c r="AL50" s="34">
        <v>100</v>
      </c>
      <c r="AM50" s="28">
        <v>348.87</v>
      </c>
      <c r="AN50" s="37">
        <f>AL50-AQ50</f>
        <v>24.010000000000005</v>
      </c>
      <c r="AO50" s="37">
        <f>AN50-AP50</f>
        <v>0</v>
      </c>
      <c r="AP50" s="37">
        <f>AM50-AR50</f>
        <v>24.009999999999991</v>
      </c>
      <c r="AQ50" s="28">
        <v>75.989999999999995</v>
      </c>
      <c r="AR50" s="28">
        <v>324.86</v>
      </c>
      <c r="BB50" s="111">
        <f>(AM50-AL50)/AK50/1000</f>
        <v>5.5181818181818176</v>
      </c>
      <c r="BC50" s="109"/>
      <c r="BD50" s="109"/>
      <c r="BE50" s="109">
        <f>AL50/AJ50/1000</f>
        <v>5.9446249753785434</v>
      </c>
      <c r="BF50" s="304"/>
      <c r="BG50" s="32" t="s">
        <v>0</v>
      </c>
      <c r="BH50" s="303">
        <f>IF(OR(AE50="",Y50=""),"",Y50/AE50)</f>
        <v>0.97628458498023729</v>
      </c>
      <c r="BI50" s="302" t="str">
        <f>IF(OR(AE50="",Y50=""),"",IF(Y50/AE50&gt;1.05,"OC",IF(Y50/AE50&lt;0.95,"UC","OK")))</f>
        <v>OK</v>
      </c>
      <c r="BJ50" s="37">
        <f>(AM50-AL50)/2</f>
        <v>124.435</v>
      </c>
      <c r="BK50" s="37"/>
      <c r="BL50" s="37" t="str">
        <f>IF(BZ50="=",BJ50,"")</f>
        <v/>
      </c>
      <c r="BM50" s="110">
        <f>AN50/(AM50-AL50)</f>
        <v>9.6476071844738234E-2</v>
      </c>
      <c r="BN50" s="110" t="str">
        <f>IF(BM50="","",IF(AND(BM50&gt;=3/4,BM50&lt;=1.5),"HS",IF(AND(BM50&gt;=0.5,BM50&lt;=1),"NC",IF(AND(BM50&gt;=0,BM50&lt;=0.5),"OC",IF(BM50&lt;0,"H-OC","")))))</f>
        <v>OC</v>
      </c>
      <c r="BO50" s="109">
        <f>IF(BX50="","",BX50)</f>
        <v>5.5000000000358558</v>
      </c>
      <c r="BP50" s="110"/>
      <c r="BQ50" s="27">
        <f>BJ50/AL50</f>
        <v>1.2443500000000001</v>
      </c>
      <c r="BR50" s="26">
        <f>AL50/W50</f>
        <v>0.49906425452276981</v>
      </c>
      <c r="BS50" s="26" t="str">
        <f>IF(OR(BR50="",BH50=""),"",IF(AND(BR50&lt;1,BH50&gt;1),"NO",""))</f>
        <v/>
      </c>
      <c r="BT50" s="25" t="str">
        <f>IF(AA50="","",AA50/W50)</f>
        <v/>
      </c>
      <c r="BU50" s="24">
        <f>BU49</f>
        <v>0.392380025533279</v>
      </c>
      <c r="BV50" s="23">
        <v>0.31816499817836863</v>
      </c>
      <c r="BW50" s="22">
        <f>(BQ50/BU50)^(1/0.8)</f>
        <v>4.2319894491055132</v>
      </c>
      <c r="BX50" s="21">
        <f>(BQ50/BV50)^(1/0.8)</f>
        <v>5.5000000000358558</v>
      </c>
      <c r="BY50" s="20">
        <f>BU50*BW50^0.8</f>
        <v>1.2443500000000005</v>
      </c>
      <c r="BZ50" s="19" t="str">
        <f>IF(BR50&lt;0.85,"",IF(AND(BR50&gt;=0.85,BR50&lt;=1.15),"=","&gt;"))</f>
        <v/>
      </c>
      <c r="CA50" s="19" t="str">
        <f>IF(BZ50="","",IF(AND(BQ50&gt;=0.2,BQ50&lt;=0.451),"OK","NO"))</f>
        <v/>
      </c>
      <c r="CB50" s="18" t="str">
        <f>IF(BZ50="","",IF(AL50&lt;=CF49/1.11,"OC","NC"))</f>
        <v/>
      </c>
      <c r="CC50" s="18" t="str">
        <f>IF(BZ50="","",IF(CA50="OK","NC","OC"))</f>
        <v/>
      </c>
      <c r="CE50" s="17">
        <f>IF(BQ50="","",IF(BX50="","",BX50*AL50))</f>
        <v>550.00000000358557</v>
      </c>
      <c r="CG50" s="15">
        <f>CG49</f>
        <v>550</v>
      </c>
      <c r="CH50" s="14">
        <f>CG50/W50</f>
        <v>2.7448533998752338</v>
      </c>
      <c r="CI50" s="13" t="str">
        <f>IF(BQ50&lt;0.28,"Y","")</f>
        <v/>
      </c>
      <c r="CJ50" s="12" t="str">
        <f>IF(BQ50&lt;0.8,"Y","")</f>
        <v/>
      </c>
      <c r="CK50" s="12" t="str">
        <f>IF(BQ50&lt;BQ49,"","ERR")</f>
        <v/>
      </c>
      <c r="CL50" s="11">
        <f>IFERROR(CE50-CG50,"")</f>
        <v>3.585569174902048E-9</v>
      </c>
      <c r="CN50" s="7">
        <f>IF(OR(BS50="NO",BG50="TX-CID"),"",BH50)</f>
        <v>0.97628458498023729</v>
      </c>
      <c r="CO50" s="7">
        <f>IF(CN50="","",BQ50)</f>
        <v>1.2443500000000001</v>
      </c>
      <c r="CP50" s="10">
        <f>IF(CO50="","",BR50)</f>
        <v>0.49906425452276981</v>
      </c>
      <c r="CQ50" s="9">
        <f>IF(CO50="","",BV50)</f>
        <v>0.31816499817836863</v>
      </c>
      <c r="CR50" s="8">
        <f>IF(CU50="","",BX50)</f>
        <v>5.5000000000358558</v>
      </c>
      <c r="CS50" s="8">
        <f>IF(CR50="","",LN(CR50))</f>
        <v>1.7047480922449445</v>
      </c>
      <c r="CT50" s="8">
        <f>IF(CS50="","",BM50)</f>
        <v>9.6476071844738234E-2</v>
      </c>
      <c r="CU50" s="7">
        <f>IF(CO50="","",BU50)</f>
        <v>0.392380025533279</v>
      </c>
      <c r="CV50" s="6">
        <f>IF(CR50="","",CH49)</f>
        <v>2.7448533998752338</v>
      </c>
      <c r="CW50" s="5">
        <f>IF(CU50="","",E50)</f>
        <v>13.65</v>
      </c>
      <c r="CY50" s="4">
        <f>IF(CW50="","",IF(H50=1,$DJ$3*CV50^0.8*W50,IF(H50=2,$DK$3*CV50^0.8*W50,IF(H50=3,$DL$3*CV50^0.8*W50,"ERR"))))</f>
        <v>188.75920913581041</v>
      </c>
      <c r="CZ50" s="4">
        <f>IF(CY50="","",IF(BI50="OK",BJ50,""))</f>
        <v>124.435</v>
      </c>
      <c r="DA50" s="4" t="str">
        <f>IF(CY50="","",IF(BK50="","",BK50))</f>
        <v/>
      </c>
      <c r="DB50" s="6">
        <f>IF(CW50="","",BM50)</f>
        <v>9.6476071844738234E-2</v>
      </c>
      <c r="DD50" s="4">
        <f>IF(OR(CH50="",W50=""),"",IF(H50=1,$DJ$3*CH50^0.8*W50,IF(H50=2,$DK$3*CH50^0.8*W50,IF(H50=3,$DL$3*CH50^0.8*W50,"ERR"))))</f>
        <v>188.75920913581041</v>
      </c>
      <c r="DE50" s="4">
        <f>IF(OR(CH50="",W50=""),"",IF(H50=1,$DJ$3*W50,IF(H50=2,$DK$3*W50,IF(H50=3,$DL$3*W50,"ERR"))))</f>
        <v>84.157499999999999</v>
      </c>
      <c r="DF50" s="3">
        <f>IF(DE50="","",-1.485*LN(E50)+7.098)</f>
        <v>3.2165968103780109</v>
      </c>
      <c r="DG50" s="4">
        <f>IF(OR(DF50="",W50=""),"",IF(H50=1,$DJ$3*DF50^0.8*W50,IF(H50=2,$DK$3*DF50^0.8*W50,IF(H50=3,$DL$3*CH50^0.8*W50,"ERR"))))</f>
        <v>188.75920913581041</v>
      </c>
    </row>
    <row r="51" spans="1:116" s="162" customFormat="1">
      <c r="A51" s="286" t="str">
        <f>IF(B51="","",IF(F51&lt;10,CONCATENATE(B51," - 0",F51),CONCATENATE(B51," - ",F51)))</f>
        <v>TRT05 - 13.75</v>
      </c>
      <c r="B51" s="212" t="s">
        <v>2</v>
      </c>
      <c r="C51" s="212">
        <v>13.5</v>
      </c>
      <c r="D51" s="212">
        <v>13.8</v>
      </c>
      <c r="E51" s="301">
        <f>AVERAGE(D51,C51)</f>
        <v>13.65</v>
      </c>
      <c r="F51" s="301">
        <f>IF(E51="","",CEILING(E51,0.25))</f>
        <v>13.75</v>
      </c>
      <c r="G51" s="301" t="s">
        <v>1</v>
      </c>
      <c r="H51" s="300">
        <v>3</v>
      </c>
      <c r="I51" s="222">
        <v>17.93</v>
      </c>
      <c r="J51" s="222">
        <v>12.41</v>
      </c>
      <c r="K51" s="222">
        <v>0.44500000000000001</v>
      </c>
      <c r="L51" s="171">
        <v>1.216</v>
      </c>
      <c r="M51" s="299">
        <v>1</v>
      </c>
      <c r="N51" s="298">
        <v>9.3000000000000007</v>
      </c>
      <c r="O51" s="223"/>
      <c r="P51" s="222"/>
      <c r="Q51" s="221"/>
      <c r="R51" s="221">
        <f>IF(L51="","",L51/(1+L51))</f>
        <v>0.54873646209386273</v>
      </c>
      <c r="S51" s="221" t="str">
        <f>IF(R51="","",IF(R51&lt;0.3,"S",IF(R51&lt;0.45,"L",IF(AND(R51&lt;0.5,R51&gt;=0.45),"C",IF(R51&gt;=0.5,"SC","")))))</f>
        <v>SC</v>
      </c>
      <c r="T51" s="285">
        <f>L51*9.81/($P$28*(1+L51))</f>
        <v>0.37056709682015559</v>
      </c>
      <c r="U51" s="284">
        <f>N51</f>
        <v>9.3000000000000007</v>
      </c>
      <c r="V51" s="284">
        <f>IF(E51="","",IF(E51&lt;=10,IF(E51&lt;=N51,18*E51,18*N51+(18-0)*(E51-N51)),IF(AND(E51&gt;10,N51&lt;=10),18*N51+(18-0)*(10-N51)+(17.5-0)*(E51-10),IF(E51&lt;N51,(18*0)+17.5*(E51-10),(18*0)+17.5*(N51-10)+(17.5-0)*(E51-N51)))))</f>
        <v>243.875</v>
      </c>
      <c r="W51" s="186">
        <f>IF(E51="","",IF(E51&lt;=10,IF(E51&lt;=N51,18*E51,18*N51+(18-10)*(E51-N51)),IF(AND(E51&gt;10,N51&lt;=10),18*N51+(18-10)*(10-N51)+(17.5-10)*(E51-10),IF(E51&lt;N51,(18*10)+17.5*(E51-10),(18*10)+17.5*(N51-10)+(17.5-10)*(E51-N51)))))</f>
        <v>200.375</v>
      </c>
      <c r="X51" s="197"/>
      <c r="Y51" s="205">
        <f>Y50</f>
        <v>1.2350000000000001</v>
      </c>
      <c r="Z51" s="164"/>
      <c r="AA51" s="189"/>
      <c r="AB51" s="323">
        <v>0.374</v>
      </c>
      <c r="AC51" s="203">
        <v>0.13730000000000001</v>
      </c>
      <c r="AD51" s="202">
        <f>9.81*AE51/AC51/(1+AE51)/100</f>
        <v>0.38462593790413857</v>
      </c>
      <c r="AE51" s="297">
        <v>1.1659999999999999</v>
      </c>
      <c r="AF51" s="296">
        <v>79.11</v>
      </c>
      <c r="AG51" s="295">
        <v>77.739999999999995</v>
      </c>
      <c r="AH51" s="295">
        <v>1129.94</v>
      </c>
      <c r="AI51" s="295">
        <v>1124.1300000000001</v>
      </c>
      <c r="AJ51" s="199">
        <f>IF(AF51="","",1-(AG51*AI51/AF51/AH51))</f>
        <v>2.2370479814926569E-2</v>
      </c>
      <c r="AK51" s="198">
        <v>7.8899999999999998E-2</v>
      </c>
      <c r="AL51" s="197">
        <v>200</v>
      </c>
      <c r="AM51" s="189">
        <v>552.55999999999995</v>
      </c>
      <c r="AN51" s="186">
        <f>AL51-AQ51</f>
        <v>52.169999999999987</v>
      </c>
      <c r="AO51" s="186">
        <f>AN51-AP51</f>
        <v>0</v>
      </c>
      <c r="AP51" s="186">
        <f>AM51-AR51</f>
        <v>52.169999999999959</v>
      </c>
      <c r="AQ51" s="189">
        <v>147.83000000000001</v>
      </c>
      <c r="AR51" s="189">
        <v>500.39</v>
      </c>
      <c r="AS51" s="196"/>
      <c r="AT51" s="66"/>
      <c r="AU51" s="192"/>
      <c r="AV51" s="192"/>
      <c r="AW51" s="195"/>
      <c r="AX51" s="192"/>
      <c r="AY51" s="192"/>
      <c r="AZ51" s="192"/>
      <c r="BA51" s="195"/>
      <c r="BB51" s="194">
        <f>(AM51-AL51)/AK51/1000</f>
        <v>4.4684410646387827</v>
      </c>
      <c r="BC51" s="187"/>
      <c r="BD51" s="187"/>
      <c r="BE51" s="187">
        <f>AL51/AJ51/1000</f>
        <v>8.9403536113048041</v>
      </c>
      <c r="BF51" s="294"/>
      <c r="BG51" s="192" t="s">
        <v>0</v>
      </c>
      <c r="BH51" s="191">
        <f>IF(OR(AE51="",Y51=""),"",Y51/AE51)</f>
        <v>1.0591766723842198</v>
      </c>
      <c r="BI51" s="293" t="str">
        <f>IF(OR(AE51="",Y51=""),"",IF(Y51/AE51&gt;1.05,"OC",IF(Y51/AE51&lt;0.95,"UC","OK")))</f>
        <v>OC</v>
      </c>
      <c r="BJ51" s="186">
        <f>(AM51-AL51)/2</f>
        <v>176.27999999999997</v>
      </c>
      <c r="BK51" s="186"/>
      <c r="BL51" s="186">
        <f>IF(BZ51="=",BJ51,"")</f>
        <v>176.27999999999997</v>
      </c>
      <c r="BM51" s="188">
        <f>AN51/(AM51-AL51)</f>
        <v>0.14797481279782163</v>
      </c>
      <c r="BN51" s="188" t="str">
        <f>IF(BM51="","",IF(AND(BM51&gt;=3/4,BM51&lt;=1.5),"HS",IF(AND(BM51&gt;=0.5,BM51&lt;=1),"NC",IF(AND(BM51&gt;=0,BM51&lt;=0.5),"OC",IF(BM51&lt;0,"H-OC","")))))</f>
        <v>OC</v>
      </c>
      <c r="BO51" s="187">
        <f>IF(BX51="","",BX51)</f>
        <v>2.7499999999985802</v>
      </c>
      <c r="BP51" s="188"/>
      <c r="BQ51" s="185">
        <f>BJ51/AL51</f>
        <v>0.88139999999999985</v>
      </c>
      <c r="BR51" s="184">
        <f>AL51/W51</f>
        <v>0.99812850904553962</v>
      </c>
      <c r="BS51" s="184" t="str">
        <f>IF(OR(BR51="",BH51=""),"",IF(AND(BR51&lt;1,BH51&gt;1),"NO",""))</f>
        <v>NO</v>
      </c>
      <c r="BT51" s="183" t="str">
        <f>IF(AA51="","",AA51/W51)</f>
        <v/>
      </c>
      <c r="BU51" s="182">
        <f>BU50</f>
        <v>0.392380025533279</v>
      </c>
      <c r="BV51" s="181">
        <v>0.392380025533279</v>
      </c>
      <c r="BW51" s="180">
        <f>(BQ51/BU51)^(1/0.8)</f>
        <v>2.7499999999985802</v>
      </c>
      <c r="BX51" s="179">
        <f>(BQ51/BV51)^(1/0.8)</f>
        <v>2.7499999999985802</v>
      </c>
      <c r="BY51" s="178">
        <f>BU51*BW51^0.8</f>
        <v>0.88139999999999985</v>
      </c>
      <c r="BZ51" s="177" t="str">
        <f>IF(BR51&lt;0.85,"",IF(AND(BR51&gt;=0.85,BR51&lt;=1.15),"=","&gt;"))</f>
        <v>=</v>
      </c>
      <c r="CA51" s="177" t="str">
        <f>IF(BZ51="","",IF(AND(BQ51&gt;=0.2,BQ51&lt;=0.451),"OK","NO"))</f>
        <v>NO</v>
      </c>
      <c r="CB51" s="176" t="str">
        <f>IF(BZ51="","",IF(AL51&lt;=CF49/1.11,"OC","NC"))</f>
        <v>OC</v>
      </c>
      <c r="CC51" s="176" t="str">
        <f>IF(BZ51="","",IF(CA51="OK","NC","OC"))</f>
        <v>OC</v>
      </c>
      <c r="CD51" s="172">
        <f>IF(BQ51="","",IF(BW51="","",BW51*AL51))</f>
        <v>549.99999999971601</v>
      </c>
      <c r="CE51" s="175">
        <f>IF(BQ51="","",IF(BX51="","",BX51*AL51))</f>
        <v>549.99999999971601</v>
      </c>
      <c r="CF51" s="174"/>
      <c r="CG51" s="66">
        <f>CG50</f>
        <v>550</v>
      </c>
      <c r="CH51" s="220">
        <f>CG51/W51</f>
        <v>2.7448533998752338</v>
      </c>
      <c r="CI51" s="173" t="str">
        <f>IF(BQ51&lt;0.28,"Y","")</f>
        <v/>
      </c>
      <c r="CJ51" s="172" t="str">
        <f>IF(BQ51&lt;0.8,"Y","")</f>
        <v/>
      </c>
      <c r="CK51" s="172" t="str">
        <f>IF(BQ51&lt;BQ50,"","ERR")</f>
        <v/>
      </c>
      <c r="CL51" s="11">
        <f>IFERROR(CE51-CG51,"")</f>
        <v>-2.8398972062859684E-10</v>
      </c>
      <c r="CM51" s="163"/>
      <c r="CN51" s="168" t="str">
        <f>IF(OR(BS51="NO",BG51="TX-CID"),"",BH51)</f>
        <v/>
      </c>
      <c r="CO51" s="168" t="str">
        <f>IF(CN51="","",BQ51)</f>
        <v/>
      </c>
      <c r="CP51" s="171" t="str">
        <f>IF(CO51="","",BR51)</f>
        <v/>
      </c>
      <c r="CQ51" s="170" t="str">
        <f>IF(CO51="","",BV51)</f>
        <v/>
      </c>
      <c r="CR51" s="169" t="str">
        <f>IF(CU51="","",BX51)</f>
        <v/>
      </c>
      <c r="CS51" s="169" t="str">
        <f>IF(CR51="","",LN(CR51))</f>
        <v/>
      </c>
      <c r="CT51" s="169" t="str">
        <f>IF(CS51="","",BM51)</f>
        <v/>
      </c>
      <c r="CU51" s="168" t="str">
        <f>IF(CO51="","",BU51)</f>
        <v/>
      </c>
      <c r="CV51" s="166" t="str">
        <f>IF(CR51="","",CH49)</f>
        <v/>
      </c>
      <c r="CW51" s="167" t="str">
        <f>IF(CU51="","",E51)</f>
        <v/>
      </c>
      <c r="CX51" s="167"/>
      <c r="CY51" s="165" t="str">
        <f>IF(CW51="","",IF(H51=1,$DJ$3*CV51^0.8*W51,IF(H51=2,$DK$3*CV51^0.8*W51,IF(H51=3,$DL$3*CV51^0.8*W51,"ERR"))))</f>
        <v/>
      </c>
      <c r="CZ51" s="165" t="str">
        <f>IF(CY51="","",IF(BI51="OK",BJ51,""))</f>
        <v/>
      </c>
      <c r="DA51" s="165" t="str">
        <f>IF(CY51="","",IF(BK51="","",BK51))</f>
        <v/>
      </c>
      <c r="DB51" s="166" t="str">
        <f>IF(CW51="","",BM51)</f>
        <v/>
      </c>
      <c r="DC51" s="165"/>
      <c r="DD51" s="165">
        <f>IF(OR(CH51="",W51=""),"",IF(H51=1,$DJ$3*CH51^0.8*W51,IF(H51=2,$DK$3*CH51^0.8*W51,IF(H51=3,$DL$3*CH51^0.8*W51,"ERR"))))</f>
        <v>188.75920913581041</v>
      </c>
      <c r="DE51" s="165">
        <f>IF(OR(CH51="",W51=""),"",IF(H51=1,$DJ$3*W51,IF(H51=2,$DK$3*W51,IF(H51=3,$DL$3*W51,"ERR"))))</f>
        <v>84.157499999999999</v>
      </c>
      <c r="DF51" s="164">
        <f>IF(DE51="","",-1.485*LN(E51)+7.098)</f>
        <v>3.2165968103780109</v>
      </c>
      <c r="DG51" s="165">
        <f>IF(OR(DF51="",W51=""),"",IF(H51=1,$DJ$3*DF51^0.8*W51,IF(H51=2,$DK$3*DF51^0.8*W51,IF(H51=3,$DL$3*CH51^0.8*W51,"ERR"))))</f>
        <v>188.75920913581041</v>
      </c>
      <c r="DH51" s="164"/>
      <c r="DJ51" s="163"/>
      <c r="DK51" s="163"/>
      <c r="DL51" s="163"/>
    </row>
    <row r="52" spans="1:116" s="116" customFormat="1">
      <c r="A52" s="283" t="str">
        <f>IF(B52="","",IF(F52&lt;10,CONCATENATE(B52," - 0",F52),CONCATENATE(B52," - ",F52)))</f>
        <v>TRT05 - 16.75</v>
      </c>
      <c r="B52" s="160" t="s">
        <v>2</v>
      </c>
      <c r="C52" s="160">
        <v>16.600000000000001</v>
      </c>
      <c r="D52" s="160">
        <v>16.8</v>
      </c>
      <c r="E52" s="322">
        <f>AVERAGE(D52,C52)</f>
        <v>16.700000000000003</v>
      </c>
      <c r="F52" s="322">
        <f>IF(E52="","",CEILING(E52,0.25))</f>
        <v>16.75</v>
      </c>
      <c r="G52" s="322" t="s">
        <v>1</v>
      </c>
      <c r="H52" s="321">
        <v>3</v>
      </c>
      <c r="I52" s="154">
        <v>17.11</v>
      </c>
      <c r="J52" s="154">
        <v>10.95</v>
      </c>
      <c r="K52" s="154">
        <v>0.56299999999999994</v>
      </c>
      <c r="L52" s="124">
        <v>1.5940000000000001</v>
      </c>
      <c r="M52" s="320">
        <v>1</v>
      </c>
      <c r="N52" s="319">
        <v>9.3000000000000007</v>
      </c>
      <c r="O52" s="155">
        <f>(P52*(1+AVERAGE(L52:L54))+(9.81*M52*AVERAGE(L52:L54)))/(1+AVERAGE(L52:L54))</f>
        <v>17.080639555092109</v>
      </c>
      <c r="P52" s="154">
        <f>AVERAGE(J52:J54)</f>
        <v>11.106666666666667</v>
      </c>
      <c r="Q52" s="153">
        <f>AVERAGE(K52:K54)</f>
        <v>0.54599999999999993</v>
      </c>
      <c r="R52" s="153">
        <f>IF(L52="","",L52/(1+L52))</f>
        <v>0.61449498843484962</v>
      </c>
      <c r="S52" s="153" t="str">
        <f>IF(R52="","",IF(R52&lt;0.3,"S",IF(R52&lt;0.45,"L",IF(AND(R52&lt;0.5,R52&gt;=0.45),"C",IF(R52&gt;=0.5,"SC","")))))</f>
        <v>SC</v>
      </c>
      <c r="T52" s="290">
        <f>L52*9.81/($P$28*(1+L52))</f>
        <v>0.41497447245611813</v>
      </c>
      <c r="U52" s="289">
        <f>N52</f>
        <v>9.3000000000000007</v>
      </c>
      <c r="V52" s="289">
        <f>IF(E52="","",IF(E52&lt;=10,IF(E52&lt;=N52,18*E52,18*N52+(18-0)*(E52-N52)),IF(AND(E52&gt;10,N52&lt;=10),18*N52+(18-0)*(10-N52)+(17.5-0)*(E52-10),IF(E52&lt;N52,(18*0)+17.5*(E52-10),(18*0)+17.5*(N52-10)+(17.5-0)*(E52-N52)))))</f>
        <v>297.25000000000006</v>
      </c>
      <c r="W52" s="141">
        <f>IF(E52="","",IF(E52&lt;=10,IF(E52&lt;=N52,18*E52,18*N52+(18-10)*(E52-N52)),IF(AND(E52&gt;10,N52&lt;=10),18*N52+(18-10)*(10-N52)+(17.5-10)*(E52-10),IF(E52&lt;N52,(18*10)+17.5*(E52-10),(18*10)+17.5*(N52-10)+(17.5-10)*(E52-N52)))))</f>
        <v>223.25000000000003</v>
      </c>
      <c r="X52" s="142">
        <v>210</v>
      </c>
      <c r="Y52" s="124">
        <v>1.429</v>
      </c>
      <c r="Z52" s="315">
        <v>2.2000000000000002</v>
      </c>
      <c r="AA52" s="136">
        <v>450</v>
      </c>
      <c r="AB52" s="318">
        <v>0.42499999999999999</v>
      </c>
      <c r="AC52" s="148">
        <v>0.1283</v>
      </c>
      <c r="AD52" s="147">
        <f>9.81*AE52/AC52/(1+AE52)/100</f>
        <v>0.4658200528326506</v>
      </c>
      <c r="AE52" s="317">
        <v>1.5589999999999999</v>
      </c>
      <c r="AF52" s="316">
        <v>78.7</v>
      </c>
      <c r="AG52" s="315">
        <v>77.760000000000005</v>
      </c>
      <c r="AH52" s="315">
        <v>1132.92</v>
      </c>
      <c r="AI52" s="315">
        <v>1131.18</v>
      </c>
      <c r="AJ52" s="144">
        <f>IF(AF52="","",1-(AG52*AI52/AF52/AH52))</f>
        <v>1.3461601355680863E-2</v>
      </c>
      <c r="AK52" s="143">
        <v>7.9799999999999996E-2</v>
      </c>
      <c r="AL52" s="142">
        <v>100</v>
      </c>
      <c r="AM52" s="136">
        <v>458.22</v>
      </c>
      <c r="AN52" s="141">
        <f>AL52-AQ52</f>
        <v>51.39</v>
      </c>
      <c r="AO52" s="141">
        <f>AN52-AP52</f>
        <v>0</v>
      </c>
      <c r="AP52" s="141">
        <f>AM52-AR52</f>
        <v>51.390000000000043</v>
      </c>
      <c r="AQ52" s="136">
        <v>48.61</v>
      </c>
      <c r="AR52" s="136">
        <v>406.83</v>
      </c>
      <c r="AS52" s="314"/>
      <c r="AT52" s="139">
        <v>110</v>
      </c>
      <c r="AU52" s="133">
        <v>14</v>
      </c>
      <c r="AV52" s="133">
        <v>80</v>
      </c>
      <c r="AW52" s="138">
        <v>28</v>
      </c>
      <c r="AX52" s="133">
        <v>138</v>
      </c>
      <c r="AY52" s="133">
        <v>9</v>
      </c>
      <c r="AZ52" s="133">
        <v>110</v>
      </c>
      <c r="BA52" s="138">
        <v>22</v>
      </c>
      <c r="BB52" s="137">
        <f>(AM52-AL52)/AK52/1000</f>
        <v>4.4889724310776948</v>
      </c>
      <c r="BC52" s="135"/>
      <c r="BD52" s="135"/>
      <c r="BE52" s="135">
        <f>AL52/AJ52/1000</f>
        <v>7.4285367214354112</v>
      </c>
      <c r="BF52" s="313"/>
      <c r="BG52" s="133" t="s">
        <v>0</v>
      </c>
      <c r="BH52" s="132">
        <f>IF(OR(AE52="",Y52=""),"",Y52/AE52)</f>
        <v>0.9166132135984606</v>
      </c>
      <c r="BI52" s="312" t="str">
        <f>IF(OR(AE52="",Y52=""),"",IF(Y52/AE52&gt;1.05,"OC",IF(Y52/AE52&lt;0.95,"UC","OK")))</f>
        <v>UC</v>
      </c>
      <c r="BJ52" s="130">
        <f>(AM52-AL52)/2</f>
        <v>179.11</v>
      </c>
      <c r="BK52" s="37">
        <f>AVERAGE(BJ52:BJ54)+(_xlfn.COVARIANCE.P(AL52:AL54,BJ52:BJ54)/_xlfn.STDEV.P(AL52:AL54)^2)*(W52-AVERAGE(AL52:AL54))</f>
        <v>215.93703482142857</v>
      </c>
      <c r="BL52" s="37" t="str">
        <f>IF(BZ52="=",BJ52,"")</f>
        <v/>
      </c>
      <c r="BM52" s="110">
        <f>AN52/(AM52-AL52)</f>
        <v>0.14345932667076097</v>
      </c>
      <c r="BN52" s="110" t="str">
        <f>IF(BM52="","",IF(AND(BM52&gt;=3/4,BM52&lt;=1.5),"HS",IF(AND(BM52&gt;=0.5,BM52&lt;=1),"NC",IF(AND(BM52&gt;=0,BM52&lt;=0.5),"OC",IF(BM52&lt;0,"H-OC","")))))</f>
        <v>OC</v>
      </c>
      <c r="BO52" s="109">
        <f>IF(BX52="","",BX52)</f>
        <v>4.5000000000338032</v>
      </c>
      <c r="BP52" s="110"/>
      <c r="BQ52" s="27">
        <f>BJ52/AL52</f>
        <v>1.7911000000000001</v>
      </c>
      <c r="BR52" s="129">
        <f>AL52/W52</f>
        <v>0.4479283314669652</v>
      </c>
      <c r="BS52" s="129" t="str">
        <f>IF(OR(BR52="",BH52=""),"",IF(AND(BR52&lt;1,BH52&gt;1),"NO",""))</f>
        <v/>
      </c>
      <c r="BT52" s="128">
        <f>IF(AA52="","",AA52/W52)</f>
        <v>2.0156774916013434</v>
      </c>
      <c r="BU52" s="24">
        <v>0.57920477443932483</v>
      </c>
      <c r="BV52" s="23">
        <v>0.53771211666216212</v>
      </c>
      <c r="BW52" s="22">
        <f>(BQ52/BU52)^(1/0.8)</f>
        <v>4.1007153692278857</v>
      </c>
      <c r="BX52" s="21">
        <f>(BQ52/BV52)^(1/0.8)</f>
        <v>4.5000000000338032</v>
      </c>
      <c r="BY52" s="20">
        <f>BU52*BW52^0.8</f>
        <v>1.7911000000000006</v>
      </c>
      <c r="BZ52" s="19" t="str">
        <f>IF(BR52&lt;0.85,"",IF(AND(BR52&gt;=0.85,BR52&lt;=1.15),"=","&gt;"))</f>
        <v/>
      </c>
      <c r="CA52" s="19" t="str">
        <f>IF(BZ52="","",IF(AND(BQ52&gt;=0.2,BQ52&lt;=0.451),"OK","NO"))</f>
        <v/>
      </c>
      <c r="CB52" s="18" t="str">
        <f>IF(BZ52="","",IF(AL52&lt;=CF52/1.11,"OC","NC"))</f>
        <v/>
      </c>
      <c r="CC52" s="18" t="str">
        <f>IF(BZ52="","",IF(CA52="OK","NC","OC"))</f>
        <v/>
      </c>
      <c r="CD52" s="12"/>
      <c r="CE52" s="17">
        <f>IF(BQ52="","",IF(BX52="","",BX52*AL52))</f>
        <v>450.00000000338031</v>
      </c>
      <c r="CF52" s="16">
        <f>AVERAGE(CD52:CD54)</f>
        <v>449.9999999985464</v>
      </c>
      <c r="CG52" s="15">
        <v>450</v>
      </c>
      <c r="CH52" s="14">
        <f>CG52/W52</f>
        <v>2.0156774916013434</v>
      </c>
      <c r="CI52" s="13" t="str">
        <f>IF(BQ52&lt;0.28,"Y","")</f>
        <v/>
      </c>
      <c r="CJ52" s="12" t="str">
        <f>IF(BQ52&lt;0.8,"Y","")</f>
        <v/>
      </c>
      <c r="CK52" s="126"/>
      <c r="CL52" s="125">
        <f>IFERROR(CE52-CG52,"")</f>
        <v>3.3803075893956702E-9</v>
      </c>
      <c r="CM52" s="117"/>
      <c r="CN52" s="121">
        <f>IF(OR(BS52="NO",BG52="TX-CID"),"",BH52)</f>
        <v>0.9166132135984606</v>
      </c>
      <c r="CO52" s="121">
        <f>IF(CN52="","",BQ52)</f>
        <v>1.7911000000000001</v>
      </c>
      <c r="CP52" s="124">
        <f>IF(CO52="","",BR52)</f>
        <v>0.4479283314669652</v>
      </c>
      <c r="CQ52" s="123">
        <f>IF(CO52="","",BV52)</f>
        <v>0.53771211666216212</v>
      </c>
      <c r="CR52" s="122">
        <f>IF(CU52="","",BX52)</f>
        <v>4.5000000000338032</v>
      </c>
      <c r="CS52" s="122">
        <f>IF(CR52="","",LN(CR52))</f>
        <v>1.5040773967837859</v>
      </c>
      <c r="CT52" s="122">
        <f>IF(CS52="","",BM52)</f>
        <v>0.14345932667076097</v>
      </c>
      <c r="CU52" s="121">
        <f>IF(CO52="","",BU52)</f>
        <v>0.57920477443932483</v>
      </c>
      <c r="CV52" s="6">
        <f>IF(CR52="","",CH52)</f>
        <v>2.0156774916013434</v>
      </c>
      <c r="CW52" s="5">
        <f>IF(CU52="","",E52)</f>
        <v>16.700000000000003</v>
      </c>
      <c r="CX52" s="5"/>
      <c r="CY52" s="119">
        <f>IF(CW52="","",IF(H52=1,$DJ$3*CV52^0.8*W52,IF(H52=2,$DK$3*CV52^0.8*W52,IF(H52=3,$DL$3*CV52^0.8*W52,"ERR"))))</f>
        <v>164.27731459752846</v>
      </c>
      <c r="CZ52" s="119" t="str">
        <f>IF(CY52="","",IF(BI52="OK",BJ52,""))</f>
        <v/>
      </c>
      <c r="DA52" s="119">
        <f>IF(CY52="","",IF(BK52="","",BK52))</f>
        <v>215.93703482142857</v>
      </c>
      <c r="DB52" s="120">
        <f>IF(CW52="","",BM52)</f>
        <v>0.14345932667076097</v>
      </c>
      <c r="DC52" s="119"/>
      <c r="DD52" s="119">
        <f>IF(OR(CH52="",W52=""),"",IF(H52=1,$DJ$3*CH52^0.8*W52,IF(H52=2,$DK$3*CH52^0.8*W52,IF(H52=3,$DL$3*CH52^0.8*W52,"ERR"))))</f>
        <v>164.27731459752846</v>
      </c>
      <c r="DE52" s="119">
        <f>IF(OR(CH52="",W52=""),"",IF(H52=1,$DJ$3*W52,IF(H52=2,$DK$3*W52,IF(H52=3,$DL$3*W52,"ERR"))))</f>
        <v>93.765000000000015</v>
      </c>
      <c r="DF52" s="118">
        <f>IF(DE52="","",-1.485*LN(E52)+7.098)</f>
        <v>2.9171180516572761</v>
      </c>
      <c r="DG52" s="119">
        <f>IF(OR(DF52="",W52=""),"",IF(H52=1,$DJ$3*DF52^0.8*W52,IF(H52=2,$DK$3*DF52^0.8*W52,IF(H52=3,$DL$3*CH52^0.8*W52,"ERR"))))</f>
        <v>164.27731459752846</v>
      </c>
      <c r="DH52" s="118"/>
      <c r="DJ52" s="117"/>
      <c r="DK52" s="117"/>
      <c r="DL52" s="117"/>
    </row>
    <row r="53" spans="1:116">
      <c r="A53" s="51" t="str">
        <f>IF(B53="","",IF(F53&lt;10,CONCATENATE(B53," - 0",F53),CONCATENATE(B53," - ",F53)))</f>
        <v>TRT05 - 16.75</v>
      </c>
      <c r="B53" s="114" t="s">
        <v>2</v>
      </c>
      <c r="C53" s="114">
        <v>16.600000000000001</v>
      </c>
      <c r="D53" s="114">
        <v>16.8</v>
      </c>
      <c r="E53" s="311">
        <f>AVERAGE(D53,C53)</f>
        <v>16.700000000000003</v>
      </c>
      <c r="F53" s="311">
        <f>IF(E53="","",CEILING(E53,0.25))</f>
        <v>16.75</v>
      </c>
      <c r="G53" s="311" t="s">
        <v>1</v>
      </c>
      <c r="H53" s="310">
        <v>3</v>
      </c>
      <c r="I53" s="217">
        <v>17.23</v>
      </c>
      <c r="J53" s="217">
        <v>11.19</v>
      </c>
      <c r="K53" s="217">
        <v>0.53900000000000003</v>
      </c>
      <c r="L53" s="10">
        <v>1.5369999999999999</v>
      </c>
      <c r="M53" s="309">
        <v>1</v>
      </c>
      <c r="N53" s="308">
        <v>9.3000000000000007</v>
      </c>
      <c r="O53" s="218"/>
      <c r="P53" s="217"/>
      <c r="Q53" s="216"/>
      <c r="R53" s="216">
        <f>IF(L53="","",L53/(1+L53))</f>
        <v>0.60583366180528186</v>
      </c>
      <c r="S53" s="216" t="str">
        <f>IF(R53="","",IF(R53&lt;0.3,"S",IF(R53&lt;0.45,"L",IF(AND(R53&lt;0.5,R53&gt;=0.45),"C",IF(R53&gt;=0.5,"SC","")))))</f>
        <v>SC</v>
      </c>
      <c r="T53" s="288">
        <f>L53*9.81/($P$28*(1+L53))</f>
        <v>0.40912539391761005</v>
      </c>
      <c r="U53" s="287">
        <f>N53</f>
        <v>9.3000000000000007</v>
      </c>
      <c r="V53" s="287">
        <f>IF(E53="","",IF(E53&lt;=10,IF(E53&lt;=N53,18*E53,18*N53+(18-0)*(E53-N53)),IF(AND(E53&gt;10,N53&lt;=10),18*N53+(18-0)*(10-N53)+(17.5-0)*(E53-10),IF(E53&lt;N53,(18*0)+17.5*(E53-10),(18*0)+17.5*(N53-10)+(17.5-0)*(E53-N53)))))</f>
        <v>297.25000000000006</v>
      </c>
      <c r="W53" s="37">
        <f>IF(E53="","",IF(E53&lt;=10,IF(E53&lt;=N53,18*E53,18*N53+(18-10)*(E53-N53)),IF(AND(E53&gt;10,N53&lt;=10),18*N53+(18-10)*(10-N53)+(17.5-10)*(E53-10),IF(E53&lt;N53,(18*10)+17.5*(E53-10),(18*10)+17.5*(N53-10)+(17.5-10)*(E53-N53)))))</f>
        <v>223.25000000000003</v>
      </c>
      <c r="Y53" s="45">
        <f>Y52</f>
        <v>1.429</v>
      </c>
      <c r="AB53" s="44">
        <v>0.41899999999999998</v>
      </c>
      <c r="AC53" s="43">
        <v>0.1293</v>
      </c>
      <c r="AD53" s="42">
        <f>9.81*AE53/AC53/(1+AE53)/100</f>
        <v>0.45277299603323107</v>
      </c>
      <c r="AE53" s="307">
        <v>1.48</v>
      </c>
      <c r="AF53" s="306">
        <v>78.95</v>
      </c>
      <c r="AG53" s="305">
        <v>77.88</v>
      </c>
      <c r="AH53" s="305">
        <v>1130.54</v>
      </c>
      <c r="AI53" s="305">
        <v>1120.3900000000001</v>
      </c>
      <c r="AJ53" s="39">
        <f>IF(AF53="","",1-(AG53*AI53/AF53/AH53))</f>
        <v>2.2409214165708735E-2</v>
      </c>
      <c r="AK53" s="38">
        <v>4.53E-2</v>
      </c>
      <c r="AL53" s="34">
        <v>200</v>
      </c>
      <c r="AM53" s="28">
        <v>610.34</v>
      </c>
      <c r="AN53" s="37">
        <f>AL53-AQ53</f>
        <v>96.58</v>
      </c>
      <c r="AO53" s="37">
        <f>AN53-AP53</f>
        <v>-1.0000000000033538E-2</v>
      </c>
      <c r="AP53" s="37">
        <f>AM53-AR53</f>
        <v>96.590000000000032</v>
      </c>
      <c r="AQ53" s="28">
        <v>103.42</v>
      </c>
      <c r="AR53" s="28">
        <v>513.75</v>
      </c>
      <c r="BB53" s="111">
        <f>(AM53-AL53)/AK53/1000</f>
        <v>9.0582781456953647</v>
      </c>
      <c r="BC53" s="109"/>
      <c r="BD53" s="109"/>
      <c r="BE53" s="109">
        <f>AL53/AJ53/1000</f>
        <v>8.9249002004740579</v>
      </c>
      <c r="BF53" s="304"/>
      <c r="BG53" s="32" t="s">
        <v>0</v>
      </c>
      <c r="BH53" s="303">
        <f>IF(OR(AE53="",Y53=""),"",Y53/AE53)</f>
        <v>0.96554054054054061</v>
      </c>
      <c r="BI53" s="302" t="str">
        <f>IF(OR(AE53="",Y53=""),"",IF(Y53/AE53&gt;1.05,"OC",IF(Y53/AE53&lt;0.95,"UC","OK")))</f>
        <v>OK</v>
      </c>
      <c r="BJ53" s="37">
        <f>(AM53-AL53)/2</f>
        <v>205.17000000000002</v>
      </c>
      <c r="BK53" s="37"/>
      <c r="BL53" s="37">
        <f>IF(BZ53="=",BJ53,"")</f>
        <v>205.17000000000002</v>
      </c>
      <c r="BM53" s="110">
        <f>AN53/(AM53-AL53)</f>
        <v>0.23536579421942777</v>
      </c>
      <c r="BN53" s="110" t="str">
        <f>IF(BM53="","",IF(AND(BM53&gt;=3/4,BM53&lt;=1.5),"HS",IF(AND(BM53&gt;=0.5,BM53&lt;=1),"NC",IF(AND(BM53&gt;=0,BM53&lt;=0.5),"OC",IF(BM53&lt;0,"H-OC","")))))</f>
        <v>OC</v>
      </c>
      <c r="BO53" s="109">
        <f>IF(BX53="","",BX53)</f>
        <v>2.2500000000304965</v>
      </c>
      <c r="BP53" s="110"/>
      <c r="BQ53" s="27">
        <f>BJ53/AL53</f>
        <v>1.0258500000000002</v>
      </c>
      <c r="BR53" s="26">
        <f>AL53/W53</f>
        <v>0.8958566629339304</v>
      </c>
      <c r="BS53" s="26" t="str">
        <f>IF(OR(BR53="",BH53=""),"",IF(AND(BR53&lt;1,BH53&gt;1),"NO",""))</f>
        <v/>
      </c>
      <c r="BT53" s="25" t="str">
        <f>IF(AA53="","",AA53/W53)</f>
        <v/>
      </c>
      <c r="BU53" s="24">
        <f>BU52</f>
        <v>0.57920477443932483</v>
      </c>
      <c r="BV53" s="23">
        <v>0.53621362899726854</v>
      </c>
      <c r="BW53" s="22">
        <f>(BQ53/BU53)^(1/0.8)</f>
        <v>2.0432177937340694</v>
      </c>
      <c r="BX53" s="21">
        <f>(BQ53/BV53)^(1/0.8)</f>
        <v>2.2500000000304965</v>
      </c>
      <c r="BY53" s="20">
        <f>BU53*BW53^0.8</f>
        <v>1.0258500000000004</v>
      </c>
      <c r="BZ53" s="19" t="str">
        <f>IF(BR53&lt;0.85,"",IF(AND(BR53&gt;=0.85,BR53&lt;=1.15),"=","&gt;"))</f>
        <v>=</v>
      </c>
      <c r="CA53" s="19" t="str">
        <f>IF(BZ53="","",IF(AND(BQ53&gt;=0.2,BQ53&lt;=0.451),"OK","NO"))</f>
        <v>NO</v>
      </c>
      <c r="CB53" s="18" t="str">
        <f>IF(BZ53="","",IF(AL53&lt;=CF52/1.11,"OC","NC"))</f>
        <v>OC</v>
      </c>
      <c r="CC53" s="18" t="str">
        <f>IF(BZ53="","",IF(CA53="OK","NC","OC"))</f>
        <v>OC</v>
      </c>
      <c r="CD53" s="12">
        <f>IF(BQ53="","",IF(BW53="","",BW53*AL53))</f>
        <v>408.64355874681388</v>
      </c>
      <c r="CE53" s="17">
        <f>IF(BQ53="","",IF(BX53="","",BX53*AL53))</f>
        <v>450.0000000060993</v>
      </c>
      <c r="CG53" s="15">
        <f>CG52</f>
        <v>450</v>
      </c>
      <c r="CH53" s="14">
        <f>CG53/W53</f>
        <v>2.0156774916013434</v>
      </c>
      <c r="CI53" s="13" t="str">
        <f>IF(BQ53&lt;0.28,"Y","")</f>
        <v/>
      </c>
      <c r="CJ53" s="12" t="str">
        <f>IF(BQ53&lt;0.8,"Y","")</f>
        <v/>
      </c>
      <c r="CK53" s="12" t="str">
        <f>IF(BQ53&lt;BQ52,"","ERR")</f>
        <v/>
      </c>
      <c r="CL53" s="11">
        <f>IFERROR(CE53-CG53,"")</f>
        <v>6.0992988437647E-9</v>
      </c>
      <c r="CN53" s="7">
        <f>IF(OR(BS53="NO",BG53="TX-CID"),"",BH53)</f>
        <v>0.96554054054054061</v>
      </c>
      <c r="CO53" s="7">
        <f>IF(CN53="","",BQ53)</f>
        <v>1.0258500000000002</v>
      </c>
      <c r="CP53" s="10">
        <f>IF(CO53="","",BR53)</f>
        <v>0.8958566629339304</v>
      </c>
      <c r="CQ53" s="9">
        <f>IF(CO53="","",BV53)</f>
        <v>0.53621362899726854</v>
      </c>
      <c r="CR53" s="8">
        <f>IF(CU53="","",BX53)</f>
        <v>2.2500000000304965</v>
      </c>
      <c r="CS53" s="8">
        <f>IF(CR53="","",LN(CR53))</f>
        <v>0.81093021622988282</v>
      </c>
      <c r="CT53" s="8">
        <f>IF(CS53="","",BM53)</f>
        <v>0.23536579421942777</v>
      </c>
      <c r="CU53" s="7">
        <f>IF(CO53="","",BU53)</f>
        <v>0.57920477443932483</v>
      </c>
      <c r="CV53" s="6">
        <f>IF(CR53="","",CH52)</f>
        <v>2.0156774916013434</v>
      </c>
      <c r="CW53" s="5">
        <f>IF(CU53="","",E53)</f>
        <v>16.700000000000003</v>
      </c>
      <c r="CY53" s="4">
        <f>IF(CW53="","",IF(H53=1,$DJ$3*CV53^0.8*W53,IF(H53=2,$DK$3*CV53^0.8*W53,IF(H53=3,$DL$3*CV53^0.8*W53,"ERR"))))</f>
        <v>164.27731459752846</v>
      </c>
      <c r="CZ53" s="4">
        <f>IF(CY53="","",IF(BI53="OK",BJ53,""))</f>
        <v>205.17000000000002</v>
      </c>
      <c r="DA53" s="4" t="str">
        <f>IF(CY53="","",IF(BK53="","",BK53))</f>
        <v/>
      </c>
      <c r="DB53" s="6">
        <f>IF(CW53="","",BM53)</f>
        <v>0.23536579421942777</v>
      </c>
      <c r="DD53" s="4">
        <f>IF(OR(CH53="",W53=""),"",IF(H53=1,$DJ$3*CH53^0.8*W53,IF(H53=2,$DK$3*CH53^0.8*W53,IF(H53=3,$DL$3*CH53^0.8*W53,"ERR"))))</f>
        <v>164.27731459752846</v>
      </c>
      <c r="DE53" s="4">
        <f>IF(OR(CH53="",W53=""),"",IF(H53=1,$DJ$3*W53,IF(H53=2,$DK$3*W53,IF(H53=3,$DL$3*W53,"ERR"))))</f>
        <v>93.765000000000015</v>
      </c>
      <c r="DF53" s="3">
        <f>IF(DE53="","",-1.485*LN(E53)+7.098)</f>
        <v>2.9171180516572761</v>
      </c>
      <c r="DG53" s="4">
        <f>IF(OR(DF53="",W53=""),"",IF(H53=1,$DJ$3*DF53^0.8*W53,IF(H53=2,$DK$3*DF53^0.8*W53,IF(H53=3,$DL$3*CH53^0.8*W53,"ERR"))))</f>
        <v>164.27731459752846</v>
      </c>
    </row>
    <row r="54" spans="1:116" s="162" customFormat="1">
      <c r="A54" s="286" t="str">
        <f>IF(B54="","",IF(F54&lt;10,CONCATENATE(B54," - 0",F54),CONCATENATE(B54," - ",F54)))</f>
        <v>TRT05 - 16.75</v>
      </c>
      <c r="B54" s="212" t="s">
        <v>2</v>
      </c>
      <c r="C54" s="212">
        <v>16.600000000000001</v>
      </c>
      <c r="D54" s="212">
        <v>16.8</v>
      </c>
      <c r="E54" s="301">
        <f>AVERAGE(D54,C54)</f>
        <v>16.700000000000003</v>
      </c>
      <c r="F54" s="301">
        <f>IF(E54="","",CEILING(E54,0.25))</f>
        <v>16.75</v>
      </c>
      <c r="G54" s="301" t="s">
        <v>1</v>
      </c>
      <c r="H54" s="300">
        <v>3</v>
      </c>
      <c r="I54" s="222">
        <v>17.170000000000002</v>
      </c>
      <c r="J54" s="222">
        <v>11.18</v>
      </c>
      <c r="K54" s="222">
        <v>0.53600000000000003</v>
      </c>
      <c r="L54" s="171">
        <v>1.5409999999999999</v>
      </c>
      <c r="M54" s="299">
        <v>0.99</v>
      </c>
      <c r="N54" s="298">
        <v>9.3000000000000007</v>
      </c>
      <c r="O54" s="223"/>
      <c r="P54" s="222"/>
      <c r="Q54" s="221"/>
      <c r="R54" s="221">
        <f>IF(L54="","",L54/(1+L54))</f>
        <v>0.60645415190869734</v>
      </c>
      <c r="S54" s="221" t="str">
        <f>IF(R54="","",IF(R54&lt;0.3,"S",IF(R54&lt;0.45,"L",IF(AND(R54&lt;0.5,R54&gt;=0.45),"C",IF(R54&gt;=0.5,"SC","")))))</f>
        <v>SC</v>
      </c>
      <c r="T54" s="285">
        <f>L54*9.81/($P$28*(1+L54))</f>
        <v>0.40954441694981564</v>
      </c>
      <c r="U54" s="284">
        <f>N54</f>
        <v>9.3000000000000007</v>
      </c>
      <c r="V54" s="284">
        <f>IF(E54="","",IF(E54&lt;=10,IF(E54&lt;=N54,18*E54,18*N54+(18-0)*(E54-N54)),IF(AND(E54&gt;10,N54&lt;=10),18*N54+(18-0)*(10-N54)+(17.5-0)*(E54-10),IF(E54&lt;N54,(18*0)+17.5*(E54-10),(18*0)+17.5*(N54-10)+(17.5-0)*(E54-N54)))))</f>
        <v>297.25000000000006</v>
      </c>
      <c r="W54" s="186">
        <f>IF(E54="","",IF(E54&lt;=10,IF(E54&lt;=N54,18*E54,18*N54+(18-10)*(E54-N54)),IF(AND(E54&gt;10,N54&lt;=10),18*N54+(18-10)*(10-N54)+(17.5-10)*(E54-10),IF(E54&lt;N54,(18*10)+17.5*(E54-10),(18*10)+17.5*(N54-10)+(17.5-10)*(E54-N54)))))</f>
        <v>223.25000000000003</v>
      </c>
      <c r="X54" s="197"/>
      <c r="Y54" s="205">
        <f>Y53</f>
        <v>1.429</v>
      </c>
      <c r="Z54" s="164"/>
      <c r="AA54" s="189"/>
      <c r="AB54" s="204">
        <v>0.39600000000000002</v>
      </c>
      <c r="AC54" s="203">
        <v>0.1333</v>
      </c>
      <c r="AD54" s="202">
        <f>9.81*AE54/AC54/(1+AE54)/100</f>
        <v>0.43270613697923871</v>
      </c>
      <c r="AE54" s="297">
        <v>1.427</v>
      </c>
      <c r="AF54" s="296">
        <v>78.95</v>
      </c>
      <c r="AG54" s="295">
        <v>77.58</v>
      </c>
      <c r="AH54" s="295">
        <v>1135.31</v>
      </c>
      <c r="AI54" s="295">
        <v>1103.8</v>
      </c>
      <c r="AJ54" s="199">
        <f>IF(AF54="","",1-(AG54*AI54/AF54/AH54))</f>
        <v>4.4625671285937529E-2</v>
      </c>
      <c r="AK54" s="198">
        <v>5.5300000000000002E-2</v>
      </c>
      <c r="AL54" s="197">
        <v>400</v>
      </c>
      <c r="AM54" s="189">
        <v>946.25</v>
      </c>
      <c r="AN54" s="186">
        <f>AL54-AQ54</f>
        <v>268.28999999999996</v>
      </c>
      <c r="AO54" s="186">
        <f>AN54-AP54</f>
        <v>0</v>
      </c>
      <c r="AP54" s="186">
        <f>AM54-AR54</f>
        <v>268.28999999999996</v>
      </c>
      <c r="AQ54" s="189">
        <v>131.71</v>
      </c>
      <c r="AR54" s="189">
        <v>677.96</v>
      </c>
      <c r="AS54" s="196"/>
      <c r="AT54" s="66"/>
      <c r="AU54" s="192"/>
      <c r="AV54" s="192"/>
      <c r="AW54" s="195"/>
      <c r="AX54" s="192"/>
      <c r="AY54" s="192"/>
      <c r="AZ54" s="192"/>
      <c r="BA54" s="195"/>
      <c r="BB54" s="194">
        <f>(AM54-AL54)/AK54/1000</f>
        <v>9.8779385171790235</v>
      </c>
      <c r="BC54" s="187"/>
      <c r="BD54" s="187"/>
      <c r="BE54" s="187">
        <f>AL54/AJ54/1000</f>
        <v>8.9634505985806481</v>
      </c>
      <c r="BF54" s="294"/>
      <c r="BG54" s="192" t="s">
        <v>0</v>
      </c>
      <c r="BH54" s="292">
        <f>IF(OR(AE54="",Y54=""),"",Y54/AE54)</f>
        <v>1.0014015416958655</v>
      </c>
      <c r="BI54" s="293" t="str">
        <f>IF(OR(AE54="",Y54=""),"",IF(Y54/AE54&gt;1.05,"OC",IF(Y54/AE54&lt;0.95,"UC","OK")))</f>
        <v>OK</v>
      </c>
      <c r="BJ54" s="186">
        <f>(AM54-AL54)/2</f>
        <v>273.125</v>
      </c>
      <c r="BK54" s="186"/>
      <c r="BL54" s="186" t="str">
        <f>IF(BZ54="=",BJ54,"")</f>
        <v/>
      </c>
      <c r="BM54" s="219">
        <f>AN54/(AM54-AL54)</f>
        <v>0.49114874141876425</v>
      </c>
      <c r="BN54" s="188" t="str">
        <f>IF(BM54="","",IF(AND(BM54&gt;=3/4,BM54&lt;=1.5),"HS",IF(AND(BM54&gt;=0.5,BM54&lt;=1),"NC",IF(AND(BM54&gt;=0,BM54&lt;=0.5),"OC",IF(BM54&lt;0,"H-OC","")))))</f>
        <v>OC</v>
      </c>
      <c r="BO54" s="187">
        <f>IF(BX54="","",BX54)</f>
        <v>1.1249999999922751</v>
      </c>
      <c r="BP54" s="188"/>
      <c r="BQ54" s="185">
        <f>BJ54/AL54</f>
        <v>0.68281250000000004</v>
      </c>
      <c r="BR54" s="184">
        <f>AL54/W54</f>
        <v>1.7917133258678608</v>
      </c>
      <c r="BS54" s="184" t="str">
        <f>IF(OR(BR54="",BH54=""),"",IF(AND(BR54&lt;1,BH54&gt;1),"NO",""))</f>
        <v/>
      </c>
      <c r="BT54" s="183" t="str">
        <f>IF(AA54="","",AA54/W54)</f>
        <v/>
      </c>
      <c r="BU54" s="182">
        <f>BU53</f>
        <v>0.57920477443932483</v>
      </c>
      <c r="BV54" s="181">
        <v>0.6214117273239822</v>
      </c>
      <c r="BW54" s="180">
        <f>(BQ54/BU54)^(1/0.8)</f>
        <v>1.2283911031256973</v>
      </c>
      <c r="BX54" s="179">
        <f>(BQ54/BV54)^(1/0.8)</f>
        <v>1.1249999999922751</v>
      </c>
      <c r="BY54" s="178">
        <f>BU54*BW54^0.8</f>
        <v>0.68281250000000004</v>
      </c>
      <c r="BZ54" s="177" t="str">
        <f>IF(BR54&lt;0.85,"",IF(AND(BR54&gt;=0.85,BR54&lt;=1.15),"=","&gt;"))</f>
        <v>&gt;</v>
      </c>
      <c r="CA54" s="177" t="str">
        <f>IF(BZ54="","",IF(AND(BQ54&gt;=0.2,BQ54&lt;=0.451),"OK","NO"))</f>
        <v>NO</v>
      </c>
      <c r="CB54" s="176" t="str">
        <f>IF(BZ54="","",IF(AL54&lt;=CF52/1.11,"OC","NC"))</f>
        <v>OC</v>
      </c>
      <c r="CC54" s="176" t="str">
        <f>IF(BZ54="","",IF(CA54="OK","NC","OC"))</f>
        <v>OC</v>
      </c>
      <c r="CD54" s="172">
        <f>IF(BQ54="","",IF(BW54="","",BW54*AL54))</f>
        <v>491.35644125027892</v>
      </c>
      <c r="CE54" s="175">
        <f>IF(BQ54="","",IF(BX54="","",BX54*AL54))</f>
        <v>449.99999999691005</v>
      </c>
      <c r="CF54" s="174"/>
      <c r="CG54" s="66">
        <f>CG53</f>
        <v>450</v>
      </c>
      <c r="CH54" s="220">
        <f>CG54/W54</f>
        <v>2.0156774916013434</v>
      </c>
      <c r="CI54" s="173" t="str">
        <f>IF(BQ54&lt;0.28,"Y","")</f>
        <v/>
      </c>
      <c r="CJ54" s="172" t="str">
        <f>IF(BQ54&lt;0.8,"Y","")</f>
        <v>Y</v>
      </c>
      <c r="CK54" s="172" t="str">
        <f>IF(BQ54&lt;BQ53,"","ERR")</f>
        <v/>
      </c>
      <c r="CL54" s="11">
        <f>IFERROR(CE54-CG54,"")</f>
        <v>-3.0899514058546629E-9</v>
      </c>
      <c r="CM54" s="163"/>
      <c r="CN54" s="168">
        <f>IF(OR(BS54="NO",BG54="TX-CID"),"",BH54)</f>
        <v>1.0014015416958655</v>
      </c>
      <c r="CO54" s="168">
        <f>IF(CN54="","",BQ54)</f>
        <v>0.68281250000000004</v>
      </c>
      <c r="CP54" s="171">
        <f>IF(CO54="","",BR54)</f>
        <v>1.7917133258678608</v>
      </c>
      <c r="CQ54" s="170">
        <f>IF(CO54="","",BV54)</f>
        <v>0.6214117273239822</v>
      </c>
      <c r="CR54" s="169">
        <f>IF(CU54="","",BX54)</f>
        <v>1.1249999999922751</v>
      </c>
      <c r="CS54" s="169">
        <f>IF(CR54="","",LN(CR54))</f>
        <v>0.11778303564951685</v>
      </c>
      <c r="CT54" s="169">
        <f>IF(CS54="","",BM54)</f>
        <v>0.49114874141876425</v>
      </c>
      <c r="CU54" s="168">
        <f>IF(CO54="","",BU54)</f>
        <v>0.57920477443932483</v>
      </c>
      <c r="CV54" s="166">
        <f>IF(CR54="","",CH52)</f>
        <v>2.0156774916013434</v>
      </c>
      <c r="CW54" s="167">
        <f>IF(CU54="","",E54)</f>
        <v>16.700000000000003</v>
      </c>
      <c r="CX54" s="167"/>
      <c r="CY54" s="165">
        <f>IF(CW54="","",IF(H54=1,$DJ$3*CV54^0.8*W54,IF(H54=2,$DK$3*CV54^0.8*W54,IF(H54=3,$DL$3*CV54^0.8*W54,"ERR"))))</f>
        <v>164.27731459752846</v>
      </c>
      <c r="CZ54" s="165">
        <f>IF(CY54="","",IF(BI54="OK",BJ54,""))</f>
        <v>273.125</v>
      </c>
      <c r="DA54" s="165" t="str">
        <f>IF(CY54="","",IF(BK54="","",BK54))</f>
        <v/>
      </c>
      <c r="DB54" s="166">
        <f>IF(CW54="","",BM54)</f>
        <v>0.49114874141876425</v>
      </c>
      <c r="DC54" s="165"/>
      <c r="DD54" s="165">
        <f>IF(OR(CH54="",W54=""),"",IF(H54=1,$DJ$3*CH54^0.8*W54,IF(H54=2,$DK$3*CH54^0.8*W54,IF(H54=3,$DL$3*CH54^0.8*W54,"ERR"))))</f>
        <v>164.27731459752846</v>
      </c>
      <c r="DE54" s="165">
        <f>IF(OR(CH54="",W54=""),"",IF(H54=1,$DJ$3*W54,IF(H54=2,$DK$3*W54,IF(H54=3,$DL$3*W54,"ERR"))))</f>
        <v>93.765000000000015</v>
      </c>
      <c r="DF54" s="164">
        <f>IF(DE54="","",-1.485*LN(E54)+7.098)</f>
        <v>2.9171180516572761</v>
      </c>
      <c r="DG54" s="165">
        <f>IF(OR(DF54="",W54=""),"",IF(H54=1,$DJ$3*DF54^0.8*W54,IF(H54=2,$DK$3*DF54^0.8*W54,IF(H54=3,$DL$3*CH54^0.8*W54,"ERR"))))</f>
        <v>164.27731459752846</v>
      </c>
      <c r="DH54" s="164"/>
      <c r="DJ54" s="163"/>
      <c r="DK54" s="163"/>
      <c r="DL54" s="163"/>
    </row>
    <row r="55" spans="1:116" s="116" customFormat="1">
      <c r="A55" s="283" t="str">
        <f>IF(B55="","",IF(F55&lt;10,CONCATENATE(B55," - 0",F55),CONCATENATE(B55," - ",F55)))</f>
        <v>TRT05 - 19.75</v>
      </c>
      <c r="B55" s="160" t="s">
        <v>2</v>
      </c>
      <c r="C55" s="160">
        <v>19.45</v>
      </c>
      <c r="D55" s="160">
        <v>19.75</v>
      </c>
      <c r="E55" s="160">
        <f>AVERAGE(D55,C55)</f>
        <v>19.600000000000001</v>
      </c>
      <c r="F55" s="160">
        <f>IF(E55="","",CEILING(E55,0.25))</f>
        <v>19.75</v>
      </c>
      <c r="G55" s="160" t="s">
        <v>1</v>
      </c>
      <c r="H55" s="159">
        <v>3</v>
      </c>
      <c r="I55" s="117">
        <v>17.07</v>
      </c>
      <c r="J55" s="117">
        <v>11.18</v>
      </c>
      <c r="K55" s="158">
        <v>0.52700000000000002</v>
      </c>
      <c r="L55" s="150">
        <v>1.5409999999999999</v>
      </c>
      <c r="M55" s="157">
        <v>0.97</v>
      </c>
      <c r="N55" s="156">
        <v>9.3000000000000007</v>
      </c>
      <c r="O55" s="155">
        <f>(P55*(1+AVERAGE(L55:L57))+(9.81*M55*AVERAGE(L55:L57)))/(1+AVERAGE(L55:L57))</f>
        <v>17.029612466843499</v>
      </c>
      <c r="P55" s="154">
        <f>AVERAGE(J55:J57)</f>
        <v>11.299999999999999</v>
      </c>
      <c r="Q55" s="153">
        <f>AVERAGE(K55:K57)</f>
        <v>0.52333333333333332</v>
      </c>
      <c r="R55" s="152">
        <f>IF(L55="","",L55/(1+L55))</f>
        <v>0.60645415190869734</v>
      </c>
      <c r="S55" s="152" t="str">
        <f>IF(R55="","",IF(R55&lt;0.3,"S",IF(R55&lt;0.45,"L",IF(AND(R55&lt;0.5,R55&gt;=0.45),"C",IF(R55&gt;=0.5,"SC","")))))</f>
        <v>SC</v>
      </c>
      <c r="T55" s="290">
        <f>L55*9.81/($P$28*(1+L55))</f>
        <v>0.40954441694981564</v>
      </c>
      <c r="U55" s="289">
        <f>N55</f>
        <v>9.3000000000000007</v>
      </c>
      <c r="V55" s="289">
        <f>IF(E55="","",IF(E55&lt;=10,IF(E55&lt;=N55,18*E55,18*N55+(18-0)*(E55-N55)),IF(AND(E55&gt;10,N55&lt;=10),18*N55+(18-0)*(10-N55)+(17.5-0)*(E55-10),IF(E55&lt;N55,(18*0)+17.5*(E55-10),(18*0)+17.5*(N55-10)+(17.5-0)*(E55-N55)))))</f>
        <v>348</v>
      </c>
      <c r="W55" s="141">
        <f>IF(E55="","",IF(E55&lt;=10,IF(E55&lt;=N55,18*E55,18*N55+(18-10)*(E55-N55)),IF(AND(E55&gt;10,N55&lt;=10),18*N55+(18-10)*(10-N55)+(17.5-10)*(E55-10),IF(E55&lt;N55,(18*10)+17.5*(E55-10),(18*10)+17.5*(N55-10)+(17.5-10)*(E55-N55)))))</f>
        <v>245</v>
      </c>
      <c r="X55" s="142">
        <v>229</v>
      </c>
      <c r="Y55" s="150">
        <v>1.397</v>
      </c>
      <c r="Z55" s="118">
        <v>3.1</v>
      </c>
      <c r="AA55" s="136">
        <v>700</v>
      </c>
      <c r="AB55" s="149"/>
      <c r="AC55" s="148"/>
      <c r="AD55" s="147"/>
      <c r="AE55" s="146">
        <v>1.5069999999999999</v>
      </c>
      <c r="AF55" s="145">
        <v>79</v>
      </c>
      <c r="AG55" s="118">
        <v>78.52</v>
      </c>
      <c r="AH55" s="118">
        <v>1140.69</v>
      </c>
      <c r="AI55" s="118">
        <v>1132.3800000000001</v>
      </c>
      <c r="AJ55" s="144">
        <f>IF(AF55="","",1-(AG55*AI55/AF55/AH55))</f>
        <v>1.3316749988431464E-2</v>
      </c>
      <c r="AK55" s="143">
        <v>4.1099999999999998E-2</v>
      </c>
      <c r="AL55" s="142">
        <v>100</v>
      </c>
      <c r="AM55" s="136">
        <v>296.11</v>
      </c>
      <c r="AN55" s="141">
        <f>AL55-AQ55</f>
        <v>11.900000000000006</v>
      </c>
      <c r="AO55" s="141">
        <f>AN55-AP55</f>
        <v>1.0000000000019327E-2</v>
      </c>
      <c r="AP55" s="141">
        <f>AM55-AR55</f>
        <v>11.889999999999986</v>
      </c>
      <c r="AQ55" s="136">
        <v>88.1</v>
      </c>
      <c r="AR55" s="136">
        <v>284.22000000000003</v>
      </c>
      <c r="AS55" s="140"/>
      <c r="AT55" s="139">
        <v>80</v>
      </c>
      <c r="AU55" s="133">
        <v>18</v>
      </c>
      <c r="AV55" s="133">
        <v>50</v>
      </c>
      <c r="AW55" s="138">
        <v>31</v>
      </c>
      <c r="AX55" s="133">
        <v>50</v>
      </c>
      <c r="AY55" s="133">
        <v>20</v>
      </c>
      <c r="AZ55" s="133">
        <v>0</v>
      </c>
      <c r="BA55" s="138">
        <v>35</v>
      </c>
      <c r="BB55" s="137">
        <f>(AM55-AL55)/AK55/1000</f>
        <v>4.7715328467153295</v>
      </c>
      <c r="BC55" s="136"/>
      <c r="BD55" s="136"/>
      <c r="BE55" s="135">
        <f>AL55/AJ55/1000</f>
        <v>7.5093397478267647</v>
      </c>
      <c r="BF55" s="134"/>
      <c r="BG55" s="133" t="s">
        <v>0</v>
      </c>
      <c r="BH55" s="132">
        <f>IF(OR(AE55="",Y55=""),"",Y55/AE55)</f>
        <v>0.92700729927007308</v>
      </c>
      <c r="BI55" s="131" t="str">
        <f>IF(OR(AE55="",Y55=""),"",IF(Y55/AE55&gt;1.05,"OC",IF(Y55/AE55&lt;0.95,"UC","OK")))</f>
        <v>UC</v>
      </c>
      <c r="BJ55" s="130">
        <f>(AM55-AL55)/2</f>
        <v>98.055000000000007</v>
      </c>
      <c r="BK55" s="37">
        <f>AVERAGE(BJ55:BJ57)+(_xlfn.COVARIANCE.P(AL55:AL57,BJ55:BJ57)/_xlfn.STDEV.P(AL55:AL57)^2)*(W55-AVERAGE(AL55:AL57))</f>
        <v>206.53724999999997</v>
      </c>
      <c r="BL55" s="37" t="str">
        <f>IF(BZ55="=",BJ55,"")</f>
        <v/>
      </c>
      <c r="BM55" s="110">
        <f>AN55/(AM55-AL55)</f>
        <v>6.0680230482892276E-2</v>
      </c>
      <c r="BN55" s="37" t="str">
        <f>IF(BM55="","",IF(AND(BM55&gt;=3/4,BM55&lt;=1.5),"HS",IF(AND(BM55&gt;=0.5,BM55&lt;=1),"NC",IF(AND(BM55&gt;=0,BM55&lt;=0.5),"OC",IF(BM55&lt;0,"H-OC","")))))</f>
        <v>OC</v>
      </c>
      <c r="BO55" s="109">
        <f>IF(BX55="","",BX55)</f>
        <v>7.0000000000138094</v>
      </c>
      <c r="BP55" s="37"/>
      <c r="BQ55" s="27">
        <f>BJ55/AL55</f>
        <v>0.98055000000000003</v>
      </c>
      <c r="BR55" s="129">
        <f>AL55/W55</f>
        <v>0.40816326530612246</v>
      </c>
      <c r="BS55" s="129" t="str">
        <f>IF(OR(BR55="",BH55=""),"",IF(AND(BR55&lt;1,BH55&gt;1),"NO",""))</f>
        <v/>
      </c>
      <c r="BT55" s="128">
        <f>IF(AA55="","",AA55/W55)</f>
        <v>2.8571428571428572</v>
      </c>
      <c r="BU55" s="24">
        <v>0.42378079417901199</v>
      </c>
      <c r="BV55" s="23">
        <v>0.20672419622846488</v>
      </c>
      <c r="BW55" s="22">
        <f>(BQ55/BU55)^(1/0.8)</f>
        <v>2.8537149595687206</v>
      </c>
      <c r="BX55" s="21">
        <f>(BQ55/BV55)^(1/0.8)</f>
        <v>7.0000000000138094</v>
      </c>
      <c r="BY55" s="20">
        <f>BU55*BW55^0.8</f>
        <v>0.98055000000000003</v>
      </c>
      <c r="BZ55" s="19" t="str">
        <f>IF(BR55&lt;0.85,"",IF(AND(BR55&gt;=0.85,BR55&lt;=1.15),"=","&gt;"))</f>
        <v/>
      </c>
      <c r="CA55" s="19" t="str">
        <f>IF(BZ55="","",IF(AND(BQ55&gt;=0.2,BQ55&lt;=0.451),"OK","NO"))</f>
        <v/>
      </c>
      <c r="CB55" s="18" t="str">
        <f>IF(BZ55="","",IF(AL55&lt;=CF55/1.11,"OC","NC"))</f>
        <v/>
      </c>
      <c r="CC55" s="18" t="str">
        <f>IF(BZ55="","",IF(CA55="OK","NC","OC"))</f>
        <v/>
      </c>
      <c r="CD55" s="12"/>
      <c r="CE55" s="17">
        <f>IF(BQ55="","",IF(BX55="","",BX55*AL55))</f>
        <v>700.00000000138095</v>
      </c>
      <c r="CF55" s="16">
        <f>AVERAGE(CD55:CD57)</f>
        <v>699.99999999676334</v>
      </c>
      <c r="CG55" s="15">
        <v>700</v>
      </c>
      <c r="CH55" s="14">
        <f>CG55/W55</f>
        <v>2.8571428571428572</v>
      </c>
      <c r="CI55" s="13" t="str">
        <f>IF(BQ55&lt;0.28,"Y","")</f>
        <v/>
      </c>
      <c r="CJ55" s="12" t="str">
        <f>IF(BQ55&lt;0.8,"Y","")</f>
        <v/>
      </c>
      <c r="CK55" s="126"/>
      <c r="CL55" s="125">
        <f>IFERROR(CE55-CG55,"")</f>
        <v>1.3809540178044699E-9</v>
      </c>
      <c r="CM55" s="117"/>
      <c r="CN55" s="121">
        <f>IF(OR(BS55="NO",BG55="TX-CID"),"",BH55)</f>
        <v>0.92700729927007308</v>
      </c>
      <c r="CO55" s="121">
        <f>IF(CN55="","",BQ55)</f>
        <v>0.98055000000000003</v>
      </c>
      <c r="CP55" s="124">
        <f>IF(CO55="","",BR55)</f>
        <v>0.40816326530612246</v>
      </c>
      <c r="CQ55" s="123">
        <f>IF(CO55="","",BV55)</f>
        <v>0.20672419622846488</v>
      </c>
      <c r="CR55" s="122">
        <f>IF(CU55="","",BX55)</f>
        <v>7.0000000000138094</v>
      </c>
      <c r="CS55" s="122">
        <f>IF(CR55="","",LN(CR55))</f>
        <v>1.9459101490572861</v>
      </c>
      <c r="CT55" s="122">
        <f>IF(CS55="","",BM55)</f>
        <v>6.0680230482892276E-2</v>
      </c>
      <c r="CU55" s="121">
        <f>IF(CO55="","",BU55)</f>
        <v>0.42378079417901199</v>
      </c>
      <c r="CV55" s="6">
        <f>IF(CR55="","",CH55)</f>
        <v>2.8571428571428572</v>
      </c>
      <c r="CW55" s="5">
        <f>IF(CU55="","",E55)</f>
        <v>19.600000000000001</v>
      </c>
      <c r="CX55" s="5"/>
      <c r="CY55" s="119">
        <f>IF(CW55="","",IF(H55=1,$DJ$3*CV55^0.8*W55,IF(H55=2,$DK$3*CV55^0.8*W55,IF(H55=3,$DL$3*CV55^0.8*W55,"ERR"))))</f>
        <v>238.32024643109102</v>
      </c>
      <c r="CZ55" s="119" t="str">
        <f>IF(CY55="","",IF(BI55="OK",BJ55,""))</f>
        <v/>
      </c>
      <c r="DA55" s="119">
        <f>IF(CY55="","",IF(BK55="","",BK55))</f>
        <v>206.53724999999997</v>
      </c>
      <c r="DB55" s="120">
        <f>IF(CW55="","",BM55)</f>
        <v>6.0680230482892276E-2</v>
      </c>
      <c r="DC55" s="119"/>
      <c r="DD55" s="119">
        <f>IF(OR(CH55="",W55=""),"",IF(H55=1,$DJ$3*CH55^0.8*W55,IF(H55=2,$DK$3*CH55^0.8*W55,IF(H55=3,$DL$3*CH55^0.8*W55,"ERR"))))</f>
        <v>238.32024643109102</v>
      </c>
      <c r="DE55" s="119">
        <f>IF(OR(CH55="",W55=""),"",IF(H55=1,$DJ$3*W55,IF(H55=2,$DK$3*W55,IF(H55=3,$DL$3*W55,"ERR"))))</f>
        <v>102.89999999999999</v>
      </c>
      <c r="DF55" s="118">
        <f>IF(DE55="","",-1.485*LN(E55)+7.098)</f>
        <v>2.679338594138839</v>
      </c>
      <c r="DG55" s="119">
        <f>IF(OR(DF55="",W55=""),"",IF(H55=1,$DJ$3*DF55^0.8*W55,IF(H55=2,$DK$3*DF55^0.8*W55,IF(H55=3,$DL$3*CH55^0.8*W55,"ERR"))))</f>
        <v>238.32024643109102</v>
      </c>
      <c r="DH55" s="118"/>
      <c r="DJ55" s="117"/>
      <c r="DK55" s="117"/>
      <c r="DL55" s="117"/>
    </row>
    <row r="56" spans="1:116">
      <c r="A56" s="51" t="str">
        <f>IF(B56="","",IF(F56&lt;10,CONCATENATE(B56," - 0",F56),CONCATENATE(B56," - ",F56)))</f>
        <v>TRT05 - 19.75</v>
      </c>
      <c r="B56" s="114" t="s">
        <v>2</v>
      </c>
      <c r="C56" s="114">
        <v>19.45</v>
      </c>
      <c r="D56" s="114">
        <v>19.75</v>
      </c>
      <c r="E56" s="114">
        <f>AVERAGE(D56,C56)</f>
        <v>19.600000000000001</v>
      </c>
      <c r="F56" s="114">
        <f>IF(E56="","",CEILING(E56,0.25))</f>
        <v>19.75</v>
      </c>
      <c r="G56" s="114" t="s">
        <v>1</v>
      </c>
      <c r="H56" s="113">
        <v>3</v>
      </c>
      <c r="I56" s="2">
        <v>17.079999999999998</v>
      </c>
      <c r="J56" s="2">
        <v>11.19</v>
      </c>
      <c r="K56" s="112">
        <v>0.52600000000000002</v>
      </c>
      <c r="L56" s="45">
        <v>1.5369999999999999</v>
      </c>
      <c r="M56" s="49">
        <v>0.97</v>
      </c>
      <c r="N56" s="48">
        <v>9.3000000000000007</v>
      </c>
      <c r="O56" s="218"/>
      <c r="P56" s="217"/>
      <c r="Q56" s="216"/>
      <c r="R56" s="47">
        <f>IF(L56="","",L56/(1+L56))</f>
        <v>0.60583366180528186</v>
      </c>
      <c r="S56" s="47" t="str">
        <f>IF(R56="","",IF(R56&lt;0.3,"S",IF(R56&lt;0.45,"L",IF(AND(R56&lt;0.5,R56&gt;=0.45),"C",IF(R56&gt;=0.5,"SC","")))))</f>
        <v>SC</v>
      </c>
      <c r="T56" s="288">
        <f>L56*9.81/($P$28*(1+L56))</f>
        <v>0.40912539391761005</v>
      </c>
      <c r="U56" s="287">
        <f>N56</f>
        <v>9.3000000000000007</v>
      </c>
      <c r="V56" s="287">
        <f>IF(E56="","",IF(E56&lt;=10,IF(E56&lt;=N56,18*E56,18*N56+(18-0)*(E56-N56)),IF(AND(E56&gt;10,N56&lt;=10),18*N56+(18-0)*(10-N56)+(17.5-0)*(E56-10),IF(E56&lt;N56,(18*0)+17.5*(E56-10),(18*0)+17.5*(N56-10)+(17.5-0)*(E56-N56)))))</f>
        <v>348</v>
      </c>
      <c r="W56" s="37">
        <f>IF(E56="","",IF(E56&lt;=10,IF(E56&lt;=N56,18*E56,18*N56+(18-10)*(E56-N56)),IF(AND(E56&gt;10,N56&lt;=10),18*N56+(18-10)*(10-N56)+(17.5-10)*(E56-10),IF(E56&lt;N56,(18*10)+17.5*(E56-10),(18*10)+17.5*(N56-10)+(17.5-10)*(E56-N56)))))</f>
        <v>245</v>
      </c>
      <c r="Y56" s="45">
        <f>Y55</f>
        <v>1.397</v>
      </c>
      <c r="AE56" s="41">
        <v>1.4810000000000001</v>
      </c>
      <c r="AF56" s="40">
        <v>79.36</v>
      </c>
      <c r="AG56" s="3">
        <v>77.67</v>
      </c>
      <c r="AH56" s="3">
        <v>1150.29</v>
      </c>
      <c r="AI56" s="3">
        <v>1149.57</v>
      </c>
      <c r="AJ56" s="39">
        <f>IF(AF56="","",1-(AG56*AI56/AF56/AH56))</f>
        <v>2.1907962629129418E-2</v>
      </c>
      <c r="AK56" s="38">
        <v>4.9299999999999997E-2</v>
      </c>
      <c r="AL56" s="34">
        <v>200</v>
      </c>
      <c r="AM56" s="28">
        <v>605.57000000000005</v>
      </c>
      <c r="AN56" s="37">
        <f>AL56-AQ56</f>
        <v>90.5</v>
      </c>
      <c r="AO56" s="37">
        <f>AN56-AP56</f>
        <v>-0.45000000000004547</v>
      </c>
      <c r="AP56" s="37">
        <f>AM56-AR56</f>
        <v>90.950000000000045</v>
      </c>
      <c r="AQ56" s="28">
        <v>109.5</v>
      </c>
      <c r="AR56" s="28">
        <v>514.62</v>
      </c>
      <c r="BB56" s="111">
        <f>(AM56-AL56)/AK56/1000</f>
        <v>8.2265720081135907</v>
      </c>
      <c r="BE56" s="109">
        <f>AL56/AJ56/1000</f>
        <v>9.1291008381616745</v>
      </c>
      <c r="BG56" s="32" t="s">
        <v>0</v>
      </c>
      <c r="BH56" s="31">
        <f>IF(OR(AE56="",Y56=""),"",Y56/AE56)</f>
        <v>0.94328156650911543</v>
      </c>
      <c r="BI56" s="30" t="str">
        <f>IF(OR(AE56="",Y56=""),"",IF(Y56/AE56&gt;1.05,"OC",IF(Y56/AE56&lt;0.95,"UC","OK")))</f>
        <v>UC</v>
      </c>
      <c r="BJ56" s="37">
        <f>(AM56-AL56)/2</f>
        <v>202.78500000000003</v>
      </c>
      <c r="BL56" s="37" t="str">
        <f>IF(BZ56="=",BJ56,"")</f>
        <v/>
      </c>
      <c r="BM56" s="110">
        <f>AN56/(AM56-AL56)</f>
        <v>0.22314273738195622</v>
      </c>
      <c r="BN56" s="37" t="str">
        <f>IF(BM56="","",IF(AND(BM56&gt;=3/4,BM56&lt;=1.5),"HS",IF(AND(BM56&gt;=0.5,BM56&lt;=1),"NC",IF(AND(BM56&gt;=0,BM56&lt;=0.5),"OC",IF(BM56&lt;0,"H-OC","")))))</f>
        <v>OC</v>
      </c>
      <c r="BO56" s="109">
        <f>IF(BX56="","",BX56)</f>
        <v>3.4999999999773928</v>
      </c>
      <c r="BP56" s="37"/>
      <c r="BQ56" s="27">
        <f>BJ56/AL56</f>
        <v>1.0139250000000002</v>
      </c>
      <c r="BR56" s="26">
        <f>AL56/W56</f>
        <v>0.81632653061224492</v>
      </c>
      <c r="BS56" s="26" t="str">
        <f>IF(OR(BR56="",BH56=""),"",IF(AND(BR56&lt;1,BH56&gt;1),"NO",""))</f>
        <v/>
      </c>
      <c r="BT56" s="25" t="str">
        <f>IF(AA56="","",AA56/W56)</f>
        <v/>
      </c>
      <c r="BU56" s="24">
        <f>BU55</f>
        <v>0.42378079417901199</v>
      </c>
      <c r="BV56" s="23">
        <v>0.37217859834088984</v>
      </c>
      <c r="BW56" s="22">
        <f>(BQ56/BU56)^(1/0.8)</f>
        <v>2.9756421450875248</v>
      </c>
      <c r="BX56" s="21">
        <f>(BQ56/BV56)^(1/0.8)</f>
        <v>3.4999999999773928</v>
      </c>
      <c r="BY56" s="20">
        <f>BU56*BW56^0.8</f>
        <v>1.0139250000000004</v>
      </c>
      <c r="BZ56" s="19" t="str">
        <f>IF(BR56&lt;0.85,"",IF(AND(BR56&gt;=0.85,BR56&lt;=1.15),"=","&gt;"))</f>
        <v/>
      </c>
      <c r="CA56" s="19" t="str">
        <f>IF(BZ56="","",IF(AND(BQ56&gt;=0.2,BQ56&lt;=0.451),"OK","NO"))</f>
        <v/>
      </c>
      <c r="CB56" s="18" t="str">
        <f>IF(BZ56="","",IF(AL56&lt;=CF55/1.11,"OC","NC"))</f>
        <v/>
      </c>
      <c r="CC56" s="18" t="str">
        <f>IF(BZ56="","",IF(CA56="OK","NC","OC"))</f>
        <v/>
      </c>
      <c r="CD56" s="12">
        <f>IF(BQ56="","",IF(BW56="","",BW56*AL56))</f>
        <v>595.12842901750491</v>
      </c>
      <c r="CE56" s="17">
        <f>IF(BQ56="","",IF(BX56="","",BX56*AL56))</f>
        <v>699.99999999547856</v>
      </c>
      <c r="CG56" s="15">
        <f>CG55</f>
        <v>700</v>
      </c>
      <c r="CH56" s="14">
        <f>CG56/W56</f>
        <v>2.8571428571428572</v>
      </c>
      <c r="CI56" s="13" t="str">
        <f>IF(BQ56&lt;0.28,"Y","")</f>
        <v/>
      </c>
      <c r="CJ56" s="12" t="str">
        <f>IF(BQ56&lt;0.8,"Y","")</f>
        <v/>
      </c>
      <c r="CK56" s="12" t="str">
        <f>IF(BQ56&lt;BQ55,"","ERR")</f>
        <v>ERR</v>
      </c>
      <c r="CL56" s="11">
        <f>IFERROR(CE56-CG56,"")</f>
        <v>-4.5214392230263911E-9</v>
      </c>
      <c r="CN56" s="7">
        <f>IF(OR(BS56="NO",BG56="TX-CID"),"",BH56)</f>
        <v>0.94328156650911543</v>
      </c>
      <c r="CO56" s="7">
        <f>IF(CN56="","",BQ56)</f>
        <v>1.0139250000000002</v>
      </c>
      <c r="CP56" s="10">
        <f>IF(CO56="","",BR56)</f>
        <v>0.81632653061224492</v>
      </c>
      <c r="CQ56" s="9">
        <f>IF(CO56="","",BV56)</f>
        <v>0.37217859834088984</v>
      </c>
      <c r="CR56" s="8">
        <f>IF(CU56="","",BX56)</f>
        <v>3.4999999999773928</v>
      </c>
      <c r="CS56" s="8">
        <f>IF(CR56="","",LN(CR56))</f>
        <v>1.2527629684889088</v>
      </c>
      <c r="CT56" s="8">
        <f>IF(CS56="","",BM56)</f>
        <v>0.22314273738195622</v>
      </c>
      <c r="CU56" s="7">
        <f>IF(CO56="","",BU56)</f>
        <v>0.42378079417901199</v>
      </c>
      <c r="CV56" s="6">
        <f>IF(CR56="","",CH55)</f>
        <v>2.8571428571428572</v>
      </c>
      <c r="CW56" s="5">
        <f>IF(CU56="","",E56)</f>
        <v>19.600000000000001</v>
      </c>
      <c r="CY56" s="4">
        <f>IF(CW56="","",IF(H56=1,$DJ$3*CV56^0.8*W56,IF(H56=2,$DK$3*CV56^0.8*W56,IF(H56=3,$DL$3*CV56^0.8*W56,"ERR"))))</f>
        <v>238.32024643109102</v>
      </c>
      <c r="CZ56" s="4" t="str">
        <f>IF(CY56="","",IF(BI56="OK",BJ56,""))</f>
        <v/>
      </c>
      <c r="DA56" s="4" t="str">
        <f>IF(CY56="","",IF(BK56="","",BK56))</f>
        <v/>
      </c>
      <c r="DB56" s="6">
        <f>IF(CW56="","",BM56)</f>
        <v>0.22314273738195622</v>
      </c>
      <c r="DD56" s="4">
        <f>IF(OR(CH56="",W56=""),"",IF(H56=1,$DJ$3*CH56^0.8*W56,IF(H56=2,$DK$3*CH56^0.8*W56,IF(H56=3,$DL$3*CH56^0.8*W56,"ERR"))))</f>
        <v>238.32024643109102</v>
      </c>
      <c r="DE56" s="4">
        <f>IF(OR(CH56="",W56=""),"",IF(H56=1,$DJ$3*W56,IF(H56=2,$DK$3*W56,IF(H56=3,$DL$3*W56,"ERR"))))</f>
        <v>102.89999999999999</v>
      </c>
      <c r="DF56" s="3">
        <f>IF(DE56="","",-1.485*LN(E56)+7.098)</f>
        <v>2.679338594138839</v>
      </c>
      <c r="DG56" s="4">
        <f>IF(OR(DF56="",W56=""),"",IF(H56=1,$DJ$3*DF56^0.8*W56,IF(H56=2,$DK$3*DF56^0.8*W56,IF(H56=3,$DL$3*CH56^0.8*W56,"ERR"))))</f>
        <v>238.32024643109102</v>
      </c>
    </row>
    <row r="57" spans="1:116" s="162" customFormat="1">
      <c r="A57" s="286" t="str">
        <f>IF(B57="","",IF(F57&lt;10,CONCATENATE(B57," - 0",F57),CONCATENATE(B57," - ",F57)))</f>
        <v>TRT05 - 19.75</v>
      </c>
      <c r="B57" s="212" t="s">
        <v>2</v>
      </c>
      <c r="C57" s="212">
        <v>19.45</v>
      </c>
      <c r="D57" s="212">
        <v>19.75</v>
      </c>
      <c r="E57" s="212">
        <f>AVERAGE(D57,C57)</f>
        <v>19.600000000000001</v>
      </c>
      <c r="F57" s="212">
        <f>IF(E57="","",CEILING(E57,0.25))</f>
        <v>19.75</v>
      </c>
      <c r="G57" s="212" t="s">
        <v>1</v>
      </c>
      <c r="H57" s="211">
        <v>3</v>
      </c>
      <c r="I57" s="163">
        <v>17.5</v>
      </c>
      <c r="J57" s="163">
        <v>11.53</v>
      </c>
      <c r="K57" s="210">
        <v>0.51700000000000002</v>
      </c>
      <c r="L57" s="205">
        <v>1.462</v>
      </c>
      <c r="M57" s="209">
        <v>1</v>
      </c>
      <c r="N57" s="208">
        <v>9.3000000000000007</v>
      </c>
      <c r="O57" s="223"/>
      <c r="P57" s="222"/>
      <c r="Q57" s="221"/>
      <c r="R57" s="207">
        <f>IF(L57="","",L57/(1+L57))</f>
        <v>0.59382615759545088</v>
      </c>
      <c r="S57" s="207" t="str">
        <f>IF(R57="","",IF(R57&lt;0.3,"S",IF(R57&lt;0.45,"L",IF(AND(R57&lt;0.5,R57&gt;=0.45),"C",IF(R57&gt;=0.5,"SC","")))))</f>
        <v>SC</v>
      </c>
      <c r="T57" s="285">
        <f>L57*9.81/($P$28*(1+L57))</f>
        <v>0.4010166089498422</v>
      </c>
      <c r="U57" s="284">
        <f>N57</f>
        <v>9.3000000000000007</v>
      </c>
      <c r="V57" s="284">
        <f>IF(E57="","",IF(E57&lt;=10,IF(E57&lt;=N57,18*E57,18*N57+(18-0)*(E57-N57)),IF(AND(E57&gt;10,N57&lt;=10),18*N57+(18-0)*(10-N57)+(17.5-0)*(E57-10),IF(E57&lt;N57,(18*0)+17.5*(E57-10),(18*0)+17.5*(N57-10)+(17.5-0)*(E57-N57)))))</f>
        <v>348</v>
      </c>
      <c r="W57" s="186">
        <f>IF(E57="","",IF(E57&lt;=10,IF(E57&lt;=N57,18*E57,18*N57+(18-10)*(E57-N57)),IF(AND(E57&gt;10,N57&lt;=10),18*N57+(18-10)*(10-N57)+(17.5-10)*(E57-10),IF(E57&lt;N57,(18*10)+17.5*(E57-10),(18*10)+17.5*(N57-10)+(17.5-10)*(E57-N57)))))</f>
        <v>245</v>
      </c>
      <c r="X57" s="197"/>
      <c r="Y57" s="205">
        <f>Y56</f>
        <v>1.397</v>
      </c>
      <c r="Z57" s="164"/>
      <c r="AA57" s="189"/>
      <c r="AB57" s="204"/>
      <c r="AC57" s="203"/>
      <c r="AD57" s="202"/>
      <c r="AE57" s="201">
        <v>1.3520000000000001</v>
      </c>
      <c r="AF57" s="200">
        <v>78.900000000000006</v>
      </c>
      <c r="AG57" s="164">
        <v>76.41</v>
      </c>
      <c r="AH57" s="164">
        <v>1136.5</v>
      </c>
      <c r="AI57" s="164">
        <v>1121.19</v>
      </c>
      <c r="AJ57" s="199">
        <f>IF(AF57="","",1-(AG57*AI57/AF57/AH57))</f>
        <v>4.4604982611212152E-2</v>
      </c>
      <c r="AK57" s="198">
        <v>4.1200000000000001E-2</v>
      </c>
      <c r="AL57" s="197">
        <v>400</v>
      </c>
      <c r="AM57" s="189">
        <v>993.15</v>
      </c>
      <c r="AN57" s="186">
        <f>AL57-AQ57</f>
        <v>210.25</v>
      </c>
      <c r="AO57" s="186">
        <f>AN57-AP57</f>
        <v>0</v>
      </c>
      <c r="AP57" s="186">
        <f>AM57-AR57</f>
        <v>210.25</v>
      </c>
      <c r="AQ57" s="189">
        <v>189.75</v>
      </c>
      <c r="AR57" s="189">
        <v>782.9</v>
      </c>
      <c r="AS57" s="196"/>
      <c r="AT57" s="66"/>
      <c r="AU57" s="192"/>
      <c r="AV57" s="192"/>
      <c r="AW57" s="195"/>
      <c r="AX57" s="192"/>
      <c r="AY57" s="192"/>
      <c r="AZ57" s="192"/>
      <c r="BA57" s="195"/>
      <c r="BB57" s="194">
        <f>(AM57-AL57)/AK57/1000</f>
        <v>14.396844660194175</v>
      </c>
      <c r="BC57" s="189"/>
      <c r="BD57" s="189"/>
      <c r="BE57" s="187">
        <f>AL57/AJ57/1000</f>
        <v>8.9676080245675021</v>
      </c>
      <c r="BF57" s="193"/>
      <c r="BG57" s="192" t="s">
        <v>0</v>
      </c>
      <c r="BH57" s="292">
        <f>IF(OR(AE57="",Y57=""),"",Y57/AE57)</f>
        <v>1.0332840236686389</v>
      </c>
      <c r="BI57" s="190" t="str">
        <f>IF(OR(AE57="",Y57=""),"",IF(Y57/AE57&gt;1.05,"OC",IF(Y57/AE57&lt;0.95,"UC","OK")))</f>
        <v>OK</v>
      </c>
      <c r="BJ57" s="186">
        <f>(AM57-AL57)/2</f>
        <v>296.57499999999999</v>
      </c>
      <c r="BK57" s="189"/>
      <c r="BL57" s="186" t="str">
        <f>IF(BZ57="=",BJ57,"")</f>
        <v/>
      </c>
      <c r="BM57" s="188">
        <f>AN57/(AM57-AL57)</f>
        <v>0.3544634578099975</v>
      </c>
      <c r="BN57" s="186" t="str">
        <f>IF(BM57="","",IF(AND(BM57&gt;=3/4,BM57&lt;=1.5),"HS",IF(AND(BM57&gt;=0.5,BM57&lt;=1),"NC",IF(AND(BM57&gt;=0,BM57&lt;=0.5),"OC",IF(BM57&lt;0,"H-OC","")))))</f>
        <v>OC</v>
      </c>
      <c r="BO57" s="187">
        <f>IF(BX57="","",BX57)</f>
        <v>1.7499999999976443</v>
      </c>
      <c r="BP57" s="186"/>
      <c r="BQ57" s="185">
        <f>BJ57/AL57</f>
        <v>0.74143749999999997</v>
      </c>
      <c r="BR57" s="184">
        <f>AL57/W57</f>
        <v>1.6326530612244898</v>
      </c>
      <c r="BS57" s="184" t="str">
        <f>IF(OR(BR57="",BH57=""),"",IF(AND(BR57&lt;1,BH57&gt;1),"NO",""))</f>
        <v/>
      </c>
      <c r="BT57" s="183" t="str">
        <f>IF(AA57="","",AA57/W57)</f>
        <v/>
      </c>
      <c r="BU57" s="182">
        <f>BU56</f>
        <v>0.42378079417901199</v>
      </c>
      <c r="BV57" s="181">
        <v>0.47385351747640581</v>
      </c>
      <c r="BW57" s="180">
        <f>(BQ57/BU57)^(1/0.8)</f>
        <v>2.0121789274400541</v>
      </c>
      <c r="BX57" s="179">
        <f>(BQ57/BV57)^(1/0.8)</f>
        <v>1.7499999999976443</v>
      </c>
      <c r="BY57" s="178">
        <f>BU57*BW57^0.8</f>
        <v>0.74143749999999997</v>
      </c>
      <c r="BZ57" s="177" t="str">
        <f>IF(BR57&lt;0.85,"",IF(AND(BR57&gt;=0.85,BR57&lt;=1.15),"=","&gt;"))</f>
        <v>&gt;</v>
      </c>
      <c r="CA57" s="177" t="str">
        <f>IF(BZ57="","",IF(AND(BQ57&gt;=0.2,BQ57&lt;=0.451),"OK","NO"))</f>
        <v>NO</v>
      </c>
      <c r="CB57" s="176" t="str">
        <f>IF(BZ57="","",IF(AL57&lt;=CF55/1.11,"OC","NC"))</f>
        <v>OC</v>
      </c>
      <c r="CC57" s="176" t="str">
        <f>IF(BZ57="","",IF(CA57="OK","NC","OC"))</f>
        <v>OC</v>
      </c>
      <c r="CD57" s="172">
        <f>IF(BQ57="","",IF(BW57="","",BW57*AL57))</f>
        <v>804.87157097602164</v>
      </c>
      <c r="CE57" s="175">
        <f>IF(BQ57="","",IF(BX57="","",BX57*AL57))</f>
        <v>699.99999999905776</v>
      </c>
      <c r="CF57" s="174"/>
      <c r="CG57" s="66">
        <f>CG56</f>
        <v>700</v>
      </c>
      <c r="CH57" s="220">
        <f>CG57/W57</f>
        <v>2.8571428571428572</v>
      </c>
      <c r="CI57" s="173" t="str">
        <f>IF(BQ57&lt;0.28,"Y","")</f>
        <v/>
      </c>
      <c r="CJ57" s="172" t="str">
        <f>IF(BQ57&lt;0.8,"Y","")</f>
        <v>Y</v>
      </c>
      <c r="CK57" s="172" t="str">
        <f>IF(BQ57&lt;BQ56,"","ERR")</f>
        <v/>
      </c>
      <c r="CL57" s="11">
        <f>IFERROR(CE57-CG57,"")</f>
        <v>-9.4223651103675365E-10</v>
      </c>
      <c r="CM57" s="163"/>
      <c r="CN57" s="168">
        <f>IF(OR(BS57="NO",BG57="TX-CID"),"",BH57)</f>
        <v>1.0332840236686389</v>
      </c>
      <c r="CO57" s="168">
        <f>IF(CN57="","",BQ57)</f>
        <v>0.74143749999999997</v>
      </c>
      <c r="CP57" s="171">
        <f>IF(CO57="","",BR57)</f>
        <v>1.6326530612244898</v>
      </c>
      <c r="CQ57" s="170">
        <f>IF(CO57="","",BV57)</f>
        <v>0.47385351747640581</v>
      </c>
      <c r="CR57" s="169">
        <f>IF(CU57="","",BX57)</f>
        <v>1.7499999999976443</v>
      </c>
      <c r="CS57" s="169">
        <f>IF(CR57="","",LN(CR57))</f>
        <v>0.55961578793407663</v>
      </c>
      <c r="CT57" s="169">
        <f>IF(CS57="","",BM57)</f>
        <v>0.3544634578099975</v>
      </c>
      <c r="CU57" s="168">
        <f>IF(CO57="","",BU57)</f>
        <v>0.42378079417901199</v>
      </c>
      <c r="CV57" s="166">
        <f>IF(CR57="","",CH55)</f>
        <v>2.8571428571428572</v>
      </c>
      <c r="CW57" s="167">
        <f>IF(CU57="","",E57)</f>
        <v>19.600000000000001</v>
      </c>
      <c r="CX57" s="167"/>
      <c r="CY57" s="165">
        <f>IF(CW57="","",IF(H57=1,$DJ$3*CV57^0.8*W57,IF(H57=2,$DK$3*CV57^0.8*W57,IF(H57=3,$DL$3*CV57^0.8*W57,"ERR"))))</f>
        <v>238.32024643109102</v>
      </c>
      <c r="CZ57" s="165">
        <f>IF(CY57="","",IF(BI57="OK",BJ57,""))</f>
        <v>296.57499999999999</v>
      </c>
      <c r="DA57" s="165" t="str">
        <f>IF(CY57="","",IF(BK57="","",BK57))</f>
        <v/>
      </c>
      <c r="DB57" s="166">
        <f>IF(CW57="","",BM57)</f>
        <v>0.3544634578099975</v>
      </c>
      <c r="DC57" s="165"/>
      <c r="DD57" s="165">
        <f>IF(OR(CH57="",W57=""),"",IF(H57=1,$DJ$3*CH57^0.8*W57,IF(H57=2,$DK$3*CH57^0.8*W57,IF(H57=3,$DL$3*CH57^0.8*W57,"ERR"))))</f>
        <v>238.32024643109102</v>
      </c>
      <c r="DE57" s="165">
        <f>IF(OR(CH57="",W57=""),"",IF(H57=1,$DJ$3*W57,IF(H57=2,$DK$3*W57,IF(H57=3,$DL$3*W57,"ERR"))))</f>
        <v>102.89999999999999</v>
      </c>
      <c r="DF57" s="164">
        <f>IF(DE57="","",-1.485*LN(E57)+7.098)</f>
        <v>2.679338594138839</v>
      </c>
      <c r="DG57" s="165">
        <f>IF(OR(DF57="",W57=""),"",IF(H57=1,$DJ$3*DF57^0.8*W57,IF(H57=2,$DK$3*DF57^0.8*W57,IF(H57=3,$DL$3*CH57^0.8*W57,"ERR"))))</f>
        <v>238.32024643109102</v>
      </c>
      <c r="DH57" s="164"/>
      <c r="DJ57" s="163"/>
      <c r="DK57" s="163"/>
      <c r="DL57" s="163"/>
    </row>
    <row r="58" spans="1:116" s="116" customFormat="1">
      <c r="A58" s="283" t="str">
        <f>IF(B58="","",IF(F58&lt;10,CONCATENATE(B58," - 0",F58),CONCATENATE(B58," - ",F58)))</f>
        <v>TRT05 - 22.5</v>
      </c>
      <c r="B58" s="160" t="s">
        <v>2</v>
      </c>
      <c r="C58" s="160">
        <v>22.3</v>
      </c>
      <c r="D58" s="160">
        <v>22.6</v>
      </c>
      <c r="E58" s="160">
        <f>AVERAGE(D58,C58)</f>
        <v>22.450000000000003</v>
      </c>
      <c r="F58" s="160">
        <f>IF(E58="","",CEILING(E58,0.25))</f>
        <v>22.5</v>
      </c>
      <c r="G58" s="160" t="s">
        <v>1</v>
      </c>
      <c r="H58" s="159">
        <v>3</v>
      </c>
      <c r="I58" s="117">
        <v>17.579999999999998</v>
      </c>
      <c r="J58" s="117">
        <v>11.74</v>
      </c>
      <c r="K58" s="158">
        <v>0.497</v>
      </c>
      <c r="L58" s="150">
        <v>1.419</v>
      </c>
      <c r="M58" s="157">
        <v>1</v>
      </c>
      <c r="N58" s="156">
        <v>9.3000000000000007</v>
      </c>
      <c r="O58" s="155">
        <f>(P58*(1+AVERAGE(L58:L60))+(9.81*M58*AVERAGE(L58:L60)))/(1+AVERAGE(L58:L60))</f>
        <v>17.894288470815244</v>
      </c>
      <c r="P58" s="154">
        <f>AVERAGE(J58:J60)</f>
        <v>12.343333333333334</v>
      </c>
      <c r="Q58" s="153">
        <f>AVERAGE(K58:K60)</f>
        <v>0.45233333333333331</v>
      </c>
      <c r="R58" s="152">
        <f>IF(L58="","",L58/(1+L58))</f>
        <v>0.58660603555188096</v>
      </c>
      <c r="S58" s="152" t="str">
        <f>IF(R58="","",IF(R58&lt;0.3,"S",IF(R58&lt;0.45,"L",IF(AND(R58&lt;0.5,R58&gt;=0.45),"C",IF(R58&gt;=0.5,"SC","")))))</f>
        <v>SC</v>
      </c>
      <c r="T58" s="290">
        <f>L58*9.81/($P$28*(1+L58))</f>
        <v>0.39614078995621521</v>
      </c>
      <c r="U58" s="289">
        <f>N58</f>
        <v>9.3000000000000007</v>
      </c>
      <c r="V58" s="289">
        <f>IF(E58="","",IF(E58&lt;=10,IF(E58&lt;=N58,18*E58,18*N58+(18-0)*(E58-N58)),IF(AND(E58&gt;10,N58&lt;=10),18*N58+(18-0)*(10-N58)+(17.5-0)*(E58-10),IF(E58&lt;N58,(18*0)+17.5*(E58-10),(18*0)+17.5*(N58-10)+(17.5-0)*(E58-N58)))))</f>
        <v>397.87500000000006</v>
      </c>
      <c r="W58" s="141">
        <f>IF(E58="","",IF(E58&lt;=10,IF(E58&lt;=N58,18*E58,18*N58+(18-10)*(E58-N58)),IF(AND(E58&gt;10,N58&lt;=10),18*N58+(18-10)*(10-N58)+(17.5-10)*(E58-10),IF(E58&lt;N58,(18*10)+17.5*(E58-10),(18*10)+17.5*(N58-10)+(17.5-10)*(E58-N58)))))</f>
        <v>266.375</v>
      </c>
      <c r="X58" s="142">
        <v>260</v>
      </c>
      <c r="Y58" s="150">
        <v>1.292</v>
      </c>
      <c r="Z58" s="118">
        <v>2.2999999999999998</v>
      </c>
      <c r="AA58" s="136">
        <v>600</v>
      </c>
      <c r="AB58" s="149"/>
      <c r="AC58" s="148"/>
      <c r="AD58" s="147"/>
      <c r="AE58" s="146">
        <v>1.333</v>
      </c>
      <c r="AF58" s="145">
        <v>79.150000000000006</v>
      </c>
      <c r="AG58" s="118">
        <v>78.23</v>
      </c>
      <c r="AH58" s="118">
        <v>1138.3</v>
      </c>
      <c r="AI58" s="118">
        <v>1110.8800000000001</v>
      </c>
      <c r="AJ58" s="144">
        <f>IF(AF58="","",1-(AG58*AI58/AF58/AH58))</f>
        <v>3.5432059500238866E-2</v>
      </c>
      <c r="AK58" s="143">
        <v>5.8599999999999999E-2</v>
      </c>
      <c r="AL58" s="142">
        <v>100</v>
      </c>
      <c r="AM58" s="136">
        <v>354.07</v>
      </c>
      <c r="AN58" s="141">
        <f>AL58-AQ58</f>
        <v>13.560000000000002</v>
      </c>
      <c r="AO58" s="141">
        <f>AN58-AP58</f>
        <v>0</v>
      </c>
      <c r="AP58" s="141">
        <f>AM58-AR58</f>
        <v>13.560000000000002</v>
      </c>
      <c r="AQ58" s="136">
        <v>86.44</v>
      </c>
      <c r="AR58" s="136">
        <v>340.51</v>
      </c>
      <c r="AS58" s="140"/>
      <c r="AT58" s="139">
        <v>55</v>
      </c>
      <c r="AU58" s="133">
        <v>17</v>
      </c>
      <c r="AV58" s="133">
        <v>25</v>
      </c>
      <c r="AW58" s="138">
        <v>27</v>
      </c>
      <c r="AX58" s="133">
        <v>50</v>
      </c>
      <c r="AY58" s="133">
        <v>16</v>
      </c>
      <c r="AZ58" s="133">
        <v>20</v>
      </c>
      <c r="BA58" s="138">
        <v>26</v>
      </c>
      <c r="BB58" s="137">
        <f>(AM58-AL58)/AK58/1000</f>
        <v>4.3356655290102388</v>
      </c>
      <c r="BC58" s="136"/>
      <c r="BD58" s="136"/>
      <c r="BE58" s="135">
        <f>AL58/AJ58/1000</f>
        <v>2.822302779191423</v>
      </c>
      <c r="BF58" s="134"/>
      <c r="BG58" s="133" t="s">
        <v>0</v>
      </c>
      <c r="BH58" s="291">
        <f>IF(OR(AE58="",Y58=""),"",Y58/AE58)</f>
        <v>0.96924231057764443</v>
      </c>
      <c r="BI58" s="131" t="str">
        <f>IF(OR(AE58="",Y58=""),"",IF(Y58/AE58&gt;1.05,"OC",IF(Y58/AE58&lt;0.95,"UC","OK")))</f>
        <v>OK</v>
      </c>
      <c r="BJ58" s="130">
        <f>(AM58-AL58)/2</f>
        <v>127.035</v>
      </c>
      <c r="BK58" s="37">
        <f>AVERAGE(BJ58:BJ60)+(_xlfn.COVARIANCE.P(AL58:AL60,BJ58:BJ60)/_xlfn.STDEV.P(AL58:AL60)^2)*(W58-AVERAGE(AL58:AL60))</f>
        <v>188.33211026785713</v>
      </c>
      <c r="BL58" s="37" t="str">
        <f>IF(BZ58="=",BJ58,"")</f>
        <v/>
      </c>
      <c r="BM58" s="110">
        <f>AN58/(AM58-AL58)</f>
        <v>5.3371118195772831E-2</v>
      </c>
      <c r="BN58" s="37" t="str">
        <f>IF(BM58="","",IF(AND(BM58&gt;=3/4,BM58&lt;=1.5),"HS",IF(AND(BM58&gt;=0.5,BM58&lt;=1),"NC",IF(AND(BM58&gt;=0,BM58&lt;=0.5),"OC",IF(BM58&lt;0,"H-OC","")))))</f>
        <v>OC</v>
      </c>
      <c r="BO58" s="109">
        <f>IF(BX58="","",BX58)</f>
        <v>6.0000000000088063</v>
      </c>
      <c r="BP58" s="37"/>
      <c r="BQ58" s="27">
        <f>BJ58/AL58</f>
        <v>1.2703499999999999</v>
      </c>
      <c r="BR58" s="129">
        <f>AL58/W58</f>
        <v>0.37541060534960113</v>
      </c>
      <c r="BS58" s="129" t="str">
        <f>IF(OR(BR58="",BH58=""),"",IF(AND(BR58&lt;1,BH58&gt;1),"NO",""))</f>
        <v/>
      </c>
      <c r="BT58" s="128">
        <f>IF(AA58="","",AA58/W58)</f>
        <v>2.2524636320976068</v>
      </c>
      <c r="BU58" s="24">
        <v>0.45</v>
      </c>
      <c r="BV58" s="23">
        <v>0.3029719286966544</v>
      </c>
      <c r="BW58" s="22">
        <f>(BQ58/BU58)^(1/0.8)</f>
        <v>3.65922064637269</v>
      </c>
      <c r="BX58" s="21">
        <f>(BQ58/BV58)^(1/0.8)</f>
        <v>6.0000000000088063</v>
      </c>
      <c r="BY58" s="20">
        <f>BU58*BW58^0.8</f>
        <v>1.2703499999999996</v>
      </c>
      <c r="BZ58" s="19" t="str">
        <f>IF(BR58&lt;0.85,"",IF(AND(BR58&gt;=0.85,BR58&lt;=1.15),"=","&gt;"))</f>
        <v/>
      </c>
      <c r="CA58" s="19" t="str">
        <f>IF(BZ58="","",IF(AND(BQ58&gt;=0.2,BQ58&lt;=0.451),"OK","NO"))</f>
        <v/>
      </c>
      <c r="CB58" s="18" t="str">
        <f>IF(BZ58="","",IF(AL58&lt;=CF58/1.11,"OC","NC"))</f>
        <v/>
      </c>
      <c r="CC58" s="18" t="str">
        <f>IF(BZ58="","",IF(CA58="OK","NC","OC"))</f>
        <v/>
      </c>
      <c r="CD58" s="12"/>
      <c r="CE58" s="17">
        <f>IF(BQ58="","",IF(BX58="","",BX58*AL58))</f>
        <v>600.00000000088062</v>
      </c>
      <c r="CF58" s="16">
        <f>AVERAGE(CD58:CD60)</f>
        <v>600.99686706842886</v>
      </c>
      <c r="CG58" s="15">
        <v>600</v>
      </c>
      <c r="CH58" s="14">
        <f>CG58/W58</f>
        <v>2.2524636320976068</v>
      </c>
      <c r="CI58" s="13" t="str">
        <f>IF(BQ58&lt;0.28,"Y","")</f>
        <v/>
      </c>
      <c r="CJ58" s="12" t="str">
        <f>IF(BQ58&lt;0.8,"Y","")</f>
        <v/>
      </c>
      <c r="CK58" s="126"/>
      <c r="CL58" s="125">
        <f>IFERROR(CE58-CG58,"")</f>
        <v>8.8061824499163777E-10</v>
      </c>
      <c r="CM58" s="117"/>
      <c r="CN58" s="121">
        <f>IF(OR(BS58="NO",BG58="TX-CID"),"",BH58)</f>
        <v>0.96924231057764443</v>
      </c>
      <c r="CO58" s="121">
        <f>IF(CN58="","",BQ58)</f>
        <v>1.2703499999999999</v>
      </c>
      <c r="CP58" s="124">
        <f>IF(CO58="","",BR58)</f>
        <v>0.37541060534960113</v>
      </c>
      <c r="CQ58" s="123">
        <f>IF(CO58="","",BV58)</f>
        <v>0.3029719286966544</v>
      </c>
      <c r="CR58" s="122">
        <f>IF(CU58="","",BX58)</f>
        <v>6.0000000000088063</v>
      </c>
      <c r="CS58" s="122">
        <f>IF(CR58="","",LN(CR58))</f>
        <v>1.7917594692295227</v>
      </c>
      <c r="CT58" s="122">
        <f>IF(CS58="","",BM58)</f>
        <v>5.3371118195772831E-2</v>
      </c>
      <c r="CU58" s="121">
        <f>IF(CO58="","",BU58)</f>
        <v>0.45</v>
      </c>
      <c r="CV58" s="6">
        <f>IF(CR58="","",CH58)</f>
        <v>2.2524636320976068</v>
      </c>
      <c r="CW58" s="5">
        <f>IF(CU58="","",E58)</f>
        <v>22.450000000000003</v>
      </c>
      <c r="CX58" s="5"/>
      <c r="CY58" s="119">
        <f>IF(CW58="","",IF(H58=1,$DJ$3*CV58^0.8*W58,IF(H58=2,$DK$3*CV58^0.8*W58,IF(H58=3,$DL$3*CV58^0.8*W58,"ERR"))))</f>
        <v>214.22442373483267</v>
      </c>
      <c r="CZ58" s="119">
        <f>IF(CY58="","",IF(BI58="OK",BJ58,""))</f>
        <v>127.035</v>
      </c>
      <c r="DA58" s="119">
        <f>IF(CY58="","",IF(BK58="","",BK58))</f>
        <v>188.33211026785713</v>
      </c>
      <c r="DB58" s="120">
        <f>IF(CW58="","",BM58)</f>
        <v>5.3371118195772831E-2</v>
      </c>
      <c r="DC58" s="119"/>
      <c r="DD58" s="119">
        <f>IF(OR(CH58="",W58=""),"",IF(H58=1,$DJ$3*CH58^0.8*W58,IF(H58=2,$DK$3*CH58^0.8*W58,IF(H58=3,$DL$3*CH58^0.8*W58,"ERR"))))</f>
        <v>214.22442373483267</v>
      </c>
      <c r="DE58" s="119">
        <f>IF(OR(CH58="",W58=""),"",IF(H58=1,$DJ$3*W58,IF(H58=2,$DK$3*W58,IF(H58=3,$DL$3*W58,"ERR"))))</f>
        <v>111.8775</v>
      </c>
      <c r="DF58" s="118">
        <f>IF(DE58="","",-1.485*LN(E58)+7.098)</f>
        <v>2.4777334379304286</v>
      </c>
      <c r="DG58" s="119">
        <f>IF(OR(DF58="",W58=""),"",IF(H58=1,$DJ$3*DF58^0.8*W58,IF(H58=2,$DK$3*DF58^0.8*W58,IF(H58=3,$DL$3*CH58^0.8*W58,"ERR"))))</f>
        <v>214.22442373483267</v>
      </c>
      <c r="DH58" s="118"/>
      <c r="DJ58" s="117"/>
      <c r="DK58" s="117"/>
      <c r="DL58" s="117"/>
    </row>
    <row r="59" spans="1:116">
      <c r="A59" s="51" t="str">
        <f>IF(B59="","",IF(F59&lt;10,CONCATENATE(B59," - 0",F59),CONCATENATE(B59," - ",F59)))</f>
        <v>TRT05 - 22.5</v>
      </c>
      <c r="B59" s="114" t="s">
        <v>2</v>
      </c>
      <c r="C59" s="114">
        <v>22.3</v>
      </c>
      <c r="D59" s="114">
        <v>22.6</v>
      </c>
      <c r="E59" s="114">
        <f>AVERAGE(D59,C59)</f>
        <v>22.450000000000003</v>
      </c>
      <c r="F59" s="114">
        <f>IF(E59="","",CEILING(E59,0.25))</f>
        <v>22.5</v>
      </c>
      <c r="G59" s="114" t="s">
        <v>1</v>
      </c>
      <c r="H59" s="113">
        <v>3</v>
      </c>
      <c r="I59" s="2">
        <v>18.010000000000002</v>
      </c>
      <c r="J59" s="2">
        <v>12.61</v>
      </c>
      <c r="K59" s="112">
        <v>0.42799999999999999</v>
      </c>
      <c r="L59" s="45">
        <v>1.252</v>
      </c>
      <c r="M59" s="49">
        <v>0.97</v>
      </c>
      <c r="N59" s="48">
        <v>9.3000000000000007</v>
      </c>
      <c r="O59" s="218"/>
      <c r="P59" s="217"/>
      <c r="Q59" s="216"/>
      <c r="R59" s="47">
        <f>IF(L59="","",L59/(1+L59))</f>
        <v>0.55595026642984025</v>
      </c>
      <c r="S59" s="47" t="str">
        <f>IF(R59="","",IF(R59&lt;0.3,"S",IF(R59&lt;0.45,"L",IF(AND(R59&lt;0.5,R59&gt;=0.45),"C",IF(R59&gt;=0.5,"SC","")))))</f>
        <v>SC</v>
      </c>
      <c r="T59" s="288">
        <f>L59*9.81/($P$28*(1+L59))</f>
        <v>0.37543864940408905</v>
      </c>
      <c r="U59" s="287">
        <f>N59</f>
        <v>9.3000000000000007</v>
      </c>
      <c r="V59" s="287">
        <f>IF(E59="","",IF(E59&lt;=10,IF(E59&lt;=N59,18*E59,18*N59+(18-0)*(E59-N59)),IF(AND(E59&gt;10,N59&lt;=10),18*N59+(18-0)*(10-N59)+(17.5-0)*(E59-10),IF(E59&lt;N59,(18*0)+17.5*(E59-10),(18*0)+17.5*(N59-10)+(17.5-0)*(E59-N59)))))</f>
        <v>397.87500000000006</v>
      </c>
      <c r="W59" s="37">
        <f>IF(E59="","",IF(E59&lt;=10,IF(E59&lt;=N59,18*E59,18*N59+(18-10)*(E59-N59)),IF(AND(E59&gt;10,N59&lt;=10),18*N59+(18-10)*(10-N59)+(17.5-10)*(E59-10),IF(E59&lt;N59,(18*10)+17.5*(E59-10),(18*10)+17.5*(N59-10)+(17.5-10)*(E59-N59)))))</f>
        <v>266.375</v>
      </c>
      <c r="Y59" s="45">
        <f>Y58</f>
        <v>1.292</v>
      </c>
      <c r="AE59" s="41">
        <v>1.1879999999999999</v>
      </c>
      <c r="AF59" s="40">
        <v>79.09</v>
      </c>
      <c r="AG59" s="3">
        <v>78.3</v>
      </c>
      <c r="AH59" s="3">
        <v>1132.32</v>
      </c>
      <c r="AI59" s="3">
        <v>1111.57</v>
      </c>
      <c r="AJ59" s="39">
        <f>IF(AF59="","",1-(AG59*AI59/AF59/AH59))</f>
        <v>2.8130785426918825E-2</v>
      </c>
      <c r="AK59" s="38">
        <v>0.1123</v>
      </c>
      <c r="AL59" s="34">
        <v>200</v>
      </c>
      <c r="AM59" s="28">
        <v>493.55</v>
      </c>
      <c r="AN59" s="37">
        <f>AL59-AQ59</f>
        <v>6.9300000000000068</v>
      </c>
      <c r="AO59" s="37">
        <f>AN59-AP59</f>
        <v>0</v>
      </c>
      <c r="AP59" s="37">
        <f>AM59-AR59</f>
        <v>6.9300000000000068</v>
      </c>
      <c r="AQ59" s="28">
        <v>193.07</v>
      </c>
      <c r="AR59" s="28">
        <v>486.62</v>
      </c>
      <c r="BB59" s="111">
        <f>(AM59-AL59)/AK59/1000</f>
        <v>2.6139804096170973</v>
      </c>
      <c r="BE59" s="109">
        <f>AL59/AJ59/1000</f>
        <v>7.1096486274647921</v>
      </c>
      <c r="BG59" s="32" t="s">
        <v>0</v>
      </c>
      <c r="BH59" s="31">
        <f>IF(OR(AE59="",Y59=""),"",Y59/AE59)</f>
        <v>1.0875420875420876</v>
      </c>
      <c r="BI59" s="30" t="str">
        <f>IF(OR(AE59="",Y59=""),"",IF(Y59/AE59&gt;1.05,"OC",IF(Y59/AE59&lt;0.95,"UC","OK")))</f>
        <v>OC</v>
      </c>
      <c r="BJ59" s="37">
        <f>(AM59-AL59)/2</f>
        <v>146.77500000000001</v>
      </c>
      <c r="BL59" s="37" t="str">
        <f>IF(BZ59="=",BJ59,"")</f>
        <v/>
      </c>
      <c r="BM59" s="110">
        <f>AN59/(AM59-AL59)</f>
        <v>2.3607562595809935E-2</v>
      </c>
      <c r="BN59" s="37" t="str">
        <f>IF(BM59="","",IF(AND(BM59&gt;=3/4,BM59&lt;=1.5),"HS",IF(AND(BM59&gt;=0.5,BM59&lt;=1),"NC",IF(AND(BM59&gt;=0,BM59&lt;=0.5),"OC",IF(BM59&lt;0,"H-OC","")))))</f>
        <v>OC</v>
      </c>
      <c r="BO59" s="109">
        <f>IF(BX59="","",BX59)</f>
        <v>2.9999999999872853</v>
      </c>
      <c r="BP59" s="37"/>
      <c r="BQ59" s="27">
        <f>BJ59/AL59</f>
        <v>0.73387500000000006</v>
      </c>
      <c r="BR59" s="26">
        <f>AL59/W59</f>
        <v>0.75082121069920227</v>
      </c>
      <c r="BS59" s="26" t="str">
        <f>IF(OR(BR59="",BH59=""),"",IF(AND(BR59&lt;1,BH59&gt;1),"NO",""))</f>
        <v>NO</v>
      </c>
      <c r="BT59" s="25" t="str">
        <f>IF(AA59="","",AA59/W59)</f>
        <v/>
      </c>
      <c r="BU59" s="24">
        <f>BU58</f>
        <v>0.45</v>
      </c>
      <c r="BV59" s="23">
        <v>0.30473693110447919</v>
      </c>
      <c r="BW59" s="22">
        <f>(BQ59/BU59)^(1/0.8)</f>
        <v>1.8429433025202635</v>
      </c>
      <c r="BX59" s="21">
        <f>(BQ59/BV59)^(1/0.8)</f>
        <v>2.9999999999872853</v>
      </c>
      <c r="BY59" s="20">
        <f>BU59*BW59^0.8</f>
        <v>0.73387500000000006</v>
      </c>
      <c r="BZ59" s="19" t="str">
        <f>IF(BR59&lt;0.85,"",IF(AND(BR59&gt;=0.85,BR59&lt;=1.15),"=","&gt;"))</f>
        <v/>
      </c>
      <c r="CA59" s="19" t="str">
        <f>IF(BZ59="","",IF(AND(BQ59&gt;=0.2,BQ59&lt;=0.451),"OK","NO"))</f>
        <v/>
      </c>
      <c r="CB59" s="18" t="str">
        <f>IF(BZ59="","",IF(AL59&lt;=CF58/1.11,"OC","NC"))</f>
        <v/>
      </c>
      <c r="CC59" s="18" t="str">
        <f>IF(BZ59="","",IF(CA59="OK","NC","OC"))</f>
        <v/>
      </c>
      <c r="CE59" s="17">
        <f>IF(BQ59="","",IF(BX59="","",BX59*AL59))</f>
        <v>599.99999999745705</v>
      </c>
      <c r="CG59" s="15">
        <f>CG58</f>
        <v>600</v>
      </c>
      <c r="CH59" s="14">
        <f>CG59/W59</f>
        <v>2.2524636320976068</v>
      </c>
      <c r="CI59" s="13" t="str">
        <f>IF(BQ59&lt;0.28,"Y","")</f>
        <v/>
      </c>
      <c r="CJ59" s="12" t="str">
        <f>IF(BQ59&lt;0.8,"Y","")</f>
        <v>Y</v>
      </c>
      <c r="CK59" s="12" t="str">
        <f>IF(BQ59&lt;BQ58,"","ERR")</f>
        <v/>
      </c>
      <c r="CL59" s="11">
        <f>IFERROR(CE59-CG59,"")</f>
        <v>-2.5429471861571074E-9</v>
      </c>
      <c r="CN59" s="7" t="str">
        <f>IF(OR(BS59="NO",BG59="TX-CID"),"",BH59)</f>
        <v/>
      </c>
      <c r="CO59" s="7" t="str">
        <f>IF(CN59="","",BQ59)</f>
        <v/>
      </c>
      <c r="CP59" s="10" t="str">
        <f>IF(CO59="","",BR59)</f>
        <v/>
      </c>
      <c r="CQ59" s="9" t="str">
        <f>IF(CO59="","",BV59)</f>
        <v/>
      </c>
      <c r="CR59" s="8" t="str">
        <f>IF(CU59="","",BX59)</f>
        <v/>
      </c>
      <c r="CS59" s="8" t="str">
        <f>IF(CR59="","",LN(CR59))</f>
        <v/>
      </c>
      <c r="CT59" s="8" t="str">
        <f>IF(CS59="","",BM59)</f>
        <v/>
      </c>
      <c r="CU59" s="7" t="str">
        <f>IF(CO59="","",BU59)</f>
        <v/>
      </c>
      <c r="CV59" s="6" t="str">
        <f>IF(CR59="","",CH58)</f>
        <v/>
      </c>
      <c r="CW59" s="5" t="str">
        <f>IF(CU59="","",E59)</f>
        <v/>
      </c>
      <c r="CY59" s="4" t="str">
        <f>IF(CW59="","",IF(H59=1,$DJ$3*CV59^0.8*W59,IF(H59=2,$DK$3*CV59^0.8*W59,IF(H59=3,$DL$3*CV59^0.8*W59,"ERR"))))</f>
        <v/>
      </c>
      <c r="CZ59" s="4" t="str">
        <f>IF(CY59="","",IF(BI59="OK",BJ59,""))</f>
        <v/>
      </c>
      <c r="DA59" s="4" t="str">
        <f>IF(CY59="","",IF(BK59="","",BK59))</f>
        <v/>
      </c>
      <c r="DB59" s="6" t="str">
        <f>IF(CW59="","",BM59)</f>
        <v/>
      </c>
      <c r="DD59" s="4">
        <f>IF(OR(CH59="",W59=""),"",IF(H59=1,$DJ$3*CH59^0.8*W59,IF(H59=2,$DK$3*CH59^0.8*W59,IF(H59=3,$DL$3*CH59^0.8*W59,"ERR"))))</f>
        <v>214.22442373483267</v>
      </c>
      <c r="DE59" s="4">
        <f>IF(OR(CH59="",W59=""),"",IF(H59=1,$DJ$3*W59,IF(H59=2,$DK$3*W59,IF(H59=3,$DL$3*W59,"ERR"))))</f>
        <v>111.8775</v>
      </c>
      <c r="DF59" s="3">
        <f>IF(DE59="","",-1.485*LN(E59)+7.098)</f>
        <v>2.4777334379304286</v>
      </c>
      <c r="DG59" s="4">
        <f>IF(OR(DF59="",W59=""),"",IF(H59=1,$DJ$3*DF59^0.8*W59,IF(H59=2,$DK$3*DF59^0.8*W59,IF(H59=3,$DL$3*CH59^0.8*W59,"ERR"))))</f>
        <v>214.22442373483267</v>
      </c>
    </row>
    <row r="60" spans="1:116" s="162" customFormat="1">
      <c r="A60" s="286" t="str">
        <f>IF(B60="","",IF(F60&lt;10,CONCATENATE(B60," - 0",F60),CONCATENATE(B60," - ",F60)))</f>
        <v>TRT05 - 22.5</v>
      </c>
      <c r="B60" s="212" t="s">
        <v>2</v>
      </c>
      <c r="C60" s="212">
        <v>22.3</v>
      </c>
      <c r="D60" s="212">
        <v>22.6</v>
      </c>
      <c r="E60" s="212">
        <f>AVERAGE(D60,C60)</f>
        <v>22.450000000000003</v>
      </c>
      <c r="F60" s="212">
        <f>IF(E60="","",CEILING(E60,0.25))</f>
        <v>22.5</v>
      </c>
      <c r="G60" s="212" t="s">
        <v>1</v>
      </c>
      <c r="H60" s="211">
        <v>3</v>
      </c>
      <c r="I60" s="163">
        <v>18.16</v>
      </c>
      <c r="J60" s="163">
        <v>12.68</v>
      </c>
      <c r="K60" s="210">
        <v>0.432</v>
      </c>
      <c r="L60" s="205">
        <v>1.2390000000000001</v>
      </c>
      <c r="M60" s="209">
        <v>0.99</v>
      </c>
      <c r="N60" s="208">
        <v>9.3000000000000007</v>
      </c>
      <c r="O60" s="223"/>
      <c r="P60" s="222"/>
      <c r="Q60" s="221"/>
      <c r="R60" s="207">
        <f>IF(L60="","",L60/(1+L60))</f>
        <v>0.55337204108977234</v>
      </c>
      <c r="S60" s="207" t="str">
        <f>IF(R60="","",IF(R60&lt;0.3,"S",IF(R60&lt;0.45,"L",IF(AND(R60&lt;0.5,R60&gt;=0.45),"C",IF(R60&gt;=0.5,"SC","")))))</f>
        <v>SC</v>
      </c>
      <c r="T60" s="285">
        <f>L60*9.81/($P$28*(1+L60))</f>
        <v>0.37369754862946308</v>
      </c>
      <c r="U60" s="284">
        <f>N60</f>
        <v>9.3000000000000007</v>
      </c>
      <c r="V60" s="284">
        <f>IF(E60="","",IF(E60&lt;=10,IF(E60&lt;=N60,18*E60,18*N60+(18-0)*(E60-N60)),IF(AND(E60&gt;10,N60&lt;=10),18*N60+(18-0)*(10-N60)+(17.5-0)*(E60-10),IF(E60&lt;N60,(18*0)+17.5*(E60-10),(18*0)+17.5*(N60-10)+(17.5-0)*(E60-N60)))))</f>
        <v>397.87500000000006</v>
      </c>
      <c r="W60" s="186">
        <f>IF(E60="","",IF(E60&lt;=10,IF(E60&lt;=N60,18*E60,18*N60+(18-10)*(E60-N60)),IF(AND(E60&gt;10,N60&lt;=10),18*N60+(18-10)*(10-N60)+(17.5-10)*(E60-10),IF(E60&lt;N60,(18*10)+17.5*(E60-10),(18*10)+17.5*(N60-10)+(17.5-10)*(E60-N60)))))</f>
        <v>266.375</v>
      </c>
      <c r="X60" s="197"/>
      <c r="Y60" s="205">
        <f>Y59</f>
        <v>1.292</v>
      </c>
      <c r="Z60" s="164"/>
      <c r="AA60" s="189"/>
      <c r="AB60" s="204"/>
      <c r="AC60" s="203"/>
      <c r="AD60" s="202"/>
      <c r="AE60" s="201">
        <v>1.131</v>
      </c>
      <c r="AF60" s="200">
        <v>79.099999999999994</v>
      </c>
      <c r="AG60" s="164">
        <v>76.92</v>
      </c>
      <c r="AH60" s="164">
        <v>1128.75</v>
      </c>
      <c r="AI60" s="164">
        <v>1104.58</v>
      </c>
      <c r="AJ60" s="199">
        <f>IF(AF60="","",1-(AG60*AI60/AF60/AH60))</f>
        <v>4.838297289691762E-2</v>
      </c>
      <c r="AK60" s="198">
        <v>3.6200000000000003E-2</v>
      </c>
      <c r="AL60" s="197">
        <v>400</v>
      </c>
      <c r="AM60" s="189">
        <v>898.6</v>
      </c>
      <c r="AN60" s="186">
        <f>AL60-AQ60</f>
        <v>212.54</v>
      </c>
      <c r="AO60" s="186">
        <f>AN60-AP60</f>
        <v>0</v>
      </c>
      <c r="AP60" s="186">
        <f>AM60-AR60</f>
        <v>212.54000000000008</v>
      </c>
      <c r="AQ60" s="189">
        <v>187.46</v>
      </c>
      <c r="AR60" s="189">
        <v>686.06</v>
      </c>
      <c r="AS60" s="196"/>
      <c r="AT60" s="66"/>
      <c r="AU60" s="192"/>
      <c r="AV60" s="192"/>
      <c r="AW60" s="195"/>
      <c r="AX60" s="192"/>
      <c r="AY60" s="192"/>
      <c r="AZ60" s="192"/>
      <c r="BA60" s="195"/>
      <c r="BB60" s="194">
        <f>(AM60-AL60)/AK60/1000</f>
        <v>13.773480662983426</v>
      </c>
      <c r="BC60" s="189"/>
      <c r="BD60" s="189"/>
      <c r="BE60" s="187">
        <f>AL60/AJ60/1000</f>
        <v>8.2673712682397653</v>
      </c>
      <c r="BF60" s="193"/>
      <c r="BG60" s="192" t="s">
        <v>0</v>
      </c>
      <c r="BH60" s="191">
        <f>IF(OR(AE60="",Y60=""),"",Y60/AE60)</f>
        <v>1.1423519009725907</v>
      </c>
      <c r="BI60" s="190" t="str">
        <f>IF(OR(AE60="",Y60=""),"",IF(Y60/AE60&gt;1.05,"OC",IF(Y60/AE60&lt;0.95,"UC","OK")))</f>
        <v>OC</v>
      </c>
      <c r="BJ60" s="186">
        <f>(AM60-AL60)/2</f>
        <v>249.3</v>
      </c>
      <c r="BK60" s="189"/>
      <c r="BL60" s="186" t="str">
        <f>IF(BZ60="=",BJ60,"")</f>
        <v/>
      </c>
      <c r="BM60" s="188">
        <f>AN60/(AM60-AL60)</f>
        <v>0.4262735659847573</v>
      </c>
      <c r="BN60" s="186" t="str">
        <f>IF(BM60="","",IF(AND(BM60&gt;=3/4,BM60&lt;=1.5),"HS",IF(AND(BM60&gt;=0.5,BM60&lt;=1),"NC",IF(AND(BM60&gt;=0,BM60&lt;=0.5),"OC",IF(BM60&lt;0,"H-OC","")))))</f>
        <v>OC</v>
      </c>
      <c r="BO60" s="187">
        <f>IF(BX60="","",BX60)</f>
        <v>1.4999999999913054</v>
      </c>
      <c r="BP60" s="186"/>
      <c r="BQ60" s="185">
        <f>BJ60/AL60</f>
        <v>0.62325000000000008</v>
      </c>
      <c r="BR60" s="184">
        <f>AL60/W60</f>
        <v>1.5016424213984045</v>
      </c>
      <c r="BS60" s="184" t="str">
        <f>IF(OR(BR60="",BH60=""),"",IF(AND(BR60&lt;1,BH60&gt;1),"NO",""))</f>
        <v/>
      </c>
      <c r="BT60" s="183" t="str">
        <f>IF(AA60="","",AA60/W60)</f>
        <v/>
      </c>
      <c r="BU60" s="182">
        <f>BU59</f>
        <v>0.45</v>
      </c>
      <c r="BV60" s="181">
        <v>0.45059802093473339</v>
      </c>
      <c r="BW60" s="180">
        <f>(BQ60/BU60)^(1/0.8)</f>
        <v>1.5024921676710721</v>
      </c>
      <c r="BX60" s="179">
        <f>(BQ60/BV60)^(1/0.8)</f>
        <v>1.4999999999913054</v>
      </c>
      <c r="BY60" s="178">
        <f>BU60*BW60^0.8</f>
        <v>0.62325000000000008</v>
      </c>
      <c r="BZ60" s="177" t="str">
        <f>IF(BR60&lt;0.85,"",IF(AND(BR60&gt;=0.85,BR60&lt;=1.15),"=","&gt;"))</f>
        <v>&gt;</v>
      </c>
      <c r="CA60" s="177" t="str">
        <f>IF(BZ60="","",IF(AND(BQ60&gt;=0.2,BQ60&lt;=0.451),"OK","NO"))</f>
        <v>NO</v>
      </c>
      <c r="CB60" s="176" t="str">
        <f>IF(BZ60="","",IF(AL60&lt;=CF58/1.11,"OC","NC"))</f>
        <v>OC</v>
      </c>
      <c r="CC60" s="176" t="str">
        <f>IF(BZ60="","",IF(CA60="OK","NC","OC"))</f>
        <v>OC</v>
      </c>
      <c r="CD60" s="172">
        <f>IF(BQ60="","",IF(BW60="","",BW60*AL60))</f>
        <v>600.99686706842886</v>
      </c>
      <c r="CE60" s="175">
        <f>IF(BQ60="","",IF(BX60="","",BX60*AL60))</f>
        <v>599.99999999652221</v>
      </c>
      <c r="CF60" s="174"/>
      <c r="CG60" s="66">
        <f>CG59</f>
        <v>600</v>
      </c>
      <c r="CH60" s="220">
        <f>CG60/W60</f>
        <v>2.2524636320976068</v>
      </c>
      <c r="CI60" s="173" t="str">
        <f>IF(BQ60&lt;0.28,"Y","")</f>
        <v/>
      </c>
      <c r="CJ60" s="172" t="str">
        <f>IF(BQ60&lt;0.8,"Y","")</f>
        <v>Y</v>
      </c>
      <c r="CK60" s="172" t="str">
        <f>IF(BQ60&lt;BQ59,"","ERR")</f>
        <v/>
      </c>
      <c r="CL60" s="11">
        <f>IFERROR(CE60-CG60,"")</f>
        <v>-3.477794052741956E-9</v>
      </c>
      <c r="CM60" s="163"/>
      <c r="CN60" s="168">
        <f>IF(OR(BS60="NO",BG60="TX-CID"),"",BH60)</f>
        <v>1.1423519009725907</v>
      </c>
      <c r="CO60" s="168">
        <f>IF(CN60="","",BQ60)</f>
        <v>0.62325000000000008</v>
      </c>
      <c r="CP60" s="171">
        <f>IF(CO60="","",BR60)</f>
        <v>1.5016424213984045</v>
      </c>
      <c r="CQ60" s="170">
        <f>IF(CO60="","",BV60)</f>
        <v>0.45059802093473339</v>
      </c>
      <c r="CR60" s="169">
        <f>IF(CU60="","",BX60)</f>
        <v>1.4999999999913054</v>
      </c>
      <c r="CS60" s="169">
        <f>IF(CR60="","",LN(CR60))</f>
        <v>0.40546510810236797</v>
      </c>
      <c r="CT60" s="169">
        <f>IF(CS60="","",BM60)</f>
        <v>0.4262735659847573</v>
      </c>
      <c r="CU60" s="168">
        <f>IF(CO60="","",BU60)</f>
        <v>0.45</v>
      </c>
      <c r="CV60" s="166">
        <f>IF(CR60="","",CH58)</f>
        <v>2.2524636320976068</v>
      </c>
      <c r="CW60" s="167">
        <f>IF(CU60="","",E60)</f>
        <v>22.450000000000003</v>
      </c>
      <c r="CX60" s="167"/>
      <c r="CY60" s="165">
        <f>IF(CW60="","",IF(H60=1,$DJ$3*CV60^0.8*W60,IF(H60=2,$DK$3*CV60^0.8*W60,IF(H60=3,$DL$3*CV60^0.8*W60,"ERR"))))</f>
        <v>214.22442373483267</v>
      </c>
      <c r="CZ60" s="165" t="str">
        <f>IF(CY60="","",IF(BI60="OK",BJ60,""))</f>
        <v/>
      </c>
      <c r="DA60" s="165" t="str">
        <f>IF(CY60="","",IF(BK60="","",BK60))</f>
        <v/>
      </c>
      <c r="DB60" s="166">
        <f>IF(CW60="","",BM60)</f>
        <v>0.4262735659847573</v>
      </c>
      <c r="DC60" s="165"/>
      <c r="DD60" s="165">
        <f>IF(OR(CH60="",W60=""),"",IF(H60=1,$DJ$3*CH60^0.8*W60,IF(H60=2,$DK$3*CH60^0.8*W60,IF(H60=3,$DL$3*CH60^0.8*W60,"ERR"))))</f>
        <v>214.22442373483267</v>
      </c>
      <c r="DE60" s="165">
        <f>IF(OR(CH60="",W60=""),"",IF(H60=1,$DJ$3*W60,IF(H60=2,$DK$3*W60,IF(H60=3,$DL$3*W60,"ERR"))))</f>
        <v>111.8775</v>
      </c>
      <c r="DF60" s="164">
        <f>IF(DE60="","",-1.485*LN(E60)+7.098)</f>
        <v>2.4777334379304286</v>
      </c>
      <c r="DG60" s="165">
        <f>IF(OR(DF60="",W60=""),"",IF(H60=1,$DJ$3*DF60^0.8*W60,IF(H60=2,$DK$3*DF60^0.8*W60,IF(H60=3,$DL$3*CH60^0.8*W60,"ERR"))))</f>
        <v>214.22442373483267</v>
      </c>
      <c r="DH60" s="164"/>
      <c r="DJ60" s="163"/>
      <c r="DK60" s="163"/>
      <c r="DL60" s="163"/>
    </row>
    <row r="61" spans="1:116" s="116" customFormat="1">
      <c r="A61" s="283" t="str">
        <f>IF(B61="","",IF(F61&lt;10,CONCATENATE(B61," - 0",F61),CONCATENATE(B61," - ",F61)))</f>
        <v>TRT05 - 25.75</v>
      </c>
      <c r="B61" s="160" t="s">
        <v>2</v>
      </c>
      <c r="C61" s="160">
        <v>25.4</v>
      </c>
      <c r="D61" s="160">
        <v>25.7</v>
      </c>
      <c r="E61" s="160">
        <f>AVERAGE(D61,C61)</f>
        <v>25.549999999999997</v>
      </c>
      <c r="F61" s="160">
        <f>IF(E61="","",CEILING(E61,0.25))</f>
        <v>25.75</v>
      </c>
      <c r="G61" s="160" t="s">
        <v>1</v>
      </c>
      <c r="H61" s="159">
        <v>3</v>
      </c>
      <c r="I61" s="117">
        <v>17.920000000000002</v>
      </c>
      <c r="J61" s="117">
        <v>12.18</v>
      </c>
      <c r="K61" s="158">
        <v>0.47099999999999997</v>
      </c>
      <c r="L61" s="150">
        <v>1.331</v>
      </c>
      <c r="M61" s="157">
        <v>1</v>
      </c>
      <c r="N61" s="156">
        <v>9.3000000000000007</v>
      </c>
      <c r="O61" s="155">
        <f>(P61*(1+AVERAGE(L61:L63))+(9.81*M61*AVERAGE(L61:L63)))/(1+AVERAGE(L61:L63))</f>
        <v>17.834858252986042</v>
      </c>
      <c r="P61" s="154">
        <f>AVERAGE(J61:J63)</f>
        <v>12.26</v>
      </c>
      <c r="Q61" s="153">
        <f>AVERAGE(K61:K63)</f>
        <v>0.46266666666666662</v>
      </c>
      <c r="R61" s="152">
        <f>IF(L61="","",L61/(1+L61))</f>
        <v>0.57099957099957099</v>
      </c>
      <c r="S61" s="152" t="str">
        <f>IF(R61="","",IF(R61&lt;0.3,"S",IF(R61&lt;0.45,"L",IF(AND(R61&lt;0.5,R61&gt;=0.45),"C",IF(R61&gt;=0.5,"SC","")))))</f>
        <v>SC</v>
      </c>
      <c r="T61" s="290">
        <f>L61*9.81/($P$28*(1+L61))</f>
        <v>0.38560159188887971</v>
      </c>
      <c r="U61" s="289">
        <f>N61</f>
        <v>9.3000000000000007</v>
      </c>
      <c r="V61" s="289">
        <f>IF(E61="","",IF(E61&lt;=10,IF(E61&lt;=N61,18*E61,18*N61+(18-0)*(E61-N61)),IF(AND(E61&gt;10,N61&lt;=10),18*N61+(18-0)*(10-N61)+(17.5-0)*(E61-10),IF(E61&lt;N61,(18*0)+17.5*(E61-10),(18*0)+17.5*(N61-10)+(17.5-0)*(E61-N61)))))</f>
        <v>452.12499999999994</v>
      </c>
      <c r="W61" s="141">
        <f>IF(E61="","",IF(E61&lt;=10,IF(E61&lt;=N61,18*E61,18*N61+(18-10)*(E61-N61)),IF(AND(E61&gt;10,N61&lt;=10),18*N61+(18-10)*(10-N61)+(17.5-10)*(E61-10),IF(E61&lt;N61,(18*10)+17.5*(E61-10),(18*10)+17.5*(N61-10)+(17.5-10)*(E61-N61)))))</f>
        <v>289.625</v>
      </c>
      <c r="X61" s="142">
        <v>283</v>
      </c>
      <c r="Y61" s="150">
        <v>0.88800000000000001</v>
      </c>
      <c r="Z61" s="118">
        <v>2</v>
      </c>
      <c r="AA61" s="136">
        <v>580</v>
      </c>
      <c r="AB61" s="149"/>
      <c r="AC61" s="148"/>
      <c r="AD61" s="147"/>
      <c r="AE61" s="146">
        <v>1.276</v>
      </c>
      <c r="AF61" s="145">
        <v>78.849999999999994</v>
      </c>
      <c r="AG61" s="118">
        <v>77.45</v>
      </c>
      <c r="AH61" s="118">
        <v>1130.54</v>
      </c>
      <c r="AI61" s="118">
        <v>1123.8599999999999</v>
      </c>
      <c r="AJ61" s="144">
        <f>IF(AF61="","",1-(AG61*AI61/AF61/AH61))</f>
        <v>2.3559002264213813E-2</v>
      </c>
      <c r="AK61" s="143">
        <v>8.0100000000000005E-2</v>
      </c>
      <c r="AL61" s="142">
        <v>100</v>
      </c>
      <c r="AM61" s="136">
        <v>355.55</v>
      </c>
      <c r="AN61" s="141">
        <f>AL61-AQ61</f>
        <v>14.480000000000004</v>
      </c>
      <c r="AO61" s="141">
        <f>AN61-AP61</f>
        <v>-1.4210854715202004E-14</v>
      </c>
      <c r="AP61" s="141">
        <f>AM61-AR61</f>
        <v>14.480000000000018</v>
      </c>
      <c r="AQ61" s="136">
        <v>85.52</v>
      </c>
      <c r="AR61" s="136">
        <v>341.07</v>
      </c>
      <c r="AS61" s="140"/>
      <c r="AT61" s="139">
        <v>52</v>
      </c>
      <c r="AU61" s="133">
        <v>19</v>
      </c>
      <c r="AV61" s="133">
        <v>30</v>
      </c>
      <c r="AW61" s="138">
        <v>28</v>
      </c>
      <c r="AX61" s="133">
        <v>60</v>
      </c>
      <c r="AY61" s="133">
        <v>14</v>
      </c>
      <c r="AZ61" s="133">
        <v>22</v>
      </c>
      <c r="BA61" s="138">
        <v>26</v>
      </c>
      <c r="BB61" s="137">
        <f>(AM61-AL61)/AK61/1000</f>
        <v>3.190387016229713</v>
      </c>
      <c r="BC61" s="136"/>
      <c r="BD61" s="136"/>
      <c r="BE61" s="135">
        <f>AL61/AJ61/1000</f>
        <v>4.2446619291641339</v>
      </c>
      <c r="BF61" s="134"/>
      <c r="BG61" s="133" t="s">
        <v>0</v>
      </c>
      <c r="BH61" s="132">
        <f>IF(OR(AE61="",Y61=""),"",Y61/AE61)</f>
        <v>0.6959247648902821</v>
      </c>
      <c r="BI61" s="131" t="str">
        <f>IF(OR(AE61="",Y61=""),"",IF(Y61/AE61&gt;1.05,"OC",IF(Y61/AE61&lt;0.95,"UC","OK")))</f>
        <v>UC</v>
      </c>
      <c r="BJ61" s="141">
        <f>(AM61-AL61)/2</f>
        <v>127.77500000000001</v>
      </c>
      <c r="BK61" s="37">
        <f>AVERAGE(BJ61:BJ63)+(_xlfn.COVARIANCE.P(AL61:AL63,BJ61:BJ63)/_xlfn.STDEV.P(AL61:AL63)^2)*(W61-AVERAGE(AL61:AL63))</f>
        <v>211.59089999999998</v>
      </c>
      <c r="BL61" s="37" t="str">
        <f>IF(BZ61="=",BJ61,"")</f>
        <v/>
      </c>
      <c r="BM61" s="110">
        <f>AN61/(AM61-AL61)</f>
        <v>5.6662101350029359E-2</v>
      </c>
      <c r="BN61" s="37" t="str">
        <f>IF(BM61="","",IF(AND(BM61&gt;=3/4,BM61&lt;=1.5),"HS",IF(AND(BM61&gt;=0.5,BM61&lt;=1),"NC",IF(AND(BM61&gt;=0,BM61&lt;=0.5),"OC",IF(BM61&lt;0,"H-OC","")))))</f>
        <v>OC</v>
      </c>
      <c r="BO61" s="109">
        <f>IF(BX61="","",BX61)</f>
        <v>5.7999999999422727</v>
      </c>
      <c r="BP61" s="37"/>
      <c r="BQ61" s="27">
        <f>BJ61/AL61</f>
        <v>1.2777500000000002</v>
      </c>
      <c r="BR61" s="129">
        <f>AL61/W61</f>
        <v>0.34527406128614591</v>
      </c>
      <c r="BS61" s="129" t="str">
        <f>IF(OR(BR61="",BH61=""),"",IF(AND(BR61&lt;1,BH61&gt;1),"NO",""))</f>
        <v/>
      </c>
      <c r="BT61" s="128">
        <f>IF(AA61="","",AA61/W61)</f>
        <v>2.0025895554596462</v>
      </c>
      <c r="BU61" s="24">
        <v>0.5</v>
      </c>
      <c r="BV61" s="23">
        <v>0.3131147270931669</v>
      </c>
      <c r="BW61" s="22">
        <f>(BQ61/BU61)^(1/0.8)</f>
        <v>3.2310587633465038</v>
      </c>
      <c r="BX61" s="21">
        <f>(BQ61/BV61)^(1/0.8)</f>
        <v>5.7999999999422727</v>
      </c>
      <c r="BY61" s="20">
        <f>BU61*BW61^0.8</f>
        <v>1.2777500000000002</v>
      </c>
      <c r="BZ61" s="19" t="str">
        <f>IF(BR61&lt;0.85,"",IF(AND(BR61&gt;=0.85,BR61&lt;=1.15),"=","&gt;"))</f>
        <v/>
      </c>
      <c r="CA61" s="19" t="str">
        <f>IF(BZ61="","",IF(AND(BQ61&gt;=0.2,BQ61&lt;=0.451),"OK","NO"))</f>
        <v/>
      </c>
      <c r="CB61" s="18" t="str">
        <f>IF(BZ61="","",IF(AL61&lt;=CF61/1.11,"OC","NC"))</f>
        <v/>
      </c>
      <c r="CC61" s="18" t="str">
        <f>IF(BZ61="","",IF(CA61="OK","NC","OC"))</f>
        <v/>
      </c>
      <c r="CD61" s="12"/>
      <c r="CE61" s="17">
        <f>IF(BQ61="","",IF(BX61="","",BX61*AL61))</f>
        <v>579.99999999422721</v>
      </c>
      <c r="CF61" s="16">
        <f>AVERAGE(CD61:CD63)</f>
        <v>582.77338871488928</v>
      </c>
      <c r="CG61" s="15">
        <v>580</v>
      </c>
      <c r="CH61" s="14">
        <f>CG61/W61</f>
        <v>2.0025895554596462</v>
      </c>
      <c r="CI61" s="13" t="str">
        <f>IF(BQ61&lt;0.28,"Y","")</f>
        <v/>
      </c>
      <c r="CJ61" s="12" t="str">
        <f>IF(BQ61&lt;0.8,"Y","")</f>
        <v/>
      </c>
      <c r="CK61" s="126"/>
      <c r="CL61" s="125">
        <f>IFERROR(CE61-CG61,"")</f>
        <v>-5.7727902458282188E-9</v>
      </c>
      <c r="CM61" s="117"/>
      <c r="CN61" s="121">
        <f>IF(OR(BS61="NO",BG61="TX-CID"),"",BH61)</f>
        <v>0.6959247648902821</v>
      </c>
      <c r="CO61" s="121">
        <f>IF(CN61="","",BQ61)</f>
        <v>1.2777500000000002</v>
      </c>
      <c r="CP61" s="124">
        <f>IF(CO61="","",BR61)</f>
        <v>0.34527406128614591</v>
      </c>
      <c r="CQ61" s="123">
        <f>IF(CO61="","",BV61)</f>
        <v>0.3131147270931669</v>
      </c>
      <c r="CR61" s="122">
        <f>IF(CU61="","",BX61)</f>
        <v>5.7999999999422727</v>
      </c>
      <c r="CS61" s="122">
        <f>IF(CR61="","",LN(CR61))</f>
        <v>1.7578579175424207</v>
      </c>
      <c r="CT61" s="122">
        <f>IF(CS61="","",BM61)</f>
        <v>5.6662101350029359E-2</v>
      </c>
      <c r="CU61" s="121">
        <f>IF(CO61="","",BU61)</f>
        <v>0.5</v>
      </c>
      <c r="CV61" s="6">
        <f>IF(CR61="","",CH61)</f>
        <v>2.0025895554596462</v>
      </c>
      <c r="CW61" s="5">
        <f>IF(CU61="","",E61)</f>
        <v>25.549999999999997</v>
      </c>
      <c r="CX61" s="5"/>
      <c r="CY61" s="119">
        <f>IF(CW61="","",IF(H61=1,$DJ$3*CV61^0.8*W61,IF(H61=2,$DK$3*CV61^0.8*W61,IF(H61=3,$DL$3*CV61^0.8*W61,"ERR"))))</f>
        <v>212.01124414347788</v>
      </c>
      <c r="CZ61" s="119" t="str">
        <f>IF(CY61="","",IF(BI61="OK",BJ61,""))</f>
        <v/>
      </c>
      <c r="DA61" s="119">
        <f>IF(CY61="","",IF(BK61="","",BK61))</f>
        <v>211.59089999999998</v>
      </c>
      <c r="DB61" s="120">
        <f>IF(CW61="","",BM61)</f>
        <v>5.6662101350029359E-2</v>
      </c>
      <c r="DC61" s="119"/>
      <c r="DD61" s="119">
        <f>IF(OR(CH61="",W61=""),"",IF(H61=1,$DJ$3*CH61^0.8*W61,IF(H61=2,$DK$3*CH61^0.8*W61,IF(H61=3,$DL$3*CH61^0.8*W61,"ERR"))))</f>
        <v>212.01124414347788</v>
      </c>
      <c r="DE61" s="119">
        <f>IF(OR(CH61="",W61=""),"",IF(H61=1,$DJ$3*W61,IF(H61=2,$DK$3*W61,IF(H61=3,$DL$3*W61,"ERR"))))</f>
        <v>121.6425</v>
      </c>
      <c r="DF61" s="118">
        <f>IF(DE61="","",-1.485*LN(E61)+7.098)</f>
        <v>2.2856535847751749</v>
      </c>
      <c r="DG61" s="119">
        <f>IF(OR(DF61="",W61=""),"",IF(H61=1,$DJ$3*DF61^0.8*W61,IF(H61=2,$DK$3*DF61^0.8*W61,IF(H61=3,$DL$3*CH61^0.8*W61,"ERR"))))</f>
        <v>212.01124414347788</v>
      </c>
      <c r="DH61" s="118"/>
      <c r="DJ61" s="117"/>
      <c r="DK61" s="117"/>
      <c r="DL61" s="117"/>
    </row>
    <row r="62" spans="1:116">
      <c r="A62" s="51" t="str">
        <f>IF(B62="","",IF(F62&lt;10,CONCATENATE(B62," - 0",F62),CONCATENATE(B62," - ",F62)))</f>
        <v>TRT05 - 25.75</v>
      </c>
      <c r="B62" s="114" t="s">
        <v>2</v>
      </c>
      <c r="C62" s="114">
        <v>25.4</v>
      </c>
      <c r="D62" s="114">
        <v>25.7</v>
      </c>
      <c r="E62" s="114">
        <f>AVERAGE(D62,C62)</f>
        <v>25.549999999999997</v>
      </c>
      <c r="F62" s="114">
        <f>IF(E62="","",CEILING(E62,0.25))</f>
        <v>25.75</v>
      </c>
      <c r="G62" s="114" t="s">
        <v>1</v>
      </c>
      <c r="H62" s="113">
        <v>3</v>
      </c>
      <c r="I62" s="2">
        <v>17.940000000000001</v>
      </c>
      <c r="J62" s="2">
        <v>12.28</v>
      </c>
      <c r="K62" s="112">
        <v>0.46100000000000002</v>
      </c>
      <c r="L62" s="45">
        <v>1.3129999999999999</v>
      </c>
      <c r="M62" s="49">
        <v>1</v>
      </c>
      <c r="N62" s="48">
        <v>9.3000000000000007</v>
      </c>
      <c r="O62" s="218"/>
      <c r="P62" s="217"/>
      <c r="Q62" s="216"/>
      <c r="R62" s="47">
        <f>IF(L62="","",L62/(1+L62))</f>
        <v>0.56766104626026814</v>
      </c>
      <c r="S62" s="47" t="str">
        <f>IF(R62="","",IF(R62&lt;0.3,"S",IF(R62&lt;0.45,"L",IF(AND(R62&lt;0.5,R62&gt;=0.45),"C",IF(R62&gt;=0.5,"SC","")))))</f>
        <v>SC</v>
      </c>
      <c r="T62" s="288">
        <f>L62*9.81/($P$28*(1+L62))</f>
        <v>0.38334705349792775</v>
      </c>
      <c r="U62" s="287">
        <f>N62</f>
        <v>9.3000000000000007</v>
      </c>
      <c r="V62" s="287">
        <f>IF(E62="","",IF(E62&lt;=10,IF(E62&lt;=N62,18*E62,18*N62+(18-0)*(E62-N62)),IF(AND(E62&gt;10,N62&lt;=10),18*N62+(18-0)*(10-N62)+(17.5-0)*(E62-10),IF(E62&lt;N62,(18*0)+17.5*(E62-10),(18*0)+17.5*(N62-10)+(17.5-0)*(E62-N62)))))</f>
        <v>452.12499999999994</v>
      </c>
      <c r="W62" s="37">
        <f>IF(E62="","",IF(E62&lt;=10,IF(E62&lt;=N62,18*E62,18*N62+(18-10)*(E62-N62)),IF(AND(E62&gt;10,N62&lt;=10),18*N62+(18-10)*(10-N62)+(17.5-10)*(E62-10),IF(E62&lt;N62,(18*10)+17.5*(E62-10),(18*10)+17.5*(N62-10)+(17.5-10)*(E62-N62)))))</f>
        <v>289.625</v>
      </c>
      <c r="Y62" s="45">
        <f>Y61</f>
        <v>0.88800000000000001</v>
      </c>
      <c r="AE62" s="41">
        <v>1.248</v>
      </c>
      <c r="AF62" s="40">
        <v>78.87</v>
      </c>
      <c r="AG62" s="3">
        <v>77.150000000000006</v>
      </c>
      <c r="AH62" s="3">
        <v>1138.3</v>
      </c>
      <c r="AI62" s="3">
        <v>1131.01</v>
      </c>
      <c r="AJ62" s="39">
        <f>IF(AF62="","",1-(AG62*AI62/AF62/AH62))</f>
        <v>2.8072660699417828E-2</v>
      </c>
      <c r="AK62" s="38">
        <v>5.7700000000000001E-2</v>
      </c>
      <c r="AL62" s="34">
        <v>200</v>
      </c>
      <c r="AM62" s="28">
        <v>507.92</v>
      </c>
      <c r="AN62" s="37">
        <f>AL62-AQ62</f>
        <v>60.930000000000007</v>
      </c>
      <c r="AO62" s="37">
        <f>AN62-AP62</f>
        <v>0</v>
      </c>
      <c r="AP62" s="37">
        <f>AM62-AR62</f>
        <v>60.930000000000007</v>
      </c>
      <c r="AQ62" s="28">
        <v>139.07</v>
      </c>
      <c r="AR62" s="28">
        <v>446.99</v>
      </c>
      <c r="BB62" s="111">
        <f>(AM62-AL62)/AK62/1000</f>
        <v>5.3365684575389949</v>
      </c>
      <c r="BE62" s="109">
        <f>AL62/AJ62/1000</f>
        <v>7.1243692267526173</v>
      </c>
      <c r="BG62" s="32" t="s">
        <v>0</v>
      </c>
      <c r="BH62" s="31">
        <f>IF(OR(AE62="",Y62=""),"",Y62/AE62)</f>
        <v>0.71153846153846156</v>
      </c>
      <c r="BI62" s="30" t="str">
        <f>IF(OR(AE62="",Y62=""),"",IF(Y62/AE62&gt;1.05,"OC",IF(Y62/AE62&lt;0.95,"UC","OK")))</f>
        <v>UC</v>
      </c>
      <c r="BJ62" s="37">
        <f>(AM62-AL62)/2</f>
        <v>153.96</v>
      </c>
      <c r="BL62" s="37" t="str">
        <f>IF(BZ62="=",BJ62,"")</f>
        <v/>
      </c>
      <c r="BM62" s="110">
        <f>AN62/(AM62-AL62)</f>
        <v>0.19787607170693688</v>
      </c>
      <c r="BN62" s="37" t="str">
        <f>IF(BM62="","",IF(AND(BM62&gt;=3/4,BM62&lt;=1.5),"HS",IF(AND(BM62&gt;=0.5,BM62&lt;=1),"NC",IF(AND(BM62&gt;=0,BM62&lt;=0.5),"OC",IF(BM62&lt;0,"H-OC","")))))</f>
        <v>OC</v>
      </c>
      <c r="BO62" s="109">
        <f>IF(BX62="","",BX62)</f>
        <v>2.8999999999829638</v>
      </c>
      <c r="BP62" s="37"/>
      <c r="BQ62" s="27">
        <f>BJ62/AL62</f>
        <v>0.76980000000000004</v>
      </c>
      <c r="BR62" s="26">
        <f>AL62/W62</f>
        <v>0.69054812257229181</v>
      </c>
      <c r="BS62" s="26" t="str">
        <f>IF(OR(BR62="",BH62=""),"",IF(AND(BR62&lt;1,BH62&gt;1),"NO",""))</f>
        <v/>
      </c>
      <c r="BT62" s="25" t="str">
        <f>IF(AA62="","",AA62/W62)</f>
        <v/>
      </c>
      <c r="BU62" s="24">
        <f>BU61</f>
        <v>0.5</v>
      </c>
      <c r="BV62" s="23">
        <v>0.32844262044265743</v>
      </c>
      <c r="BW62" s="22">
        <f>(BQ62/BU62)^(1/0.8)</f>
        <v>1.7149832315261282</v>
      </c>
      <c r="BX62" s="21">
        <f>(BQ62/BV62)^(1/0.8)</f>
        <v>2.8999999999829638</v>
      </c>
      <c r="BY62" s="20">
        <f>BU62*BW62^0.8</f>
        <v>0.76980000000000004</v>
      </c>
      <c r="BZ62" s="19" t="str">
        <f>IF(BR62&lt;0.85,"",IF(AND(BR62&gt;=0.85,BR62&lt;=1.15),"=","&gt;"))</f>
        <v/>
      </c>
      <c r="CA62" s="19" t="str">
        <f>IF(BZ62="","",IF(AND(BQ62&gt;=0.2,BQ62&lt;=0.451),"OK","NO"))</f>
        <v/>
      </c>
      <c r="CB62" s="18" t="str">
        <f>IF(BZ62="","",IF(AL62&lt;=CF61/1.11,"OC","NC"))</f>
        <v/>
      </c>
      <c r="CC62" s="18" t="str">
        <f>IF(BZ62="","",IF(CA62="OK","NC","OC"))</f>
        <v/>
      </c>
      <c r="CE62" s="17">
        <f>IF(BQ62="","",IF(BX62="","",BX62*AL62))</f>
        <v>579.99999999659281</v>
      </c>
      <c r="CG62" s="15">
        <f>CG61</f>
        <v>580</v>
      </c>
      <c r="CH62" s="14">
        <f>CG62/W62</f>
        <v>2.0025895554596462</v>
      </c>
      <c r="CI62" s="13" t="str">
        <f>IF(BQ62&lt;0.28,"Y","")</f>
        <v/>
      </c>
      <c r="CJ62" s="12" t="str">
        <f>IF(BQ62&lt;0.8,"Y","")</f>
        <v>Y</v>
      </c>
      <c r="CK62" s="12" t="str">
        <f>IF(BQ62&lt;BQ61,"","ERR")</f>
        <v/>
      </c>
      <c r="CL62" s="11">
        <f>IFERROR(CE62-CG62,"")</f>
        <v>-3.4071945265168324E-9</v>
      </c>
      <c r="CN62" s="7">
        <f>IF(OR(BS62="NO",BG62="TX-CID"),"",BH62)</f>
        <v>0.71153846153846156</v>
      </c>
      <c r="CO62" s="7">
        <f>IF(CN62="","",BQ62)</f>
        <v>0.76980000000000004</v>
      </c>
      <c r="CP62" s="10">
        <f>IF(CO62="","",BR62)</f>
        <v>0.69054812257229181</v>
      </c>
      <c r="CQ62" s="9">
        <f>IF(CO62="","",BV62)</f>
        <v>0.32844262044265743</v>
      </c>
      <c r="CR62" s="8">
        <f>IF(CU62="","",BX62)</f>
        <v>2.8999999999829638</v>
      </c>
      <c r="CS62" s="8">
        <f>IF(CR62="","",LN(CR62))</f>
        <v>1.0647107369865538</v>
      </c>
      <c r="CT62" s="8">
        <f>IF(CS62="","",BM62)</f>
        <v>0.19787607170693688</v>
      </c>
      <c r="CU62" s="7">
        <f>IF(CO62="","",BU62)</f>
        <v>0.5</v>
      </c>
      <c r="CV62" s="6">
        <f>IF(CR62="","",CH61)</f>
        <v>2.0025895554596462</v>
      </c>
      <c r="CW62" s="5">
        <f>IF(CU62="","",E62)</f>
        <v>25.549999999999997</v>
      </c>
      <c r="CY62" s="4">
        <f>IF(CW62="","",IF(H62=1,$DJ$3*CV62^0.8*W62,IF(H62=2,$DK$3*CV62^0.8*W62,IF(H62=3,$DL$3*CV62^0.8*W62,"ERR"))))</f>
        <v>212.01124414347788</v>
      </c>
      <c r="CZ62" s="4" t="str">
        <f>IF(CY62="","",IF(BI62="OK",BJ62,""))</f>
        <v/>
      </c>
      <c r="DA62" s="4" t="str">
        <f>IF(CY62="","",IF(BK62="","",BK62))</f>
        <v/>
      </c>
      <c r="DB62" s="6">
        <f>IF(CW62="","",BM62)</f>
        <v>0.19787607170693688</v>
      </c>
      <c r="DD62" s="4">
        <f>IF(OR(CH62="",W62=""),"",IF(H62=1,$DJ$3*CH62^0.8*W62,IF(H62=2,$DK$3*CH62^0.8*W62,IF(H62=3,$DL$3*CH62^0.8*W62,"ERR"))))</f>
        <v>212.01124414347788</v>
      </c>
      <c r="DE62" s="4">
        <f>IF(OR(CH62="",W62=""),"",IF(H62=1,$DJ$3*W62,IF(H62=2,$DK$3*W62,IF(H62=3,$DL$3*W62,"ERR"))))</f>
        <v>121.6425</v>
      </c>
      <c r="DF62" s="3">
        <f>IF(DE62="","",-1.485*LN(E62)+7.098)</f>
        <v>2.2856535847751749</v>
      </c>
      <c r="DG62" s="4">
        <f>IF(OR(DF62="",W62=""),"",IF(H62=1,$DJ$3*DF62^0.8*W62,IF(H62=2,$DK$3*DF62^0.8*W62,IF(H62=3,$DL$3*CH62^0.8*W62,"ERR"))))</f>
        <v>212.01124414347788</v>
      </c>
    </row>
    <row r="63" spans="1:116" s="162" customFormat="1">
      <c r="A63" s="286" t="str">
        <f>IF(B63="","",IF(F63&lt;10,CONCATENATE(B63," - 0",F63),CONCATENATE(B63," - ",F63)))</f>
        <v>TRT05 - 25.75</v>
      </c>
      <c r="B63" s="212" t="s">
        <v>2</v>
      </c>
      <c r="C63" s="212">
        <v>25.4</v>
      </c>
      <c r="D63" s="212">
        <v>25.7</v>
      </c>
      <c r="E63" s="212">
        <f>AVERAGE(D63,C63)</f>
        <v>25.549999999999997</v>
      </c>
      <c r="F63" s="212">
        <f>IF(E63="","",CEILING(E63,0.25))</f>
        <v>25.75</v>
      </c>
      <c r="G63" s="212" t="s">
        <v>1</v>
      </c>
      <c r="H63" s="211">
        <v>3</v>
      </c>
      <c r="I63" s="163">
        <v>17.940000000000001</v>
      </c>
      <c r="J63" s="163">
        <v>12.32</v>
      </c>
      <c r="K63" s="210">
        <v>0.45600000000000002</v>
      </c>
      <c r="L63" s="205">
        <v>1.3049999999999999</v>
      </c>
      <c r="M63" s="209">
        <v>0.99</v>
      </c>
      <c r="N63" s="208">
        <v>9.3000000000000007</v>
      </c>
      <c r="O63" s="223"/>
      <c r="P63" s="222"/>
      <c r="Q63" s="221"/>
      <c r="R63" s="207">
        <f>IF(L63="","",L63/(1+L63))</f>
        <v>0.56616052060737532</v>
      </c>
      <c r="S63" s="207" t="str">
        <f>IF(R63="","",IF(R63&lt;0.3,"S",IF(R63&lt;0.45,"L",IF(AND(R63&lt;0.5,R63&gt;=0.45),"C",IF(R63&gt;=0.5,"SC","")))))</f>
        <v>SC</v>
      </c>
      <c r="T63" s="285">
        <f>L63*9.81/($P$28*(1+L63))</f>
        <v>0.38233373385670161</v>
      </c>
      <c r="U63" s="284">
        <f>N63</f>
        <v>9.3000000000000007</v>
      </c>
      <c r="V63" s="284">
        <f>IF(E63="","",IF(E63&lt;=10,IF(E63&lt;=N63,18*E63,18*N63+(18-0)*(E63-N63)),IF(AND(E63&gt;10,N63&lt;=10),18*N63+(18-0)*(10-N63)+(17.5-0)*(E63-10),IF(E63&lt;N63,(18*0)+17.5*(E63-10),(18*0)+17.5*(N63-10)+(17.5-0)*(E63-N63)))))</f>
        <v>452.12499999999994</v>
      </c>
      <c r="W63" s="186">
        <f>IF(E63="","",IF(E63&lt;=10,IF(E63&lt;=N63,18*E63,18*N63+(18-10)*(E63-N63)),IF(AND(E63&gt;10,N63&lt;=10),18*N63+(18-10)*(10-N63)+(17.5-10)*(E63-10),IF(E63&lt;N63,(18*10)+17.5*(E63-10),(18*10)+17.5*(N63-10)+(17.5-10)*(E63-N63)))))</f>
        <v>289.625</v>
      </c>
      <c r="X63" s="197"/>
      <c r="Y63" s="205">
        <f>Y62</f>
        <v>0.88800000000000001</v>
      </c>
      <c r="Z63" s="164"/>
      <c r="AA63" s="189"/>
      <c r="AB63" s="204"/>
      <c r="AC63" s="203"/>
      <c r="AD63" s="202"/>
      <c r="AE63" s="201">
        <v>1.177</v>
      </c>
      <c r="AF63" s="200">
        <v>79</v>
      </c>
      <c r="AG63" s="164">
        <v>76.739999999999995</v>
      </c>
      <c r="AH63" s="164">
        <v>1135.31</v>
      </c>
      <c r="AI63" s="164">
        <v>1103.5899999999999</v>
      </c>
      <c r="AJ63" s="199">
        <f>IF(AF63="","",1-(AG63*AI63/AF63/AH63))</f>
        <v>5.5747818389869419E-2</v>
      </c>
      <c r="AK63" s="198">
        <v>5.7599999999999998E-2</v>
      </c>
      <c r="AL63" s="197">
        <v>400</v>
      </c>
      <c r="AM63" s="189">
        <v>940.52</v>
      </c>
      <c r="AN63" s="186">
        <f>AL63-AQ63</f>
        <v>204.47</v>
      </c>
      <c r="AO63" s="186">
        <f>AN63-AP63</f>
        <v>0</v>
      </c>
      <c r="AP63" s="186">
        <f>AM63-AR63</f>
        <v>204.47000000000003</v>
      </c>
      <c r="AQ63" s="189">
        <v>195.53</v>
      </c>
      <c r="AR63" s="189">
        <v>736.05</v>
      </c>
      <c r="AS63" s="196"/>
      <c r="AT63" s="66"/>
      <c r="AU63" s="192"/>
      <c r="AV63" s="192"/>
      <c r="AW63" s="195"/>
      <c r="AX63" s="192"/>
      <c r="AY63" s="192"/>
      <c r="AZ63" s="192"/>
      <c r="BA63" s="195"/>
      <c r="BB63" s="194">
        <f>(AM63-AL63)/AK63/1000</f>
        <v>9.3840277777777779</v>
      </c>
      <c r="BC63" s="189"/>
      <c r="BD63" s="189"/>
      <c r="BE63" s="187">
        <f>AL63/AJ63/1000</f>
        <v>7.1751686712226332</v>
      </c>
      <c r="BF63" s="193"/>
      <c r="BG63" s="192" t="s">
        <v>0</v>
      </c>
      <c r="BH63" s="191">
        <f>IF(OR(AE63="",Y63=""),"",Y63/AE63)</f>
        <v>0.75446049277824978</v>
      </c>
      <c r="BI63" s="190" t="str">
        <f>IF(OR(AE63="",Y63=""),"",IF(Y63/AE63&gt;1.05,"OC",IF(Y63/AE63&lt;0.95,"UC","OK")))</f>
        <v>UC</v>
      </c>
      <c r="BJ63" s="186">
        <f>(AM63-AL63)/2</f>
        <v>270.26</v>
      </c>
      <c r="BK63" s="189"/>
      <c r="BL63" s="186" t="str">
        <f>IF(BZ63="=",BJ63,"")</f>
        <v/>
      </c>
      <c r="BM63" s="188">
        <f>AN63/(AM63-AL63)</f>
        <v>0.3782838747872419</v>
      </c>
      <c r="BN63" s="186" t="str">
        <f>IF(BM63="","",IF(AND(BM63&gt;=3/4,BM63&lt;=1.5),"HS",IF(AND(BM63&gt;=0.5,BM63&lt;=1),"NC",IF(AND(BM63&gt;=0,BM63&lt;=0.5),"OC",IF(BM63&lt;0,"H-OC","")))))</f>
        <v>OC</v>
      </c>
      <c r="BO63" s="187">
        <f>IF(BX63="","",BX63)</f>
        <v>1.4499999999957929</v>
      </c>
      <c r="BP63" s="186"/>
      <c r="BQ63" s="185">
        <f>BJ63/AL63</f>
        <v>0.67564999999999997</v>
      </c>
      <c r="BR63" s="184">
        <f>AL63/W63</f>
        <v>1.3810962451445836</v>
      </c>
      <c r="BS63" s="184" t="str">
        <f>IF(OR(BR63="",BH63=""),"",IF(AND(BR63&lt;1,BH63&gt;1),"NO",""))</f>
        <v/>
      </c>
      <c r="BT63" s="183" t="str">
        <f>IF(AA63="","",AA63/W63)</f>
        <v/>
      </c>
      <c r="BU63" s="182">
        <f>BU62</f>
        <v>0.5</v>
      </c>
      <c r="BV63" s="181">
        <v>0.50191176903024559</v>
      </c>
      <c r="BW63" s="180">
        <f>(BQ63/BU63)^(1/0.8)</f>
        <v>1.4569334717872233</v>
      </c>
      <c r="BX63" s="179">
        <f>(BQ63/BV63)^(1/0.8)</f>
        <v>1.4499999999957929</v>
      </c>
      <c r="BY63" s="178">
        <f>BU63*BW63^0.8</f>
        <v>0.67564999999999997</v>
      </c>
      <c r="BZ63" s="177" t="str">
        <f>IF(BR63&lt;0.85,"",IF(AND(BR63&gt;=0.85,BR63&lt;=1.15),"=","&gt;"))</f>
        <v>&gt;</v>
      </c>
      <c r="CA63" s="177" t="str">
        <f>IF(BZ63="","",IF(AND(BQ63&gt;=0.2,BQ63&lt;=0.451),"OK","NO"))</f>
        <v>NO</v>
      </c>
      <c r="CB63" s="176" t="str">
        <f>IF(BZ63="","",IF(AL63&lt;=CF61/1.11,"OC","NC"))</f>
        <v>OC</v>
      </c>
      <c r="CC63" s="176" t="str">
        <f>IF(BZ63="","",IF(CA63="OK","NC","OC"))</f>
        <v>OC</v>
      </c>
      <c r="CD63" s="172">
        <f>IF(BQ63="","",IF(BW63="","",BW63*AL63))</f>
        <v>582.77338871488928</v>
      </c>
      <c r="CE63" s="175">
        <f>IF(BQ63="","",IF(BX63="","",BX63*AL63))</f>
        <v>579.99999999831721</v>
      </c>
      <c r="CF63" s="174"/>
      <c r="CG63" s="66">
        <f>CG62</f>
        <v>580</v>
      </c>
      <c r="CH63" s="220">
        <f>CG63/W63</f>
        <v>2.0025895554596462</v>
      </c>
      <c r="CI63" s="173" t="str">
        <f>IF(BQ63&lt;0.28,"Y","")</f>
        <v/>
      </c>
      <c r="CJ63" s="172" t="str">
        <f>IF(BQ63&lt;0.8,"Y","")</f>
        <v>Y</v>
      </c>
      <c r="CK63" s="172" t="str">
        <f>IF(BQ63&lt;BQ62,"","ERR")</f>
        <v/>
      </c>
      <c r="CL63" s="11">
        <f>IFERROR(CE63-CG63,"")</f>
        <v>-1.6827925719553605E-9</v>
      </c>
      <c r="CM63" s="163"/>
      <c r="CN63" s="168">
        <f>IF(OR(BS63="NO",BG63="TX-CID"),"",BH63)</f>
        <v>0.75446049277824978</v>
      </c>
      <c r="CO63" s="168">
        <f>IF(CN63="","",BQ63)</f>
        <v>0.67564999999999997</v>
      </c>
      <c r="CP63" s="171">
        <f>IF(CO63="","",BR63)</f>
        <v>1.3810962451445836</v>
      </c>
      <c r="CQ63" s="170">
        <f>IF(CO63="","",BV63)</f>
        <v>0.50191176903024559</v>
      </c>
      <c r="CR63" s="169">
        <f>IF(CU63="","",BX63)</f>
        <v>1.4499999999957929</v>
      </c>
      <c r="CS63" s="169">
        <f>IF(CR63="","",LN(CR63))</f>
        <v>0.37156355642958155</v>
      </c>
      <c r="CT63" s="169">
        <f>IF(CS63="","",BM63)</f>
        <v>0.3782838747872419</v>
      </c>
      <c r="CU63" s="168">
        <f>IF(CO63="","",BU63)</f>
        <v>0.5</v>
      </c>
      <c r="CV63" s="166">
        <f>IF(CR63="","",CH61)</f>
        <v>2.0025895554596462</v>
      </c>
      <c r="CW63" s="167">
        <f>IF(CU63="","",E63)</f>
        <v>25.549999999999997</v>
      </c>
      <c r="CX63" s="167"/>
      <c r="CY63" s="165">
        <f>IF(CW63="","",IF(H63=1,$DJ$3*CV63^0.8*W63,IF(H63=2,$DK$3*CV63^0.8*W63,IF(H63=3,$DL$3*CV63^0.8*W63,"ERR"))))</f>
        <v>212.01124414347788</v>
      </c>
      <c r="CZ63" s="165" t="str">
        <f>IF(CY63="","",IF(BI63="OK",BJ63,""))</f>
        <v/>
      </c>
      <c r="DA63" s="165" t="str">
        <f>IF(CY63="","",IF(BK63="","",BK63))</f>
        <v/>
      </c>
      <c r="DB63" s="166">
        <f>IF(CW63="","",BM63)</f>
        <v>0.3782838747872419</v>
      </c>
      <c r="DC63" s="165"/>
      <c r="DD63" s="165">
        <f>IF(OR(CH63="",W63=""),"",IF(H63=1,$DJ$3*CH63^0.8*W63,IF(H63=2,$DK$3*CH63^0.8*W63,IF(H63=3,$DL$3*CH63^0.8*W63,"ERR"))))</f>
        <v>212.01124414347788</v>
      </c>
      <c r="DE63" s="165">
        <f>IF(OR(CH63="",W63=""),"",IF(H63=1,$DJ$3*W63,IF(H63=2,$DK$3*W63,IF(H63=3,$DL$3*W63,"ERR"))))</f>
        <v>121.6425</v>
      </c>
      <c r="DF63" s="164">
        <f>IF(DE63="","",-1.485*LN(E63)+7.098)</f>
        <v>2.2856535847751749</v>
      </c>
      <c r="DG63" s="165">
        <f>IF(OR(DF63="",W63=""),"",IF(H63=1,$DJ$3*DF63^0.8*W63,IF(H63=2,$DK$3*DF63^0.8*W63,IF(H63=3,$DL$3*CH63^0.8*W63,"ERR"))))</f>
        <v>212.01124414347788</v>
      </c>
      <c r="DH63" s="164"/>
      <c r="DJ63" s="163"/>
      <c r="DK63" s="163"/>
      <c r="DL63" s="163"/>
    </row>
    <row r="64" spans="1:116" s="116" customFormat="1">
      <c r="A64" s="283" t="str">
        <f>IF(B64="","",IF(F64&lt;10,CONCATENATE(B64," - 0",F64),CONCATENATE(B64," - ",F64)))</f>
        <v>TRT05 - 28.75</v>
      </c>
      <c r="B64" s="160" t="s">
        <v>2</v>
      </c>
      <c r="C64" s="160">
        <v>28.53</v>
      </c>
      <c r="D64" s="160">
        <v>28.63</v>
      </c>
      <c r="E64" s="160">
        <f>AVERAGE(D64,C64)</f>
        <v>28.58</v>
      </c>
      <c r="F64" s="160">
        <f>IF(E64="","",CEILING(E64,0.25))</f>
        <v>28.75</v>
      </c>
      <c r="G64" s="160" t="s">
        <v>1</v>
      </c>
      <c r="H64" s="159">
        <v>3</v>
      </c>
      <c r="I64" s="117">
        <v>16.829999999999998</v>
      </c>
      <c r="J64" s="117">
        <v>10.7</v>
      </c>
      <c r="K64" s="158">
        <v>0.57299999999999995</v>
      </c>
      <c r="L64" s="150">
        <v>1.6639999999999999</v>
      </c>
      <c r="M64" s="157">
        <v>0.98</v>
      </c>
      <c r="N64" s="156">
        <v>9.3000000000000007</v>
      </c>
      <c r="O64" s="155">
        <f>(P64*(1+AVERAGE(L64:L66))+(9.81*M64*AVERAGE(L64:L66)))/(1+AVERAGE(L64:L66))</f>
        <v>17.18442300319489</v>
      </c>
      <c r="P64" s="154">
        <f>AVERAGE(J64:J66)</f>
        <v>11.410000000000002</v>
      </c>
      <c r="Q64" s="153">
        <f>AVERAGE(K64:K66)</f>
        <v>0.50800000000000001</v>
      </c>
      <c r="R64" s="152">
        <f>IF(L64="","",L64/(1+L64))</f>
        <v>0.62462462462462465</v>
      </c>
      <c r="S64" s="152" t="str">
        <f>IF(R64="","",IF(R64&lt;0.3,"S",IF(R64&lt;0.45,"L",IF(AND(R64&lt;0.5,R64&gt;=0.45),"C",IF(R64&gt;=0.5,"SC","")))))</f>
        <v>SC</v>
      </c>
      <c r="T64" s="290">
        <f>L64*9.81/($P$28*(1+L64))</f>
        <v>0.42181511479354539</v>
      </c>
      <c r="U64" s="289">
        <f>N64</f>
        <v>9.3000000000000007</v>
      </c>
      <c r="V64" s="289">
        <f>IF(E64="","",IF(E64&lt;=10,IF(E64&lt;=N64,18*E64,18*N64+(18-0)*(E64-N64)),IF(AND(E64&gt;10,N64&lt;=10),18*N64+(18-0)*(10-N64)+(17.5-0)*(E64-10),IF(E64&lt;N64,(18*0)+17.5*(E64-10),(18*0)+17.5*(N64-10)+(17.5-0)*(E64-N64)))))</f>
        <v>505.15</v>
      </c>
      <c r="W64" s="141">
        <f>IF(E64="","",IF(E64&lt;=10,IF(E64&lt;=N64,18*E64,18*N64+(18-10)*(E64-N64)),IF(AND(E64&gt;10,N64&lt;=10),18*N64+(18-10)*(10-N64)+(17.5-10)*(E64-10),IF(E64&lt;N64,(18*10)+17.5*(E64-10),(18*10)+17.5*(N64-10)+(17.5-10)*(E64-N64)))))</f>
        <v>312.35000000000002</v>
      </c>
      <c r="X64" s="142">
        <v>293</v>
      </c>
      <c r="Y64" s="150">
        <v>1.4630000000000001</v>
      </c>
      <c r="Z64" s="118">
        <v>2</v>
      </c>
      <c r="AA64" s="136">
        <v>600</v>
      </c>
      <c r="AB64" s="149"/>
      <c r="AC64" s="148"/>
      <c r="AD64" s="147"/>
      <c r="AE64" s="146">
        <v>1.603</v>
      </c>
      <c r="AF64" s="145">
        <v>78.97</v>
      </c>
      <c r="AG64" s="118">
        <v>78.08</v>
      </c>
      <c r="AH64" s="118">
        <v>1125.77</v>
      </c>
      <c r="AI64" s="118">
        <v>1112.48</v>
      </c>
      <c r="AJ64" s="144">
        <f>IF(AF64="","",1-(AG64*AI64/AF64/AH64))</f>
        <v>2.2942309448410581E-2</v>
      </c>
      <c r="AK64" s="143">
        <v>5.4800000000000001E-2</v>
      </c>
      <c r="AL64" s="142">
        <v>100</v>
      </c>
      <c r="AM64" s="136">
        <v>373.22</v>
      </c>
      <c r="AN64" s="141">
        <f>AL64-AQ64</f>
        <v>50.72</v>
      </c>
      <c r="AO64" s="141">
        <f>AN64-AP64</f>
        <v>0</v>
      </c>
      <c r="AP64" s="141">
        <f>AM64-AR64</f>
        <v>50.720000000000027</v>
      </c>
      <c r="AQ64" s="136">
        <v>49.28</v>
      </c>
      <c r="AR64" s="136">
        <v>322.5</v>
      </c>
      <c r="AS64" s="140"/>
      <c r="AT64" s="139">
        <v>65</v>
      </c>
      <c r="AU64" s="133">
        <v>17</v>
      </c>
      <c r="AV64" s="133">
        <v>60</v>
      </c>
      <c r="AW64" s="138">
        <v>24</v>
      </c>
      <c r="AX64" s="133">
        <v>53</v>
      </c>
      <c r="AY64" s="133">
        <v>17</v>
      </c>
      <c r="AZ64" s="133">
        <v>45</v>
      </c>
      <c r="BA64" s="138">
        <v>27</v>
      </c>
      <c r="BB64" s="137">
        <f>(AM64-AL64)/AK64/1000</f>
        <v>4.9857664233576644</v>
      </c>
      <c r="BC64" s="136"/>
      <c r="BD64" s="136"/>
      <c r="BE64" s="135">
        <f>AL64/AJ64/1000</f>
        <v>4.3587590963702167</v>
      </c>
      <c r="BF64" s="134"/>
      <c r="BG64" s="133" t="s">
        <v>0</v>
      </c>
      <c r="BH64" s="132">
        <f>IF(OR(AE64="",Y64=""),"",Y64/AE64)</f>
        <v>0.9126637554585153</v>
      </c>
      <c r="BI64" s="131" t="str">
        <f>IF(OR(AE64="",Y64=""),"",IF(Y64/AE64&gt;1.05,"OC",IF(Y64/AE64&lt;0.95,"UC","OK")))</f>
        <v>UC</v>
      </c>
      <c r="BJ64" s="130">
        <f>(AM64-AL64)/2</f>
        <v>136.61000000000001</v>
      </c>
      <c r="BK64" s="37">
        <f>AVERAGE(BJ64:BJ66)+(_xlfn.COVARIANCE.P(AL64:AL66,BJ64:BJ66)/_xlfn.STDEV.P(AL64:AL66)^2)*(W64-AVERAGE(AL64:AL66))</f>
        <v>210.98864374999999</v>
      </c>
      <c r="BL64" s="37" t="str">
        <f>IF(BZ64="=",BJ64,"")</f>
        <v/>
      </c>
      <c r="BM64" s="110">
        <f>AN64/(AM64-AL64)</f>
        <v>0.18563794744162213</v>
      </c>
      <c r="BN64" s="37" t="str">
        <f>IF(BM64="","",IF(AND(BM64&gt;=3/4,BM64&lt;=1.5),"HS",IF(AND(BM64&gt;=0.5,BM64&lt;=1),"NC",IF(AND(BM64&gt;=0,BM64&lt;=0.5),"OC",IF(BM64&lt;0,"H-OC","")))))</f>
        <v>OC</v>
      </c>
      <c r="BO64" s="109">
        <f>IF(BX64="","",BX64)</f>
        <v>6.0000000000294884</v>
      </c>
      <c r="BP64" s="37"/>
      <c r="BQ64" s="27">
        <f>BJ64/AL64</f>
        <v>1.3661000000000001</v>
      </c>
      <c r="BR64" s="129">
        <f>AL64/W64</f>
        <v>0.32015367376340642</v>
      </c>
      <c r="BS64" s="129" t="str">
        <f>IF(OR(BR64="",BH64=""),"",IF(AND(BR64&lt;1,BH64&gt;1),"NO",""))</f>
        <v/>
      </c>
      <c r="BT64" s="128">
        <f>IF(AA64="","",AA64/W64)</f>
        <v>1.9209220425804385</v>
      </c>
      <c r="BU64" s="24">
        <v>0.45</v>
      </c>
      <c r="BV64" s="23">
        <v>0.32580781028170058</v>
      </c>
      <c r="BW64" s="22">
        <f>(BQ64/BU64)^(1/0.8)</f>
        <v>4.0071672747340488</v>
      </c>
      <c r="BX64" s="21">
        <f>(BQ64/BV64)^(1/0.8)</f>
        <v>6.0000000000294884</v>
      </c>
      <c r="BY64" s="20">
        <f>BU64*BW64^0.8</f>
        <v>1.3661000000000001</v>
      </c>
      <c r="BZ64" s="19" t="str">
        <f>IF(BR64&lt;0.85,"",IF(AND(BR64&gt;=0.85,BR64&lt;=1.15),"=","&gt;"))</f>
        <v/>
      </c>
      <c r="CA64" s="19" t="str">
        <f>IF(BZ64="","",IF(AND(BQ64&gt;=0.2,BQ64&lt;=0.451),"OK","NO"))</f>
        <v/>
      </c>
      <c r="CB64" s="18" t="str">
        <f>IF(BZ64="","",IF(AL64&lt;=CF64/1.11,"OC","NC"))</f>
        <v/>
      </c>
      <c r="CC64" s="18" t="str">
        <f>IF(BZ64="","",IF(CA64="OK","NC","OC"))</f>
        <v/>
      </c>
      <c r="CD64" s="12"/>
      <c r="CE64" s="17">
        <f>IF(BQ64="","",IF(BX64="","",BX64*AL64))</f>
        <v>600.00000000294881</v>
      </c>
      <c r="CF64" s="16">
        <f>AVERAGE(CD64:CD66)</f>
        <v>599.0086672056741</v>
      </c>
      <c r="CG64" s="15">
        <v>600</v>
      </c>
      <c r="CH64" s="14">
        <f>CG64/W64</f>
        <v>1.9209220425804385</v>
      </c>
      <c r="CI64" s="13" t="str">
        <f>IF(BQ64&lt;0.28,"Y","")</f>
        <v/>
      </c>
      <c r="CJ64" s="12" t="str">
        <f>IF(BQ64&lt;0.8,"Y","")</f>
        <v/>
      </c>
      <c r="CK64" s="126"/>
      <c r="CL64" s="125">
        <f>IFERROR(CE64-CG64,"")</f>
        <v>2.9488091968232766E-9</v>
      </c>
      <c r="CM64" s="117"/>
      <c r="CN64" s="121">
        <f>IF(OR(BS64="NO",BG64="TX-CID"),"",BH64)</f>
        <v>0.9126637554585153</v>
      </c>
      <c r="CO64" s="121">
        <f>IF(CN64="","",BQ64)</f>
        <v>1.3661000000000001</v>
      </c>
      <c r="CP64" s="124">
        <f>IF(CO64="","",BR64)</f>
        <v>0.32015367376340642</v>
      </c>
      <c r="CQ64" s="123">
        <f>IF(CO64="","",BV64)</f>
        <v>0.32580781028170058</v>
      </c>
      <c r="CR64" s="122">
        <f>IF(CU64="","",BX64)</f>
        <v>6.0000000000294884</v>
      </c>
      <c r="CS64" s="122">
        <f>IF(CR64="","",LN(CR64))</f>
        <v>1.7917594692329697</v>
      </c>
      <c r="CT64" s="122">
        <f>IF(CS64="","",BM64)</f>
        <v>0.18563794744162213</v>
      </c>
      <c r="CU64" s="121">
        <f>IF(CO64="","",BU64)</f>
        <v>0.45</v>
      </c>
      <c r="CV64" s="6">
        <f>IF(CR64="","",CH64)</f>
        <v>1.9209220425804385</v>
      </c>
      <c r="CW64" s="5">
        <f>IF(CU64="","",E64)</f>
        <v>28.58</v>
      </c>
      <c r="CX64" s="5"/>
      <c r="CY64" s="119">
        <f>IF(CW64="","",IF(H64=1,$DJ$3*CV64^0.8*W64,IF(H64=2,$DK$3*CV64^0.8*W64,IF(H64=3,$DL$3*CV64^0.8*W64,"ERR"))))</f>
        <v>221.1559319731295</v>
      </c>
      <c r="CZ64" s="119" t="str">
        <f>IF(CY64="","",IF(BI64="OK",BJ64,""))</f>
        <v/>
      </c>
      <c r="DA64" s="119">
        <f>IF(CY64="","",IF(BK64="","",BK64))</f>
        <v>210.98864374999999</v>
      </c>
      <c r="DB64" s="120">
        <f>IF(CW64="","",BM64)</f>
        <v>0.18563794744162213</v>
      </c>
      <c r="DC64" s="119"/>
      <c r="DD64" s="119">
        <f>IF(OR(CH64="",W64=""),"",IF(H64=1,$DJ$3*CH64^0.8*W64,IF(H64=2,$DK$3*CH64^0.8*W64,IF(H64=3,$DL$3*CH64^0.8*W64,"ERR"))))</f>
        <v>221.1559319731295</v>
      </c>
      <c r="DE64" s="119">
        <f>IF(OR(CH64="",W64=""),"",IF(H64=1,$DJ$3*W64,IF(H64=2,$DK$3*W64,IF(H64=3,$DL$3*W64,"ERR"))))</f>
        <v>131.18700000000001</v>
      </c>
      <c r="DF64" s="118">
        <f>IF(DE64="","",-1.485*LN(E64)+7.098)</f>
        <v>2.1192298488349435</v>
      </c>
      <c r="DG64" s="119">
        <f>IF(OR(DF64="",W64=""),"",IF(H64=1,$DJ$3*DF64^0.8*W64,IF(H64=2,$DK$3*DF64^0.8*W64,IF(H64=3,$DL$3*CH64^0.8*W64,"ERR"))))</f>
        <v>221.1559319731295</v>
      </c>
      <c r="DH64" s="118"/>
      <c r="DJ64" s="117"/>
      <c r="DK64" s="117"/>
      <c r="DL64" s="117"/>
    </row>
    <row r="65" spans="1:116">
      <c r="A65" s="51" t="str">
        <f>IF(B65="","",IF(F65&lt;10,CONCATENATE(B65," - 0",F65),CONCATENATE(B65," - ",F65)))</f>
        <v>TRT05 - 28.75</v>
      </c>
      <c r="B65" s="114" t="s">
        <v>2</v>
      </c>
      <c r="C65" s="114">
        <v>28.53</v>
      </c>
      <c r="D65" s="114">
        <v>28.63</v>
      </c>
      <c r="E65" s="114">
        <f>AVERAGE(D65,C65)</f>
        <v>28.58</v>
      </c>
      <c r="F65" s="114">
        <f>IF(E65="","",CEILING(E65,0.25))</f>
        <v>28.75</v>
      </c>
      <c r="G65" s="114" t="s">
        <v>1</v>
      </c>
      <c r="H65" s="113">
        <v>3</v>
      </c>
      <c r="I65" s="2">
        <v>17.239999999999998</v>
      </c>
      <c r="J65" s="2">
        <v>12.01</v>
      </c>
      <c r="K65" s="112">
        <v>0.436</v>
      </c>
      <c r="L65" s="45">
        <v>1.373</v>
      </c>
      <c r="M65" s="49">
        <v>0.9</v>
      </c>
      <c r="N65" s="48">
        <v>9.3000000000000007</v>
      </c>
      <c r="O65" s="218"/>
      <c r="P65" s="217"/>
      <c r="Q65" s="216"/>
      <c r="R65" s="47">
        <f>IF(L65="","",L65/(1+L65))</f>
        <v>0.57859249894648124</v>
      </c>
      <c r="S65" s="47" t="str">
        <f>IF(R65="","",IF(R65&lt;0.3,"S",IF(R65&lt;0.45,"L",IF(AND(R65&lt;0.5,R65&gt;=0.45),"C",IF(R65&gt;=0.5,"SC","")))))</f>
        <v>SC</v>
      </c>
      <c r="T65" s="288">
        <f>L65*9.81/($P$28*(1+L65))</f>
        <v>0.39072917035325705</v>
      </c>
      <c r="U65" s="287">
        <f>N65</f>
        <v>9.3000000000000007</v>
      </c>
      <c r="V65" s="287">
        <f>IF(E65="","",IF(E65&lt;=10,IF(E65&lt;=N65,18*E65,18*N65+(18-0)*(E65-N65)),IF(AND(E65&gt;10,N65&lt;=10),18*N65+(18-0)*(10-N65)+(17.5-0)*(E65-10),IF(E65&lt;N65,(18*0)+17.5*(E65-10),(18*0)+17.5*(N65-10)+(17.5-0)*(E65-N65)))))</f>
        <v>505.15</v>
      </c>
      <c r="W65" s="37">
        <f>IF(E65="","",IF(E65&lt;=10,IF(E65&lt;=N65,18*E65,18*N65+(18-10)*(E65-N65)),IF(AND(E65&gt;10,N65&lt;=10),18*N65+(18-10)*(10-N65)+(17.5-10)*(E65-10),IF(E65&lt;N65,(18*10)+17.5*(E65-10),(18*10)+17.5*(N65-10)+(17.5-10)*(E65-N65)))))</f>
        <v>312.35000000000002</v>
      </c>
      <c r="Y65" s="45">
        <f>Y64</f>
        <v>1.4630000000000001</v>
      </c>
      <c r="AE65" s="41">
        <v>1.31</v>
      </c>
      <c r="AF65" s="40">
        <v>78.83</v>
      </c>
      <c r="AG65" s="3">
        <v>78.39</v>
      </c>
      <c r="AH65" s="3">
        <v>1136.5</v>
      </c>
      <c r="AI65" s="3">
        <v>1112.57</v>
      </c>
      <c r="AJ65" s="39">
        <f>IF(AF65="","",1-(AG65*AI65/AF65/AH65))</f>
        <v>2.651997853115684E-2</v>
      </c>
      <c r="AK65" s="38">
        <v>3.9199999999999999E-2</v>
      </c>
      <c r="AL65" s="34">
        <v>200</v>
      </c>
      <c r="AM65" s="28">
        <v>512.37</v>
      </c>
      <c r="AN65" s="37">
        <f>AL65-AQ65</f>
        <v>110.97</v>
      </c>
      <c r="AO65" s="37">
        <f>AN65-AP65</f>
        <v>0</v>
      </c>
      <c r="AP65" s="37">
        <f>AM65-AR65</f>
        <v>110.97000000000003</v>
      </c>
      <c r="AQ65" s="28">
        <v>89.03</v>
      </c>
      <c r="AR65" s="28">
        <v>401.4</v>
      </c>
      <c r="BB65" s="111">
        <f>(AM65-AL65)/AK65/1000</f>
        <v>7.968622448979592</v>
      </c>
      <c r="BE65" s="109">
        <f>AL65/AJ65/1000</f>
        <v>7.541484234801743</v>
      </c>
      <c r="BG65" s="32" t="s">
        <v>0</v>
      </c>
      <c r="BH65" s="31">
        <f>IF(OR(AE65="",Y65=""),"",Y65/AE65)</f>
        <v>1.116793893129771</v>
      </c>
      <c r="BI65" s="30" t="str">
        <f>IF(OR(AE65="",Y65=""),"",IF(Y65/AE65&gt;1.05,"OC",IF(Y65/AE65&lt;0.95,"UC","OK")))</f>
        <v>OC</v>
      </c>
      <c r="BJ65" s="37">
        <f>(AM65-AL65)/2</f>
        <v>156.185</v>
      </c>
      <c r="BL65" s="37" t="str">
        <f>IF(BZ65="=",BJ65,"")</f>
        <v/>
      </c>
      <c r="BM65" s="110">
        <f>AN65/(AM65-AL65)</f>
        <v>0.35525178474245284</v>
      </c>
      <c r="BN65" s="37" t="str">
        <f>IF(BM65="","",IF(AND(BM65&gt;=3/4,BM65&lt;=1.5),"HS",IF(AND(BM65&gt;=0.5,BM65&lt;=1),"NC",IF(AND(BM65&gt;=0,BM65&lt;=0.5),"OC",IF(BM65&lt;0,"H-OC","")))))</f>
        <v>OC</v>
      </c>
      <c r="BO65" s="109">
        <f>IF(BX65="","",BX65)</f>
        <v>2.9999999999994862</v>
      </c>
      <c r="BP65" s="37"/>
      <c r="BQ65" s="27">
        <f>BJ65/AL65</f>
        <v>0.78092499999999998</v>
      </c>
      <c r="BR65" s="26">
        <f>AL65/W65</f>
        <v>0.64030734752681284</v>
      </c>
      <c r="BS65" s="26" t="str">
        <f>IF(OR(BR65="",BH65=""),"",IF(AND(BR65&lt;1,BH65&gt;1),"NO",""))</f>
        <v>NO</v>
      </c>
      <c r="BT65" s="25" t="str">
        <f>IF(AA65="","",AA65/W65)</f>
        <v/>
      </c>
      <c r="BU65" s="24">
        <f>BU64</f>
        <v>0.45</v>
      </c>
      <c r="BV65" s="23">
        <v>0.32427414467312704</v>
      </c>
      <c r="BW65" s="22">
        <f>(BQ65/BU65)^(1/0.8)</f>
        <v>1.9918013188755856</v>
      </c>
      <c r="BX65" s="21">
        <f>(BQ65/BV65)^(1/0.8)</f>
        <v>2.9999999999994862</v>
      </c>
      <c r="BY65" s="20">
        <f>BU65*BW65^0.8</f>
        <v>0.78092499999999998</v>
      </c>
      <c r="BZ65" s="19" t="str">
        <f>IF(BR65&lt;0.85,"",IF(AND(BR65&gt;=0.85,BR65&lt;=1.15),"=","&gt;"))</f>
        <v/>
      </c>
      <c r="CA65" s="19" t="str">
        <f>IF(BZ65="","",IF(AND(BQ65&gt;=0.2,BQ65&lt;=0.451),"OK","NO"))</f>
        <v/>
      </c>
      <c r="CB65" s="18" t="str">
        <f>IF(BZ65="","",IF(AL65&lt;=CF64/1.11,"OC","NC"))</f>
        <v/>
      </c>
      <c r="CC65" s="18" t="str">
        <f>IF(BZ65="","",IF(CA65="OK","NC","OC"))</f>
        <v/>
      </c>
      <c r="CE65" s="17">
        <f>IF(BQ65="","",IF(BX65="","",BX65*AL65))</f>
        <v>599.99999999989723</v>
      </c>
      <c r="CG65" s="15">
        <f>CG64</f>
        <v>600</v>
      </c>
      <c r="CH65" s="14">
        <f>CG65/W65</f>
        <v>1.9209220425804385</v>
      </c>
      <c r="CI65" s="13" t="str">
        <f>IF(BQ65&lt;0.28,"Y","")</f>
        <v/>
      </c>
      <c r="CJ65" s="12" t="str">
        <f>IF(BQ65&lt;0.8,"Y","")</f>
        <v>Y</v>
      </c>
      <c r="CK65" s="12" t="str">
        <f>IF(BQ65&lt;BQ64,"","ERR")</f>
        <v/>
      </c>
      <c r="CL65" s="11">
        <f>IFERROR(CE65-CG65,"")</f>
        <v>-1.0277290130034089E-10</v>
      </c>
      <c r="CN65" s="7" t="str">
        <f>IF(OR(BS65="NO",BG65="TX-CID"),"",BH65)</f>
        <v/>
      </c>
      <c r="CO65" s="7" t="str">
        <f>IF(CN65="","",BQ65)</f>
        <v/>
      </c>
      <c r="CP65" s="10" t="str">
        <f>IF(CO65="","",BR65)</f>
        <v/>
      </c>
      <c r="CQ65" s="9" t="str">
        <f>IF(CO65="","",BV65)</f>
        <v/>
      </c>
      <c r="CR65" s="8" t="str">
        <f>IF(CU65="","",BX65)</f>
        <v/>
      </c>
      <c r="CS65" s="8" t="str">
        <f>IF(CR65="","",LN(CR65))</f>
        <v/>
      </c>
      <c r="CT65" s="8" t="str">
        <f>IF(CS65="","",BM65)</f>
        <v/>
      </c>
      <c r="CU65" s="7" t="str">
        <f>IF(CO65="","",BU65)</f>
        <v/>
      </c>
      <c r="CV65" s="6" t="str">
        <f>IF(CR65="","",CH64)</f>
        <v/>
      </c>
      <c r="CW65" s="5" t="str">
        <f>IF(CU65="","",E65)</f>
        <v/>
      </c>
      <c r="CY65" s="4" t="str">
        <f>IF(CW65="","",IF(H65=1,$DJ$3*CV65^0.8*W65,IF(H65=2,$DK$3*CV65^0.8*W65,IF(H65=3,$DL$3*CV65^0.8*W65,"ERR"))))</f>
        <v/>
      </c>
      <c r="CZ65" s="4" t="str">
        <f>IF(CY65="","",IF(BI65="OK",BJ65,""))</f>
        <v/>
      </c>
      <c r="DA65" s="4" t="str">
        <f>IF(CY65="","",IF(BK65="","",BK65))</f>
        <v/>
      </c>
      <c r="DB65" s="6" t="str">
        <f>IF(CW65="","",BM65)</f>
        <v/>
      </c>
      <c r="DD65" s="4">
        <f>IF(OR(CH65="",W65=""),"",IF(H65=1,$DJ$3*CH65^0.8*W65,IF(H65=2,$DK$3*CH65^0.8*W65,IF(H65=3,$DL$3*CH65^0.8*W65,"ERR"))))</f>
        <v>221.1559319731295</v>
      </c>
      <c r="DE65" s="4">
        <f>IF(OR(CH65="",W65=""),"",IF(H65=1,$DJ$3*W65,IF(H65=2,$DK$3*W65,IF(H65=3,$DL$3*W65,"ERR"))))</f>
        <v>131.18700000000001</v>
      </c>
      <c r="DF65" s="3">
        <f>IF(DE65="","",-1.485*LN(E65)+7.098)</f>
        <v>2.1192298488349435</v>
      </c>
      <c r="DG65" s="4">
        <f>IF(OR(DF65="",W65=""),"",IF(H65=1,$DJ$3*DF65^0.8*W65,IF(H65=2,$DK$3*DF65^0.8*W65,IF(H65=3,$DL$3*CH65^0.8*W65,"ERR"))))</f>
        <v>221.1559319731295</v>
      </c>
    </row>
    <row r="66" spans="1:116" s="162" customFormat="1">
      <c r="A66" s="286" t="str">
        <f>IF(B66="","",IF(F66&lt;10,CONCATENATE(B66," - 0",F66),CONCATENATE(B66," - ",F66)))</f>
        <v>TRT05 - 28.75</v>
      </c>
      <c r="B66" s="212" t="s">
        <v>2</v>
      </c>
      <c r="C66" s="212">
        <v>28.53</v>
      </c>
      <c r="D66" s="212">
        <v>28.63</v>
      </c>
      <c r="E66" s="212">
        <f>AVERAGE(D66,C66)</f>
        <v>28.58</v>
      </c>
      <c r="F66" s="212">
        <f>IF(E66="","",CEILING(E66,0.25))</f>
        <v>28.75</v>
      </c>
      <c r="G66" s="212" t="s">
        <v>1</v>
      </c>
      <c r="H66" s="211">
        <v>3</v>
      </c>
      <c r="I66" s="163">
        <v>17.45</v>
      </c>
      <c r="J66" s="163">
        <v>11.52</v>
      </c>
      <c r="K66" s="210">
        <v>0.51500000000000001</v>
      </c>
      <c r="L66" s="205">
        <v>1.4750000000000001</v>
      </c>
      <c r="M66" s="209">
        <v>1</v>
      </c>
      <c r="N66" s="208">
        <v>9.3000000000000007</v>
      </c>
      <c r="O66" s="223"/>
      <c r="P66" s="222"/>
      <c r="Q66" s="221"/>
      <c r="R66" s="207">
        <f>IF(L66="","",L66/(1+L66))</f>
        <v>0.59595959595959602</v>
      </c>
      <c r="S66" s="207" t="str">
        <f>IF(R66="","",IF(R66&lt;0.3,"S",IF(R66&lt;0.45,"L",IF(AND(R66&lt;0.5,R66&gt;=0.45),"C",IF(R66&gt;=0.5,"SC","")))))</f>
        <v>SC</v>
      </c>
      <c r="T66" s="285">
        <f>L66*9.81/($P$28*(1+L66))</f>
        <v>0.40245734073177858</v>
      </c>
      <c r="U66" s="284">
        <f>N66</f>
        <v>9.3000000000000007</v>
      </c>
      <c r="V66" s="284">
        <f>IF(E66="","",IF(E66&lt;=10,IF(E66&lt;=N66,18*E66,18*N66+(18-0)*(E66-N66)),IF(AND(E66&gt;10,N66&lt;=10),18*N66+(18-0)*(10-N66)+(17.5-0)*(E66-10),IF(E66&lt;N66,(18*0)+17.5*(E66-10),(18*0)+17.5*(N66-10)+(17.5-0)*(E66-N66)))))</f>
        <v>505.15</v>
      </c>
      <c r="W66" s="186">
        <f>IF(E66="","",IF(E66&lt;=10,IF(E66&lt;=N66,18*E66,18*N66+(18-10)*(E66-N66)),IF(AND(E66&gt;10,N66&lt;=10),18*N66+(18-10)*(10-N66)+(17.5-10)*(E66-10),IF(E66&lt;N66,(18*10)+17.5*(E66-10),(18*10)+17.5*(N66-10)+(17.5-10)*(E66-N66)))))</f>
        <v>312.35000000000002</v>
      </c>
      <c r="X66" s="197"/>
      <c r="Y66" s="205">
        <f>Y65</f>
        <v>1.4630000000000001</v>
      </c>
      <c r="Z66" s="164"/>
      <c r="AA66" s="189"/>
      <c r="AB66" s="204"/>
      <c r="AC66" s="203"/>
      <c r="AD66" s="202"/>
      <c r="AE66" s="201">
        <v>1.319</v>
      </c>
      <c r="AF66" s="200">
        <v>79</v>
      </c>
      <c r="AG66" s="164">
        <v>77.2</v>
      </c>
      <c r="AH66" s="164">
        <v>1132.32</v>
      </c>
      <c r="AI66" s="164">
        <v>1085.67</v>
      </c>
      <c r="AJ66" s="199">
        <f>IF(AF66="","",1-(AG66*AI66/AF66/AH66))</f>
        <v>6.3044708925150572E-2</v>
      </c>
      <c r="AK66" s="198">
        <v>9.0399999999999994E-2</v>
      </c>
      <c r="AL66" s="197">
        <v>400</v>
      </c>
      <c r="AM66" s="189">
        <v>897.28</v>
      </c>
      <c r="AN66" s="186">
        <f>AL66-AQ66</f>
        <v>177.36</v>
      </c>
      <c r="AO66" s="186">
        <f>AN66-AP66</f>
        <v>-9.9999999999909051E-3</v>
      </c>
      <c r="AP66" s="186">
        <f>AM66-AR66</f>
        <v>177.37</v>
      </c>
      <c r="AQ66" s="189">
        <v>222.64</v>
      </c>
      <c r="AR66" s="189">
        <v>719.91</v>
      </c>
      <c r="AS66" s="196"/>
      <c r="AT66" s="66"/>
      <c r="AU66" s="192"/>
      <c r="AV66" s="192"/>
      <c r="AW66" s="195"/>
      <c r="AX66" s="192"/>
      <c r="AY66" s="192"/>
      <c r="AZ66" s="192"/>
      <c r="BA66" s="195"/>
      <c r="BB66" s="194">
        <f>(AM66-AL66)/AK66/1000</f>
        <v>5.5008849557522126</v>
      </c>
      <c r="BC66" s="189"/>
      <c r="BD66" s="189"/>
      <c r="BE66" s="187">
        <f>AL66/AJ66/1000</f>
        <v>6.3447037319959305</v>
      </c>
      <c r="BF66" s="193"/>
      <c r="BG66" s="192" t="s">
        <v>0</v>
      </c>
      <c r="BH66" s="191">
        <f>IF(OR(AE66="",Y66=""),"",Y66/AE66)</f>
        <v>1.1091736163760426</v>
      </c>
      <c r="BI66" s="190" t="str">
        <f>IF(OR(AE66="",Y66=""),"",IF(Y66/AE66&gt;1.05,"OC",IF(Y66/AE66&lt;0.95,"UC","OK")))</f>
        <v>OC</v>
      </c>
      <c r="BJ66" s="186">
        <f>(AM66-AL66)/2</f>
        <v>248.64</v>
      </c>
      <c r="BK66" s="189"/>
      <c r="BL66" s="186" t="str">
        <f>IF(BZ66="=",BJ66,"")</f>
        <v/>
      </c>
      <c r="BM66" s="188">
        <f>AN66/(AM66-AL66)</f>
        <v>0.3566602316602317</v>
      </c>
      <c r="BN66" s="186" t="str">
        <f>IF(BM66="","",IF(AND(BM66&gt;=3/4,BM66&lt;=1.5),"HS",IF(AND(BM66&gt;=0.5,BM66&lt;=1),"NC",IF(AND(BM66&gt;=0,BM66&lt;=0.5),"OC",IF(BM66&lt;0,"H-OC","")))))</f>
        <v>OC</v>
      </c>
      <c r="BO66" s="187">
        <f>IF(BX66="","",BX66)</f>
        <v>1.5000000000075939</v>
      </c>
      <c r="BP66" s="186"/>
      <c r="BQ66" s="185">
        <f>BJ66/AL66</f>
        <v>0.62159999999999993</v>
      </c>
      <c r="BR66" s="184">
        <f>AL66/W66</f>
        <v>1.2806146950536257</v>
      </c>
      <c r="BS66" s="184" t="str">
        <f>IF(OR(BR66="",BH66=""),"",IF(AND(BR66&lt;1,BH66&gt;1),"NO",""))</f>
        <v/>
      </c>
      <c r="BT66" s="183" t="str">
        <f>IF(AA66="","",AA66/W66)</f>
        <v/>
      </c>
      <c r="BU66" s="182">
        <f>BU65</f>
        <v>0.45</v>
      </c>
      <c r="BV66" s="181">
        <v>0.44940510198250611</v>
      </c>
      <c r="BW66" s="180">
        <f>(BQ66/BU66)^(1/0.8)</f>
        <v>1.4975216680141852</v>
      </c>
      <c r="BX66" s="179">
        <f>(BQ66/BV66)^(1/0.8)</f>
        <v>1.5000000000075939</v>
      </c>
      <c r="BY66" s="178">
        <f>BU66*BW66^0.8</f>
        <v>0.62159999999999993</v>
      </c>
      <c r="BZ66" s="177" t="str">
        <f>IF(BR66&lt;0.85,"",IF(AND(BR66&gt;=0.85,BR66&lt;=1.15),"=","&gt;"))</f>
        <v>&gt;</v>
      </c>
      <c r="CA66" s="177" t="str">
        <f>IF(BZ66="","",IF(AND(BQ66&gt;=0.2,BQ66&lt;=0.451),"OK","NO"))</f>
        <v>NO</v>
      </c>
      <c r="CB66" s="176" t="str">
        <f>IF(BZ66="","",IF(AL66&lt;=CF64/1.11,"OC","NC"))</f>
        <v>OC</v>
      </c>
      <c r="CC66" s="176" t="str">
        <f>IF(BZ66="","",IF(CA66="OK","NC","OC"))</f>
        <v>OC</v>
      </c>
      <c r="CD66" s="172">
        <f>IF(BQ66="","",IF(BW66="","",BW66*AL66))</f>
        <v>599.0086672056741</v>
      </c>
      <c r="CE66" s="175">
        <f>IF(BQ66="","",IF(BX66="","",BX66*AL66))</f>
        <v>600.0000000030376</v>
      </c>
      <c r="CF66" s="174"/>
      <c r="CG66" s="66">
        <f>CG65</f>
        <v>600</v>
      </c>
      <c r="CH66" s="220">
        <f>CG66/W66</f>
        <v>1.9209220425804385</v>
      </c>
      <c r="CI66" s="173" t="str">
        <f>IF(BQ66&lt;0.28,"Y","")</f>
        <v/>
      </c>
      <c r="CJ66" s="172" t="str">
        <f>IF(BQ66&lt;0.8,"Y","")</f>
        <v>Y</v>
      </c>
      <c r="CK66" s="172" t="str">
        <f>IF(BQ66&lt;BQ65,"","ERR")</f>
        <v/>
      </c>
      <c r="CL66" s="11">
        <f>IFERROR(CE66-CG66,"")</f>
        <v>3.0375986170838587E-9</v>
      </c>
      <c r="CM66" s="163"/>
      <c r="CN66" s="168">
        <f>IF(OR(BS66="NO",BG66="TX-CID"),"",BH66)</f>
        <v>1.1091736163760426</v>
      </c>
      <c r="CO66" s="168">
        <f>IF(CN66="","",BQ66)</f>
        <v>0.62159999999999993</v>
      </c>
      <c r="CP66" s="171">
        <f>IF(CO66="","",BR66)</f>
        <v>1.2806146950536257</v>
      </c>
      <c r="CQ66" s="170">
        <f>IF(CO66="","",BV66)</f>
        <v>0.44940510198250611</v>
      </c>
      <c r="CR66" s="169">
        <f>IF(CU66="","",BX66)</f>
        <v>1.5000000000075939</v>
      </c>
      <c r="CS66" s="169">
        <f>IF(CR66="","",LN(CR66))</f>
        <v>0.405465108113227</v>
      </c>
      <c r="CT66" s="169">
        <f>IF(CS66="","",BM66)</f>
        <v>0.3566602316602317</v>
      </c>
      <c r="CU66" s="168">
        <f>IF(CO66="","",BU66)</f>
        <v>0.45</v>
      </c>
      <c r="CV66" s="166">
        <f>IF(CR66="","",CH64)</f>
        <v>1.9209220425804385</v>
      </c>
      <c r="CW66" s="167">
        <f>IF(CU66="","",E66)</f>
        <v>28.58</v>
      </c>
      <c r="CX66" s="167"/>
      <c r="CY66" s="165">
        <f>IF(CW66="","",IF(H66=1,$DJ$3*CV66^0.8*W66,IF(H66=2,$DK$3*CV66^0.8*W66,IF(H66=3,$DL$3*CV66^0.8*W66,"ERR"))))</f>
        <v>221.1559319731295</v>
      </c>
      <c r="CZ66" s="165" t="str">
        <f>IF(CY66="","",IF(BI66="OK",BJ66,""))</f>
        <v/>
      </c>
      <c r="DA66" s="165" t="str">
        <f>IF(CY66="","",IF(BK66="","",BK66))</f>
        <v/>
      </c>
      <c r="DB66" s="166">
        <f>IF(CW66="","",BM66)</f>
        <v>0.3566602316602317</v>
      </c>
      <c r="DC66" s="165"/>
      <c r="DD66" s="165">
        <f>IF(OR(CH66="",W66=""),"",IF(H66=1,$DJ$3*CH66^0.8*W66,IF(H66=2,$DK$3*CH66^0.8*W66,IF(H66=3,$DL$3*CH66^0.8*W66,"ERR"))))</f>
        <v>221.1559319731295</v>
      </c>
      <c r="DE66" s="165">
        <f>IF(OR(CH66="",W66=""),"",IF(H66=1,$DJ$3*W66,IF(H66=2,$DK$3*W66,IF(H66=3,$DL$3*W66,"ERR"))))</f>
        <v>131.18700000000001</v>
      </c>
      <c r="DF66" s="164">
        <f>IF(DE66="","",-1.485*LN(E66)+7.098)</f>
        <v>2.1192298488349435</v>
      </c>
      <c r="DG66" s="165">
        <f>IF(OR(DF66="",W66=""),"",IF(H66=1,$DJ$3*DF66^0.8*W66,IF(H66=2,$DK$3*DF66^0.8*W66,IF(H66=3,$DL$3*CH66^0.8*W66,"ERR"))))</f>
        <v>221.1559319731295</v>
      </c>
      <c r="DH66" s="164"/>
      <c r="DJ66" s="163"/>
      <c r="DK66" s="163"/>
      <c r="DL66" s="163"/>
    </row>
    <row r="67" spans="1:116" s="116" customFormat="1">
      <c r="A67" s="283" t="str">
        <f>IF(B67="","",IF(F67&lt;10,CONCATENATE(B67," - 0",F67),CONCATENATE(B67," - ",F67)))</f>
        <v>TRT05 - 31.75</v>
      </c>
      <c r="B67" s="160" t="s">
        <v>2</v>
      </c>
      <c r="C67" s="160">
        <v>31.5</v>
      </c>
      <c r="D67" s="160">
        <v>31.8</v>
      </c>
      <c r="E67" s="160">
        <f>AVERAGE(D67,C67)</f>
        <v>31.65</v>
      </c>
      <c r="F67" s="160">
        <f>IF(E67="","",CEILING(E67,0.25))</f>
        <v>31.75</v>
      </c>
      <c r="G67" s="160" t="s">
        <v>1</v>
      </c>
      <c r="H67" s="159">
        <v>3</v>
      </c>
      <c r="I67" s="117">
        <v>19.329999999999998</v>
      </c>
      <c r="J67" s="117">
        <v>14.74</v>
      </c>
      <c r="K67" s="158">
        <v>0.312</v>
      </c>
      <c r="L67" s="150">
        <v>0.86599999999999999</v>
      </c>
      <c r="M67" s="157">
        <v>0.99</v>
      </c>
      <c r="N67" s="156">
        <v>9.3000000000000007</v>
      </c>
      <c r="O67" s="155">
        <f>(P67*(1+AVERAGE(L67:L69))+(9.81*M67*AVERAGE(L67:L69)))/(1+AVERAGE(L67:L69))</f>
        <v>19.118760465116278</v>
      </c>
      <c r="P67" s="154">
        <f>AVERAGE(J67:J69)</f>
        <v>14.54</v>
      </c>
      <c r="Q67" s="153">
        <f>AVERAGE(K67:K69)</f>
        <v>0.32566666666666672</v>
      </c>
      <c r="R67" s="152">
        <f>IF(L67="","",L67/(1+L67))</f>
        <v>0.46409431939978563</v>
      </c>
      <c r="S67" s="152" t="str">
        <f>IF(R67="","",IF(R67&lt;0.3,"S",IF(R67&lt;0.45,"L",IF(AND(R67&lt;0.5,R67&gt;=0.45),"C",IF(R67&gt;=0.5,"SC","")))))</f>
        <v>C</v>
      </c>
      <c r="T67" s="151">
        <f>L67*9.81/($P$28*(1+L67))</f>
        <v>0.31340743047121827</v>
      </c>
      <c r="U67" s="141">
        <f>N67</f>
        <v>9.3000000000000007</v>
      </c>
      <c r="V67" s="141">
        <f>IF(E67="","",IF(E67&lt;=10,IF(E67&lt;=N67,18*E67,18*N67+(18-0)*(E67-N67)),IF(AND(E67&gt;10,N67&lt;=10),18*N67+(18-0)*(10-N67)+(17.5-0)*(E67-10),IF(E67&lt;N67,(18*0)+17.5*(E67-10),(18*0)+17.5*(N67-10)+(17.5-0)*(E67-N67)))))</f>
        <v>558.875</v>
      </c>
      <c r="W67" s="141">
        <f>IF(E67="","",IF(E67&lt;=10,IF(E67&lt;=N67,18*E67,18*N67+(18-10)*(E67-N67)),IF(AND(E67&gt;10,N67&lt;=10),18*N67+(18-10)*(10-N67)+(17.5-10)*(E67-10),IF(E67&lt;N67,(18*10)+17.5*(E67-10),(18*10)+17.5*(N67-10)+(17.5-10)*(E67-N67)))))</f>
        <v>335.375</v>
      </c>
      <c r="X67" s="142">
        <v>370</v>
      </c>
      <c r="Y67" s="150">
        <v>0.93700000000000006</v>
      </c>
      <c r="Z67" s="118">
        <v>2</v>
      </c>
      <c r="AA67" s="136">
        <v>750</v>
      </c>
      <c r="AB67" s="149"/>
      <c r="AC67" s="148"/>
      <c r="AD67" s="147"/>
      <c r="AE67" s="146">
        <v>0.82699999999999996</v>
      </c>
      <c r="AF67" s="145">
        <v>79.03</v>
      </c>
      <c r="AG67" s="118">
        <v>78.72</v>
      </c>
      <c r="AH67" s="118">
        <v>1131.73</v>
      </c>
      <c r="AI67" s="118">
        <v>1112.43</v>
      </c>
      <c r="AJ67" s="144">
        <f>IF(AF67="","",1-(AG67*AI67/AF67/AH67))</f>
        <v>2.0909205015266052E-2</v>
      </c>
      <c r="AK67" s="143">
        <v>0.1018</v>
      </c>
      <c r="AL67" s="142">
        <v>150</v>
      </c>
      <c r="AM67" s="136">
        <v>482.62</v>
      </c>
      <c r="AN67" s="141">
        <f>AL67-AQ67</f>
        <v>18.949999999999989</v>
      </c>
      <c r="AO67" s="141">
        <f>AN67-AP67</f>
        <v>0.19999999999998863</v>
      </c>
      <c r="AP67" s="141">
        <f>AM67-AR67</f>
        <v>18.75</v>
      </c>
      <c r="AQ67" s="136">
        <v>131.05000000000001</v>
      </c>
      <c r="AR67" s="136">
        <v>463.87</v>
      </c>
      <c r="AS67" s="140"/>
      <c r="AT67" s="139">
        <v>85</v>
      </c>
      <c r="AU67" s="133">
        <v>16</v>
      </c>
      <c r="AV67" s="133">
        <v>60</v>
      </c>
      <c r="AW67" s="138">
        <v>19</v>
      </c>
      <c r="AX67" s="133">
        <v>80</v>
      </c>
      <c r="AY67" s="133">
        <v>14</v>
      </c>
      <c r="AZ67" s="133">
        <v>80</v>
      </c>
      <c r="BA67" s="138">
        <v>15</v>
      </c>
      <c r="BB67" s="137">
        <f>(AM67-AL67)/AK67/1000</f>
        <v>3.2673870333988213</v>
      </c>
      <c r="BC67" s="136"/>
      <c r="BD67" s="136"/>
      <c r="BE67" s="135">
        <f>AL67/AJ67/1000</f>
        <v>7.1738738938416482</v>
      </c>
      <c r="BF67" s="134"/>
      <c r="BG67" s="133" t="s">
        <v>0</v>
      </c>
      <c r="BH67" s="132">
        <f>IF(OR(AE67="",Y67=""),"",Y67/AE67)</f>
        <v>1.1330108827085854</v>
      </c>
      <c r="BI67" s="131" t="str">
        <f>IF(OR(AE67="",Y67=""),"",IF(Y67/AE67&gt;1.05,"OC",IF(Y67/AE67&lt;0.95,"UC","OK")))</f>
        <v>OC</v>
      </c>
      <c r="BJ67" s="141">
        <f>(AM67-AL67)/2</f>
        <v>166.31</v>
      </c>
      <c r="BK67" s="37">
        <f>AVERAGE(BJ67:BJ69)+(_xlfn.COVARIANCE.P(AL67:AL69,BJ67:BJ69)/_xlfn.STDEV.P(AL67:AL69)^2)*(W67-AVERAGE(AL67:AL69))</f>
        <v>227.03102232142859</v>
      </c>
      <c r="BL67" s="37" t="str">
        <f>IF(BZ67="=",BJ67,"")</f>
        <v/>
      </c>
      <c r="BM67" s="110">
        <f>AN67/(AM67-AL67)</f>
        <v>5.6971919908604375E-2</v>
      </c>
      <c r="BN67" s="37" t="str">
        <f>IF(BM67="","",IF(AND(BM67&gt;=3/4,BM67&lt;=1.5),"HS",IF(AND(BM67&gt;=0.5,BM67&lt;=1),"NC",IF(AND(BM67&gt;=0,BM67&lt;=0.5),"OC",IF(BM67&lt;0,"H-OC","")))))</f>
        <v>OC</v>
      </c>
      <c r="BO67" s="109">
        <f>IF(BX67="","",BX67)</f>
        <v>5.0000000000062554</v>
      </c>
      <c r="BP67" s="37"/>
      <c r="BQ67" s="27">
        <f>BJ67/AL67</f>
        <v>1.1087333333333333</v>
      </c>
      <c r="BR67" s="129">
        <f>AL67/W67</f>
        <v>0.44726052925829296</v>
      </c>
      <c r="BS67" s="129" t="str">
        <f>IF(OR(BR67="",BH67=""),"",IF(AND(BR67&lt;1,BH67&gt;1),"NO",""))</f>
        <v>NO</v>
      </c>
      <c r="BT67" s="128"/>
      <c r="BU67" s="24">
        <v>0.39295835388747402</v>
      </c>
      <c r="BV67" s="23">
        <v>0.30595045332984666</v>
      </c>
      <c r="BW67" s="22">
        <f>(BQ67/BU67)^(1/0.8)</f>
        <v>3.6567959164423662</v>
      </c>
      <c r="BX67" s="21">
        <f>(BQ67/BV67)^(1/0.8)</f>
        <v>5.0000000000062554</v>
      </c>
      <c r="BY67" s="20">
        <f>BU67*BW67^0.8</f>
        <v>1.1087333333333333</v>
      </c>
      <c r="BZ67" s="19" t="str">
        <f>IF(BR67&lt;0.85,"",IF(AND(BR67&gt;=0.85,BR67&lt;=1.15),"=","&gt;"))</f>
        <v/>
      </c>
      <c r="CA67" s="19" t="str">
        <f>IF(BZ67="","",IF(AND(BQ67&gt;=0.2,BQ67&lt;=0.451),"OK","NO"))</f>
        <v/>
      </c>
      <c r="CB67" s="18" t="str">
        <f>IF(BZ67="","",IF(AL67&lt;=CF67/1.11,"OC","NC"))</f>
        <v/>
      </c>
      <c r="CC67" s="18" t="str">
        <f>IF(BZ67="","",IF(CA67="OK","NC","OC"))</f>
        <v/>
      </c>
      <c r="CD67" s="12"/>
      <c r="CE67" s="17">
        <f>IF(BQ67="","",IF(BX67="","",BX67*AL67))</f>
        <v>750.00000000093837</v>
      </c>
      <c r="CF67" s="16">
        <f>AVERAGE(CD67:CD69)</f>
        <v>749.9999999986112</v>
      </c>
      <c r="CG67" s="15">
        <v>750</v>
      </c>
      <c r="CH67" s="14">
        <f>CG67/W67</f>
        <v>2.2363026462914646</v>
      </c>
      <c r="CI67" s="13" t="str">
        <f>IF(BQ67&lt;0.28,"Y","")</f>
        <v/>
      </c>
      <c r="CJ67" s="12" t="str">
        <f>IF(BQ67&lt;0.8,"Y","")</f>
        <v/>
      </c>
      <c r="CK67" s="126"/>
      <c r="CL67" s="125">
        <f>IFERROR(CE67-CG67,"")</f>
        <v>9.3837115855421871E-10</v>
      </c>
      <c r="CM67" s="117"/>
      <c r="CN67" s="121" t="str">
        <f>IF(OR(BS67="NO",BG67="TX-CID"),"",BH67)</f>
        <v/>
      </c>
      <c r="CO67" s="121" t="str">
        <f>IF(CN67="","",BQ67)</f>
        <v/>
      </c>
      <c r="CP67" s="124" t="str">
        <f>IF(CO67="","",BR67)</f>
        <v/>
      </c>
      <c r="CQ67" s="123" t="str">
        <f>IF(CO67="","",BV67)</f>
        <v/>
      </c>
      <c r="CR67" s="122" t="str">
        <f>IF(CU67="","",BX67)</f>
        <v/>
      </c>
      <c r="CS67" s="122" t="str">
        <f>IF(CR67="","",LN(CR67))</f>
        <v/>
      </c>
      <c r="CT67" s="122" t="str">
        <f>IF(CS67="","",BM67)</f>
        <v/>
      </c>
      <c r="CU67" s="121" t="str">
        <f>IF(CO67="","",BU67)</f>
        <v/>
      </c>
      <c r="CV67" s="6" t="str">
        <f>IF(CR67="","",CH67)</f>
        <v/>
      </c>
      <c r="CW67" s="5" t="str">
        <f>IF(CU67="","",E67)</f>
        <v/>
      </c>
      <c r="CX67" s="5"/>
      <c r="CY67" s="119" t="str">
        <f>IF(CW67="","",IF(H67=1,$DJ$3*CV67^0.8*W67,IF(H67=2,$DK$3*CV67^0.8*W67,IF(H67=3,$DL$3*CV67^0.8*W67,"ERR"))))</f>
        <v/>
      </c>
      <c r="CZ67" s="119" t="str">
        <f>IF(CY67="","",IF(BI67="OK",BJ67,""))</f>
        <v/>
      </c>
      <c r="DA67" s="119" t="str">
        <f>IF(CY67="","",IF(BK67="","",BK67))</f>
        <v/>
      </c>
      <c r="DB67" s="120" t="str">
        <f>IF(CW67="","",BM67)</f>
        <v/>
      </c>
      <c r="DC67" s="119"/>
      <c r="DD67" s="119">
        <f>IF(OR(CH67="",W67=""),"",IF(H67=1,$DJ$3*CH67^0.8*W67,IF(H67=2,$DK$3*CH67^0.8*W67,IF(H67=3,$DL$3*CH67^0.8*W67,"ERR"))))</f>
        <v>268.16644717351738</v>
      </c>
      <c r="DE67" s="119">
        <f>IF(OR(CH67="",W67=""),"",IF(H67=1,$DJ$3*W67,IF(H67=2,$DK$3*W67,IF(H67=3,$DL$3*W67,"ERR"))))</f>
        <v>140.85749999999999</v>
      </c>
      <c r="DF67" s="118">
        <f>IF(DE67="","",-1.485*LN(E67)+7.098)</f>
        <v>1.967713849343574</v>
      </c>
      <c r="DG67" s="119">
        <f>IF(OR(DF67="",W67=""),"",IF(H67=1,$DJ$3*DF67^0.8*W67,IF(H67=2,$DK$3*DF67^0.8*W67,IF(H67=3,$DL$3*CH67^0.8*W67,"ERR"))))</f>
        <v>268.16644717351738</v>
      </c>
      <c r="DH67" s="118"/>
      <c r="DJ67" s="117"/>
      <c r="DK67" s="117"/>
      <c r="DL67" s="117"/>
    </row>
    <row r="68" spans="1:116">
      <c r="A68" s="51" t="str">
        <f>IF(B68="","",IF(F68&lt;10,CONCATENATE(B68," - 0",F68),CONCATENATE(B68," - ",F68)))</f>
        <v>TRT05 - 31.75</v>
      </c>
      <c r="B68" s="114" t="s">
        <v>2</v>
      </c>
      <c r="C68" s="114">
        <v>31.5</v>
      </c>
      <c r="D68" s="114">
        <v>31.8</v>
      </c>
      <c r="E68" s="114">
        <f>AVERAGE(D68,C68)</f>
        <v>31.65</v>
      </c>
      <c r="F68" s="114">
        <f>IF(E68="","",CEILING(E68,0.25))</f>
        <v>31.75</v>
      </c>
      <c r="G68" s="114" t="s">
        <v>1</v>
      </c>
      <c r="H68" s="113">
        <v>3</v>
      </c>
      <c r="I68" s="2">
        <v>19.489999999999998</v>
      </c>
      <c r="J68" s="2">
        <v>14.66</v>
      </c>
      <c r="K68" s="112">
        <v>0.32900000000000001</v>
      </c>
      <c r="L68" s="45">
        <v>0.875</v>
      </c>
      <c r="M68" s="49">
        <v>1</v>
      </c>
      <c r="N68" s="48">
        <v>9.3000000000000007</v>
      </c>
      <c r="O68" s="218"/>
      <c r="P68" s="217"/>
      <c r="Q68" s="216"/>
      <c r="R68" s="47">
        <f>IF(L68="","",L68/(1+L68))</f>
        <v>0.46666666666666667</v>
      </c>
      <c r="S68" s="47" t="str">
        <f>IF(R68="","",IF(R68&lt;0.3,"S",IF(R68&lt;0.45,"L",IF(AND(R68&lt;0.5,R68&gt;=0.45),"C",IF(R68&gt;=0.5,"SC","")))))</f>
        <v>C</v>
      </c>
      <c r="T68" s="46">
        <f>L68*9.81/($P$28*(1+L68))</f>
        <v>0.31514456172556221</v>
      </c>
      <c r="U68" s="37">
        <f>N68</f>
        <v>9.3000000000000007</v>
      </c>
      <c r="V68" s="37">
        <f>IF(E68="","",IF(E68&lt;=10,IF(E68&lt;=N68,18*E68,18*N68+(18-0)*(E68-N68)),IF(AND(E68&gt;10,N68&lt;=10),18*N68+(18-0)*(10-N68)+(17.5-0)*(E68-10),IF(E68&lt;N68,(18*0)+17.5*(E68-10),(18*0)+17.5*(N68-10)+(17.5-0)*(E68-N68)))))</f>
        <v>558.875</v>
      </c>
      <c r="W68" s="37">
        <f>IF(E68="","",IF(E68&lt;=10,IF(E68&lt;=N68,18*E68,18*N68+(18-10)*(E68-N68)),IF(AND(E68&gt;10,N68&lt;=10),18*N68+(18-10)*(10-N68)+(17.5-10)*(E68-10),IF(E68&lt;N68,(18*10)+17.5*(E68-10),(18*10)+17.5*(N68-10)+(17.5-10)*(E68-N68)))))</f>
        <v>335.375</v>
      </c>
      <c r="Y68" s="45">
        <f>Y67</f>
        <v>0.93700000000000006</v>
      </c>
      <c r="AE68" s="41">
        <v>0.79100000000000004</v>
      </c>
      <c r="AF68" s="40">
        <v>78.599999999999994</v>
      </c>
      <c r="AG68" s="3">
        <v>78.069999999999993</v>
      </c>
      <c r="AH68" s="3">
        <v>1134.1099999999999</v>
      </c>
      <c r="AI68" s="3">
        <v>1090.58</v>
      </c>
      <c r="AJ68" s="39">
        <f>IF(AF68="","",1-(AG68*AI68/AF68/AH68))</f>
        <v>4.4866709327148757E-2</v>
      </c>
      <c r="AK68" s="38">
        <v>6.6900000000000001E-2</v>
      </c>
      <c r="AL68" s="34">
        <v>300</v>
      </c>
      <c r="AM68" s="28">
        <v>693.02</v>
      </c>
      <c r="AN68" s="37">
        <f>AL68-AQ68</f>
        <v>48.06</v>
      </c>
      <c r="AO68" s="37">
        <f>AN68-AP68</f>
        <v>5.6843418860808015E-14</v>
      </c>
      <c r="AP68" s="37">
        <f>AM68-AR68</f>
        <v>48.059999999999945</v>
      </c>
      <c r="AQ68" s="28">
        <v>251.94</v>
      </c>
      <c r="AR68" s="28">
        <v>644.96</v>
      </c>
      <c r="BB68" s="111">
        <f>(AM68-AL68)/AK68/1000</f>
        <v>5.8747384155455906</v>
      </c>
      <c r="BE68" s="109">
        <f>AL68/AJ68/1000</f>
        <v>6.6864720969957698</v>
      </c>
      <c r="BG68" s="32" t="s">
        <v>0</v>
      </c>
      <c r="BH68" s="31">
        <f>IF(OR(AE68="",Y68=""),"",Y68/AE68)</f>
        <v>1.1845764854614411</v>
      </c>
      <c r="BI68" s="30" t="str">
        <f>IF(OR(AE68="",Y68=""),"",IF(Y68/AE68&gt;1.05,"OC",IF(Y68/AE68&lt;0.95,"UC","OK")))</f>
        <v>OC</v>
      </c>
      <c r="BJ68" s="37">
        <f>(AM68-AL68)/2</f>
        <v>196.51</v>
      </c>
      <c r="BL68" s="37">
        <f>IF(BZ68="=",BJ68,"")</f>
        <v>196.51</v>
      </c>
      <c r="BM68" s="110">
        <f>AN68/(AM68-AL68)</f>
        <v>0.12228385323902093</v>
      </c>
      <c r="BN68" s="37" t="str">
        <f>IF(BM68="","",IF(AND(BM68&gt;=3/4,BM68&lt;=1.5),"HS",IF(AND(BM68&gt;=0.5,BM68&lt;=1),"NC",IF(AND(BM68&gt;=0,BM68&lt;=0.5),"OC",IF(BM68&lt;0,"H-OC","")))))</f>
        <v>OC</v>
      </c>
      <c r="BO68" s="109">
        <f>IF(BX68="","",BX68)</f>
        <v>2.5000000000201501</v>
      </c>
      <c r="BP68" s="37"/>
      <c r="BQ68" s="27">
        <f>BJ68/AL68</f>
        <v>0.65503333333333336</v>
      </c>
      <c r="BR68" s="26">
        <f>AL68/W68</f>
        <v>0.89452105851658592</v>
      </c>
      <c r="BS68" s="26" t="str">
        <f>IF(OR(BR68="",BH68=""),"",IF(AND(BR68&lt;1,BH68&gt;1),"NO",""))</f>
        <v>NO</v>
      </c>
      <c r="BU68" s="24">
        <f>BU67</f>
        <v>0.39295835388747402</v>
      </c>
      <c r="BV68" s="23">
        <v>0.31471061669355882</v>
      </c>
      <c r="BW68" s="22">
        <f>(BQ68/BU68)^(1/0.8)</f>
        <v>1.8940702985644575</v>
      </c>
      <c r="BX68" s="21">
        <f>(BQ68/BV68)^(1/0.8)</f>
        <v>2.5000000000201501</v>
      </c>
      <c r="BY68" s="20">
        <f>BU68*BW68^0.8</f>
        <v>0.65503333333333347</v>
      </c>
      <c r="BZ68" s="19" t="str">
        <f>IF(BR68&lt;0.85,"",IF(AND(BR68&gt;=0.85,BR68&lt;=1.15),"=","&gt;"))</f>
        <v>=</v>
      </c>
      <c r="CA68" s="19" t="str">
        <f>IF(BZ68="","",IF(AND(BQ68&gt;=0.2,BQ68&lt;=0.451),"OK","NO"))</f>
        <v>NO</v>
      </c>
      <c r="CB68" s="18" t="str">
        <f>IF(BZ68="","",IF(AL68&lt;=CF67/1.11,"OC","NC"))</f>
        <v>OC</v>
      </c>
      <c r="CC68" s="18" t="str">
        <f>IF(BZ68="","",IF(CA68="OK","NC","OC"))</f>
        <v>OC</v>
      </c>
      <c r="CD68" s="12">
        <f>IF(BQ68="","",IF(BW68="","",BW68*AL68))</f>
        <v>568.22108956933721</v>
      </c>
      <c r="CE68" s="17">
        <f>IF(BQ68="","",IF(BX68="","",BX68*AL68))</f>
        <v>750.00000000604507</v>
      </c>
      <c r="CG68" s="15">
        <f>CG67</f>
        <v>750</v>
      </c>
      <c r="CH68" s="14">
        <f>CG68/W68</f>
        <v>2.2363026462914646</v>
      </c>
      <c r="CI68" s="13" t="str">
        <f>IF(BQ68&lt;0.28,"Y","")</f>
        <v/>
      </c>
      <c r="CJ68" s="12" t="str">
        <f>IF(BQ68&lt;0.8,"Y","")</f>
        <v>Y</v>
      </c>
      <c r="CK68" s="12" t="str">
        <f>IF(BQ68&lt;BQ67,"","ERR")</f>
        <v/>
      </c>
      <c r="CL68" s="11">
        <f>IFERROR(CE68-CG68,"")</f>
        <v>6.0450702221714891E-9</v>
      </c>
      <c r="CN68" s="7" t="str">
        <f>IF(OR(BS68="NO",BG68="TX-CID"),"",BH68)</f>
        <v/>
      </c>
      <c r="CO68" s="7" t="str">
        <f>IF(CN68="","",BQ68)</f>
        <v/>
      </c>
      <c r="CP68" s="10" t="str">
        <f>IF(CO68="","",BR68)</f>
        <v/>
      </c>
      <c r="CQ68" s="9" t="str">
        <f>IF(CO68="","",BV68)</f>
        <v/>
      </c>
      <c r="CR68" s="8" t="str">
        <f>IF(CU68="","",BX68)</f>
        <v/>
      </c>
      <c r="CS68" s="8" t="str">
        <f>IF(CR68="","",LN(CR68))</f>
        <v/>
      </c>
      <c r="CT68" s="8" t="str">
        <f>IF(CS68="","",BM68)</f>
        <v/>
      </c>
      <c r="CU68" s="7" t="str">
        <f>IF(CO68="","",BU68)</f>
        <v/>
      </c>
      <c r="CV68" s="6" t="str">
        <f>IF(CR68="","",CH67)</f>
        <v/>
      </c>
      <c r="CW68" s="5" t="str">
        <f>IF(CU68="","",E68)</f>
        <v/>
      </c>
      <c r="CY68" s="4" t="str">
        <f>IF(CW68="","",IF(H68=1,$DJ$3*CV68^0.8*W68,IF(H68=2,$DK$3*CV68^0.8*W68,IF(H68=3,$DL$3*CV68^0.8*W68,"ERR"))))</f>
        <v/>
      </c>
      <c r="CZ68" s="4" t="str">
        <f>IF(CY68="","",IF(BI68="OK",BJ68,""))</f>
        <v/>
      </c>
      <c r="DA68" s="4" t="str">
        <f>IF(CY68="","",IF(BK68="","",BK68))</f>
        <v/>
      </c>
      <c r="DB68" s="6" t="str">
        <f>IF(CW68="","",BM68)</f>
        <v/>
      </c>
      <c r="DD68" s="4">
        <f>IF(OR(CH68="",W68=""),"",IF(H68=1,$DJ$3*CH68^0.8*W68,IF(H68=2,$DK$3*CH68^0.8*W68,IF(H68=3,$DL$3*CH68^0.8*W68,"ERR"))))</f>
        <v>268.16644717351738</v>
      </c>
      <c r="DE68" s="4">
        <f>IF(OR(CH68="",W68=""),"",IF(H68=1,$DJ$3*W68,IF(H68=2,$DK$3*W68,IF(H68=3,$DL$3*W68,"ERR"))))</f>
        <v>140.85749999999999</v>
      </c>
      <c r="DF68" s="3">
        <f>IF(DE68="","",-1.485*LN(E68)+7.098)</f>
        <v>1.967713849343574</v>
      </c>
      <c r="DG68" s="4">
        <f>IF(OR(DF68="",W68=""),"",IF(H68=1,$DJ$3*DF68^0.8*W68,IF(H68=2,$DK$3*DF68^0.8*W68,IF(H68=3,$DL$3*CH68^0.8*W68,"ERR"))))</f>
        <v>268.16644717351738</v>
      </c>
    </row>
    <row r="69" spans="1:116" ht="15" thickBot="1">
      <c r="A69" s="51" t="str">
        <f>IF(B69="","",IF(F69&lt;10,CONCATENATE(B69," - 0",F69),CONCATENATE(B69," - ",F69)))</f>
        <v>TRT05 - 31.75</v>
      </c>
      <c r="B69" s="114" t="s">
        <v>2</v>
      </c>
      <c r="C69" s="114">
        <v>31.5</v>
      </c>
      <c r="D69" s="114">
        <v>31.8</v>
      </c>
      <c r="E69" s="114">
        <f>AVERAGE(D69,C69)</f>
        <v>31.65</v>
      </c>
      <c r="F69" s="114">
        <f>IF(E69="","",CEILING(E69,0.25))</f>
        <v>31.75</v>
      </c>
      <c r="G69" s="114" t="s">
        <v>1</v>
      </c>
      <c r="H69" s="113">
        <v>3</v>
      </c>
      <c r="I69" s="2">
        <v>18.989999999999998</v>
      </c>
      <c r="J69" s="2">
        <v>14.22</v>
      </c>
      <c r="K69" s="112">
        <v>0.33600000000000002</v>
      </c>
      <c r="L69" s="45">
        <v>0.93500000000000005</v>
      </c>
      <c r="M69" s="49">
        <v>0.99</v>
      </c>
      <c r="N69" s="48">
        <v>9.3000000000000007</v>
      </c>
      <c r="O69" s="218"/>
      <c r="P69" s="217"/>
      <c r="Q69" s="216"/>
      <c r="R69" s="47">
        <f>IF(L69="","",L69/(1+L69))</f>
        <v>0.48320413436692505</v>
      </c>
      <c r="S69" s="47" t="str">
        <f>IF(R69="","",IF(R69&lt;0.3,"S",IF(R69&lt;0.45,"L",IF(AND(R69&lt;0.5,R69&gt;=0.45),"C",IF(R69&gt;=0.5,"SC","")))))</f>
        <v>C</v>
      </c>
      <c r="T69" s="46">
        <f>L69*9.81/($P$28*(1+L69))</f>
        <v>0.32631247531938062</v>
      </c>
      <c r="U69" s="37">
        <f>N69</f>
        <v>9.3000000000000007</v>
      </c>
      <c r="V69" s="37">
        <f>IF(E69="","",IF(E69&lt;=10,IF(E69&lt;=N69,18*E69,18*N69+(18-0)*(E69-N69)),IF(AND(E69&gt;10,N69&lt;=10),18*N69+(18-0)*(10-N69)+(17.5-0)*(E69-10),IF(E69&lt;N69,(18*0)+17.5*(E69-10),(18*0)+17.5*(N69-10)+(17.5-0)*(E69-N69)))))</f>
        <v>558.875</v>
      </c>
      <c r="W69" s="37">
        <f>IF(E69="","",IF(E69&lt;=10,IF(E69&lt;=N69,18*E69,18*N69+(18-10)*(E69-N69)),IF(AND(E69&gt;10,N69&lt;=10),18*N69+(18-10)*(10-N69)+(17.5-10)*(E69-10),IF(E69&lt;N69,(18*10)+17.5*(E69-10),(18*10)+17.5*(N69-10)+(17.5-10)*(E69-N69)))))</f>
        <v>335.375</v>
      </c>
      <c r="Y69" s="45">
        <f>Y68</f>
        <v>0.93700000000000006</v>
      </c>
      <c r="AE69" s="41">
        <v>0.83099999999999996</v>
      </c>
      <c r="AF69" s="40">
        <v>78.97</v>
      </c>
      <c r="AG69" s="3">
        <v>77.44</v>
      </c>
      <c r="AH69" s="3">
        <v>1137.0999999999999</v>
      </c>
      <c r="AI69" s="3">
        <v>1097.58</v>
      </c>
      <c r="AJ69" s="39">
        <f>IF(AF69="","",1-(AG69*AI69/AF69/AH69))</f>
        <v>5.345616430574518E-2</v>
      </c>
      <c r="AK69" s="38">
        <v>9.3600000000000003E-2</v>
      </c>
      <c r="AL69" s="34">
        <v>600</v>
      </c>
      <c r="AM69" s="28">
        <v>1270.5899999999999</v>
      </c>
      <c r="AN69" s="37">
        <f>AL69-AQ69</f>
        <v>121.88999999999999</v>
      </c>
      <c r="AO69" s="37">
        <f>AN69-AP69</f>
        <v>-9.9999999998772182E-3</v>
      </c>
      <c r="AP69" s="37">
        <f>AM69-AR69</f>
        <v>121.89999999999986</v>
      </c>
      <c r="AQ69" s="28">
        <v>478.11</v>
      </c>
      <c r="AR69" s="28">
        <v>1148.69</v>
      </c>
      <c r="BB69" s="111">
        <f>(AM69-AL69)/AK69/1000</f>
        <v>7.1644230769230761</v>
      </c>
      <c r="BE69" s="109">
        <f>AL69/AJ69/1000</f>
        <v>11.224149876677838</v>
      </c>
      <c r="BG69" s="32" t="s">
        <v>0</v>
      </c>
      <c r="BH69" s="31">
        <f>IF(OR(AE69="",Y69=""),"",Y69/AE69)</f>
        <v>1.1275571600481349</v>
      </c>
      <c r="BI69" s="30" t="str">
        <f>IF(OR(AE69="",Y69=""),"",IF(Y69/AE69&gt;1.05,"OC",IF(Y69/AE69&lt;0.95,"UC","OK")))</f>
        <v>OC</v>
      </c>
      <c r="BJ69" s="37">
        <f>(AM69-AL69)/2</f>
        <v>335.29499999999996</v>
      </c>
      <c r="BL69" s="37" t="str">
        <f>IF(BZ69="=",BJ69,"")</f>
        <v/>
      </c>
      <c r="BM69" s="110">
        <f>AN69/(AM69-AL69)</f>
        <v>0.18176531114391806</v>
      </c>
      <c r="BN69" s="37" t="str">
        <f>IF(BM69="","",IF(AND(BM69&gt;=3/4,BM69&lt;=1.5),"HS",IF(AND(BM69&gt;=0.5,BM69&lt;=1),"NC",IF(AND(BM69&gt;=0,BM69&lt;=0.5),"OC",IF(BM69&lt;0,"H-OC","")))))</f>
        <v>OC</v>
      </c>
      <c r="BO69" s="109">
        <f>IF(BX69="","",BX69)</f>
        <v>1.2499999999898663</v>
      </c>
      <c r="BP69" s="37"/>
      <c r="BQ69" s="27">
        <f>BJ69/AL69</f>
        <v>0.55882499999999991</v>
      </c>
      <c r="BR69" s="26">
        <f>AL69/W69</f>
        <v>1.7890421170331718</v>
      </c>
      <c r="BS69" s="26" t="str">
        <f>IF(OR(BR69="",BH69=""),"",IF(AND(BR69&lt;1,BH69&gt;1),"NO",""))</f>
        <v/>
      </c>
      <c r="BU69" s="24">
        <f>BU68</f>
        <v>0.39295835388747402</v>
      </c>
      <c r="BV69" s="23">
        <v>0.4674636183844863</v>
      </c>
      <c r="BW69" s="22">
        <f>(BQ69/BU69)^(1/0.8)</f>
        <v>1.5529648507131419</v>
      </c>
      <c r="BX69" s="21">
        <f>(BQ69/BV69)^(1/0.8)</f>
        <v>1.2499999999898663</v>
      </c>
      <c r="BY69" s="20">
        <f>BU69*BW69^0.8</f>
        <v>0.55882499999999991</v>
      </c>
      <c r="BZ69" s="19" t="str">
        <f>IF(BR69&lt;0.85,"",IF(AND(BR69&gt;=0.85,BR69&lt;=1.15),"=","&gt;"))</f>
        <v>&gt;</v>
      </c>
      <c r="CA69" s="19" t="str">
        <f>IF(BZ69="","",IF(AND(BQ69&gt;=0.2,BQ69&lt;=0.451),"OK","NO"))</f>
        <v>NO</v>
      </c>
      <c r="CB69" s="18" t="str">
        <f>IF(BZ69="","",IF(AL69&lt;=CF67/1.11,"OC","NC"))</f>
        <v>OC</v>
      </c>
      <c r="CC69" s="18" t="str">
        <f>IF(BZ69="","",IF(CA69="OK","NC","OC"))</f>
        <v>OC</v>
      </c>
      <c r="CD69" s="12">
        <f>IF(BQ69="","",IF(BW69="","",BW69*AL69))</f>
        <v>931.77891042788519</v>
      </c>
      <c r="CE69" s="17">
        <f>IF(BQ69="","",IF(BX69="","",BX69*AL69))</f>
        <v>749.9999999939198</v>
      </c>
      <c r="CG69" s="66">
        <f>CG68</f>
        <v>750</v>
      </c>
      <c r="CH69" s="14">
        <f>CG69/W69</f>
        <v>2.2363026462914646</v>
      </c>
      <c r="CI69" s="13" t="str">
        <f>IF(BQ69&lt;0.28,"Y","")</f>
        <v/>
      </c>
      <c r="CJ69" s="12" t="str">
        <f>IF(BQ69&lt;0.8,"Y","")</f>
        <v>Y</v>
      </c>
      <c r="CK69" s="12" t="str">
        <f>IF(BQ69&lt;BQ68,"","ERR")</f>
        <v/>
      </c>
      <c r="CL69" s="11">
        <f>IFERROR(CE69-CG69,"")</f>
        <v>-6.0801994550274685E-9</v>
      </c>
      <c r="CN69" s="7">
        <f>IF(OR(BS69="NO",BG69="TX-CID"),"",BH69)</f>
        <v>1.1275571600481349</v>
      </c>
      <c r="CO69" s="7">
        <f>IF(CN69="","",BQ69)</f>
        <v>0.55882499999999991</v>
      </c>
      <c r="CP69" s="10">
        <f>IF(CO69="","",BR69)</f>
        <v>1.7890421170331718</v>
      </c>
      <c r="CQ69" s="9">
        <f>IF(CO69="","",BV69)</f>
        <v>0.4674636183844863</v>
      </c>
      <c r="CR69" s="8">
        <f>IF(CU69="","",BX69)</f>
        <v>1.2499999999898663</v>
      </c>
      <c r="CS69" s="8">
        <f>IF(CR69="","",LN(CR69))</f>
        <v>0.22314355130610281</v>
      </c>
      <c r="CT69" s="8">
        <f>IF(CS69="","",BM69)</f>
        <v>0.18176531114391806</v>
      </c>
      <c r="CU69" s="7">
        <f>IF(CO69="","",BU69)</f>
        <v>0.39295835388747402</v>
      </c>
      <c r="CV69" s="6">
        <f>IF(CR69="","",CH67)</f>
        <v>2.2363026462914646</v>
      </c>
      <c r="CW69" s="5">
        <f>IF(CU69="","",E69)</f>
        <v>31.65</v>
      </c>
      <c r="CY69" s="4">
        <f>IF(CW69="","",IF(H69=1,$DJ$3*CV69^0.8*W69,IF(H69=2,$DK$3*CV69^0.8*W69,IF(H69=3,$DL$3*CV69^0.8*W69,"ERR"))))</f>
        <v>268.16644717351738</v>
      </c>
      <c r="CZ69" s="4" t="str">
        <f>IF(CY69="","",IF(BI69="OK",BJ69,""))</f>
        <v/>
      </c>
      <c r="DA69" s="4" t="str">
        <f>IF(CY69="","",IF(BK69="","",BK69))</f>
        <v/>
      </c>
      <c r="DB69" s="6">
        <f>IF(CW69="","",BM69)</f>
        <v>0.18176531114391806</v>
      </c>
      <c r="DD69" s="4">
        <f>IF(OR(CH69="",W69=""),"",IF(H69=1,$DJ$3*CH69^0.8*W69,IF(H69=2,$DK$3*CH69^0.8*W69,IF(H69=3,$DL$3*CH69^0.8*W69,"ERR"))))</f>
        <v>268.16644717351738</v>
      </c>
      <c r="DE69" s="4">
        <f>IF(OR(CH69="",W69=""),"",IF(H69=1,$DJ$3*W69,IF(H69=2,$DK$3*W69,IF(H69=3,$DL$3*W69,"ERR"))))</f>
        <v>140.85749999999999</v>
      </c>
      <c r="DF69" s="3">
        <f>IF(DE69="","",-1.485*LN(E69)+7.098)</f>
        <v>1.967713849343574</v>
      </c>
      <c r="DG69" s="4">
        <f>IF(OR(DF69="",W69=""),"",IF(H69=1,$DJ$3*DF69^0.8*W69,IF(H69=2,$DK$3*DF69^0.8*W69,IF(H69=3,$DL$3*CH69^0.8*W69,"ERR"))))</f>
        <v>268.16644717351738</v>
      </c>
    </row>
    <row r="70" spans="1:116" s="224" customFormat="1">
      <c r="A70" s="282" t="str">
        <f>IF(B70="","",IF(F70&lt;10,CONCATENATE(B70," - 0",F70),CONCATENATE(B70," - ",F70)))</f>
        <v>TRT05 - 34.75</v>
      </c>
      <c r="B70" s="281" t="s">
        <v>2</v>
      </c>
      <c r="C70" s="281">
        <v>34.4</v>
      </c>
      <c r="D70" s="281">
        <v>34.700000000000003</v>
      </c>
      <c r="E70" s="281">
        <f>AVERAGE(D70,C70)</f>
        <v>34.549999999999997</v>
      </c>
      <c r="F70" s="281">
        <f>IF(E70="","",CEILING(E70,0.25))</f>
        <v>34.75</v>
      </c>
      <c r="G70" s="281" t="s">
        <v>1</v>
      </c>
      <c r="H70" s="280">
        <v>3</v>
      </c>
      <c r="I70" s="225">
        <v>17.88</v>
      </c>
      <c r="J70" s="225">
        <v>12.55</v>
      </c>
      <c r="K70" s="279">
        <v>0.42499999999999999</v>
      </c>
      <c r="L70" s="271">
        <v>1.1919999999999999</v>
      </c>
      <c r="M70" s="278">
        <v>0.98</v>
      </c>
      <c r="N70" s="277">
        <v>9.3000000000000007</v>
      </c>
      <c r="O70" s="276">
        <f>(P70*(1+AVERAGE(L70:L72))+(9.81*M70*AVERAGE(L70:L72)))/(1+AVERAGE(L70:L72))</f>
        <v>17.858171416871418</v>
      </c>
      <c r="P70" s="275">
        <f>AVERAGE(J70:J72)</f>
        <v>12.673333333333334</v>
      </c>
      <c r="Q70" s="274">
        <f>AVERAGE(K70:K72)</f>
        <v>0.41733333333333333</v>
      </c>
      <c r="R70" s="273">
        <f>IF(L70="","",L70/(1+L70))</f>
        <v>0.54379562043795615</v>
      </c>
      <c r="S70" s="273" t="str">
        <f>IF(R70="","",IF(R70&lt;0.3,"S",IF(R70&lt;0.45,"L",IF(AND(R70&lt;0.5,R70&gt;=0.45),"C",IF(R70&gt;=0.5,"SC","")))))</f>
        <v>SC</v>
      </c>
      <c r="T70" s="272">
        <f>L70*9.81/($P$28*(1+L70))</f>
        <v>0.36723049815257114</v>
      </c>
      <c r="U70" s="251">
        <f>N70</f>
        <v>9.3000000000000007</v>
      </c>
      <c r="V70" s="251">
        <f>IF(E70="","",IF(E70&lt;=10,IF(E70&lt;=N70,18*E70,18*N70+(18-0)*(E70-N70)),IF(AND(E70&gt;10,N70&lt;=10),18*N70+(18-0)*(10-N70)+(17.5-0)*(E70-10),IF(E70&lt;N70,(18*0)+17.5*(E70-10),(18*0)+17.5*(N70-10)+(17.5-0)*(E70-N70)))))</f>
        <v>609.625</v>
      </c>
      <c r="W70" s="251">
        <f>IF(E70="","",IF(E70&lt;=10,IF(E70&lt;=N70,18*E70,18*N70+(18-10)*(E70-N70)),IF(AND(E70&gt;10,N70&lt;=10),18*N70+(18-10)*(10-N70)+(17.5-10)*(E70-10),IF(E70&lt;N70,(18*10)+17.5*(E70-10),(18*10)+17.5*(N70-10)+(17.5-10)*(E70-N70)))))</f>
        <v>357.125</v>
      </c>
      <c r="X70" s="263">
        <v>349</v>
      </c>
      <c r="Y70" s="271">
        <v>1.2749999999999999</v>
      </c>
      <c r="Z70" s="226">
        <v>2.2999999999999998</v>
      </c>
      <c r="AA70" s="259">
        <v>800</v>
      </c>
      <c r="AB70" s="270"/>
      <c r="AC70" s="269"/>
      <c r="AD70" s="268"/>
      <c r="AE70" s="267">
        <v>1.175</v>
      </c>
      <c r="AF70" s="266">
        <v>78.7</v>
      </c>
      <c r="AG70" s="226">
        <v>77.3</v>
      </c>
      <c r="AH70" s="226">
        <v>1143.69</v>
      </c>
      <c r="AI70" s="226">
        <v>1155.3399999999999</v>
      </c>
      <c r="AJ70" s="265">
        <f>IF(AF70="","",1-(AG70*AI70/AF70/AH70))</f>
        <v>7.7839510162180936E-3</v>
      </c>
      <c r="AK70" s="264">
        <v>4.9500000000000002E-2</v>
      </c>
      <c r="AL70" s="263">
        <v>150</v>
      </c>
      <c r="AM70" s="259">
        <v>397.45</v>
      </c>
      <c r="AN70" s="251">
        <f>AL70-AQ70</f>
        <v>14.939999999999998</v>
      </c>
      <c r="AO70" s="251">
        <f>AN70-AP70</f>
        <v>0</v>
      </c>
      <c r="AP70" s="251">
        <f>AM70-AR70</f>
        <v>14.939999999999998</v>
      </c>
      <c r="AQ70" s="259">
        <v>135.06</v>
      </c>
      <c r="AR70" s="259">
        <v>382.51</v>
      </c>
      <c r="AS70" s="262"/>
      <c r="AT70" s="238">
        <v>60</v>
      </c>
      <c r="AU70" s="257">
        <v>15</v>
      </c>
      <c r="AV70" s="257">
        <v>50</v>
      </c>
      <c r="AW70" s="261">
        <v>17</v>
      </c>
      <c r="AX70" s="257">
        <v>30</v>
      </c>
      <c r="AY70" s="257">
        <v>13</v>
      </c>
      <c r="AZ70" s="257">
        <v>30</v>
      </c>
      <c r="BA70" s="261">
        <v>13</v>
      </c>
      <c r="BB70" s="260">
        <f>(AM70-AL70)/AK70/1000</f>
        <v>4.9989898989898984</v>
      </c>
      <c r="BC70" s="259"/>
      <c r="BD70" s="259"/>
      <c r="BE70" s="252">
        <f>AL70/AJ70/1000</f>
        <v>19.270419313722623</v>
      </c>
      <c r="BF70" s="258"/>
      <c r="BG70" s="257" t="s">
        <v>0</v>
      </c>
      <c r="BH70" s="256">
        <f>IF(OR(AE70="",Y70=""),"",Y70/AE70)</f>
        <v>1.0851063829787233</v>
      </c>
      <c r="BI70" s="255" t="str">
        <f>IF(OR(AE70="",Y70=""),"",IF(Y70/AE70&gt;1.05,"OC",IF(Y70/AE70&lt;0.95,"UC","OK")))</f>
        <v>OC</v>
      </c>
      <c r="BJ70" s="254">
        <f>(AM70-AL70)/2</f>
        <v>123.72499999999999</v>
      </c>
      <c r="BK70" s="251">
        <f>AVERAGE(BJ70:BJ72)+(_xlfn.COVARIANCE.P(AL70:AL72,BJ70:BJ72)/_xlfn.STDEV.P(AL70:AL72)^2)*(W70-AVERAGE(AL70:AL72))</f>
        <v>195.23376875000002</v>
      </c>
      <c r="BL70" s="251" t="str">
        <f>IF(BZ70="=",BJ70,"")</f>
        <v/>
      </c>
      <c r="BM70" s="253">
        <f>AN70/(AM70-AL70)</f>
        <v>6.0375833501717512E-2</v>
      </c>
      <c r="BN70" s="251" t="str">
        <f>IF(BM70="","",IF(AND(BM70&gt;=3/4,BM70&lt;=1.5),"HS",IF(AND(BM70&gt;=0.5,BM70&lt;=1),"NC",IF(AND(BM70&gt;=0,BM70&lt;=0.5),"OC",IF(BM70&lt;0,"H-OC","")))))</f>
        <v>OC</v>
      </c>
      <c r="BO70" s="252">
        <f>IF(BX70="","",BX70)</f>
        <v>5.3333333333360455</v>
      </c>
      <c r="BP70" s="251"/>
      <c r="BQ70" s="250">
        <f>BJ70/AL70</f>
        <v>0.82483333333333331</v>
      </c>
      <c r="BR70" s="249">
        <f>AL70/W70</f>
        <v>0.42002100105005252</v>
      </c>
      <c r="BS70" s="249" t="str">
        <f>IF(OR(BR70="",BH70=""),"",IF(AND(BR70&lt;1,BH70&gt;1),"NO",""))</f>
        <v>NO</v>
      </c>
      <c r="BT70" s="248"/>
      <c r="BU70" s="247">
        <v>0.3197733074016138</v>
      </c>
      <c r="BV70" s="246">
        <v>0.21615596317494615</v>
      </c>
      <c r="BW70" s="245">
        <f>(BQ70/BU70)^(1/0.8)</f>
        <v>3.2689252762148064</v>
      </c>
      <c r="BX70" s="244">
        <f>(BQ70/BV70)^(1/0.8)</f>
        <v>5.3333333333360455</v>
      </c>
      <c r="BY70" s="243">
        <f>BU70*BW70^0.8</f>
        <v>0.82483333333333342</v>
      </c>
      <c r="BZ70" s="242" t="str">
        <f>IF(BR70&lt;0.85,"",IF(AND(BR70&gt;=0.85,BR70&lt;=1.15),"=","&gt;"))</f>
        <v/>
      </c>
      <c r="CA70" s="242" t="str">
        <f>IF(BZ70="","",IF(AND(BQ70&gt;=0.2,BQ70&lt;=0.451),"OK","NO"))</f>
        <v/>
      </c>
      <c r="CB70" s="241" t="str">
        <f>IF(BZ70="","",IF(AL70&lt;=CF70/1.11,"OC","NC"))</f>
        <v/>
      </c>
      <c r="CC70" s="241" t="str">
        <f>IF(BZ70="","",IF(CA70="OK","NC","OC"))</f>
        <v/>
      </c>
      <c r="CD70" s="235"/>
      <c r="CE70" s="240">
        <f>IF(BQ70="","",IF(BX70="","",BX70*AL70))</f>
        <v>800.00000000040689</v>
      </c>
      <c r="CF70" s="239">
        <f>AVERAGE(CD70:CD72)</f>
        <v>799.99999999884164</v>
      </c>
      <c r="CG70" s="238">
        <v>800</v>
      </c>
      <c r="CH70" s="237">
        <f>CG70/W70</f>
        <v>2.2401120056002801</v>
      </c>
      <c r="CI70" s="236" t="str">
        <f>IF(BQ70&lt;0.28,"Y","")</f>
        <v/>
      </c>
      <c r="CJ70" s="235" t="str">
        <f>IF(BQ70&lt;0.8,"Y","")</f>
        <v/>
      </c>
      <c r="CK70" s="235"/>
      <c r="CL70" s="234">
        <f>IFERROR(CE70-CG70,"")</f>
        <v>4.0688519220566377E-10</v>
      </c>
      <c r="CM70" s="225"/>
      <c r="CN70" s="230" t="str">
        <f>IF(OR(BS70="NO",BG70="TX-CID"),"",BH70)</f>
        <v/>
      </c>
      <c r="CO70" s="230" t="str">
        <f>IF(CN70="","",BQ70)</f>
        <v/>
      </c>
      <c r="CP70" s="233" t="str">
        <f>IF(CO70="","",BR70)</f>
        <v/>
      </c>
      <c r="CQ70" s="232" t="str">
        <f>IF(CO70="","",BV70)</f>
        <v/>
      </c>
      <c r="CR70" s="231" t="str">
        <f>IF(CU70="","",BX70)</f>
        <v/>
      </c>
      <c r="CS70" s="231" t="str">
        <f>IF(CR70="","",LN(CR70))</f>
        <v/>
      </c>
      <c r="CT70" s="231" t="str">
        <f>IF(CS70="","",BM70)</f>
        <v/>
      </c>
      <c r="CU70" s="230" t="str">
        <f>IF(CO70="","",BU70)</f>
        <v/>
      </c>
      <c r="CV70" s="228" t="str">
        <f>IF(CR70="","",CH70)</f>
        <v/>
      </c>
      <c r="CW70" s="229" t="str">
        <f>IF(CU70="","",E70)</f>
        <v/>
      </c>
      <c r="CX70" s="229"/>
      <c r="CY70" s="227" t="str">
        <f>IF(CW70="","",IF(H70=1,$DJ$3*CV70^0.8*W70,IF(H70=2,$DK$3*CV70^0.8*W70,IF(H70=3,$DL$3*CV70^0.8*W70,"ERR"))))</f>
        <v/>
      </c>
      <c r="CZ70" s="227" t="str">
        <f>IF(CY70="","",IF(BI70="OK",BJ70,""))</f>
        <v/>
      </c>
      <c r="DA70" s="227" t="str">
        <f>IF(CY70="","",IF(BK70="","",BK70))</f>
        <v/>
      </c>
      <c r="DB70" s="228" t="str">
        <f>IF(CW70="","",BM70)</f>
        <v/>
      </c>
      <c r="DC70" s="227"/>
      <c r="DD70" s="227">
        <f>IF(OR(CH70="",W70=""),"",IF(H70=1,$DJ$3*CH70^0.8*W70,IF(H70=2,$DK$3*CH70^0.8*W70,IF(H70=3,$DL$3*CH70^0.8*W70,"ERR"))))</f>
        <v>285.94685919348569</v>
      </c>
      <c r="DE70" s="227">
        <f>IF(OR(CH70="",W70=""),"",IF(H70=1,$DJ$3*W70,IF(H70=2,$DK$3*W70,IF(H70=3,$DL$3*W70,"ERR"))))</f>
        <v>149.99250000000001</v>
      </c>
      <c r="DF70" s="226">
        <f>IF(DE70="","",-1.485*LN(E70)+7.098)</f>
        <v>1.8375247879326864</v>
      </c>
      <c r="DG70" s="227">
        <f>IF(OR(DF70="",W70=""),"",IF(H70=1,$DJ$3*DF70^0.8*W70,IF(H70=2,$DK$3*DF70^0.8*W70,IF(H70=3,$DL$3*CH70^0.8*W70,"ERR"))))</f>
        <v>285.94685919348569</v>
      </c>
      <c r="DH70" s="226"/>
      <c r="DJ70" s="225"/>
      <c r="DK70" s="225"/>
      <c r="DL70" s="225"/>
    </row>
    <row r="71" spans="1:116">
      <c r="A71" s="115" t="str">
        <f>IF(B71="","",IF(F71&lt;10,CONCATENATE(B71," - 0",F71),CONCATENATE(B71," - ",F71)))</f>
        <v>TRT05 - 34.75</v>
      </c>
      <c r="B71" s="114" t="s">
        <v>2</v>
      </c>
      <c r="C71" s="114">
        <v>34.4</v>
      </c>
      <c r="D71" s="114">
        <v>34.700000000000003</v>
      </c>
      <c r="E71" s="114">
        <f>AVERAGE(D71,C71)</f>
        <v>34.549999999999997</v>
      </c>
      <c r="F71" s="114">
        <f>IF(E71="","",CEILING(E71,0.25))</f>
        <v>34.75</v>
      </c>
      <c r="G71" s="114" t="s">
        <v>1</v>
      </c>
      <c r="H71" s="113">
        <v>3</v>
      </c>
      <c r="I71" s="2">
        <v>17.75</v>
      </c>
      <c r="J71" s="2">
        <v>12.5</v>
      </c>
      <c r="K71" s="112">
        <v>0.42</v>
      </c>
      <c r="L71" s="45">
        <v>1.2</v>
      </c>
      <c r="M71" s="49">
        <v>0.96</v>
      </c>
      <c r="N71" s="48">
        <v>9.3000000000000007</v>
      </c>
      <c r="O71" s="218"/>
      <c r="P71" s="217"/>
      <c r="Q71" s="216"/>
      <c r="R71" s="47">
        <f>IF(L71="","",L71/(1+L71))</f>
        <v>0.54545454545454541</v>
      </c>
      <c r="S71" s="47" t="str">
        <f>IF(R71="","",IF(R71&lt;0.3,"S",IF(R71&lt;0.45,"L",IF(AND(R71&lt;0.5,R71&gt;=0.45),"C",IF(R71&gt;=0.5,"SC","")))))</f>
        <v>SC</v>
      </c>
      <c r="T71" s="46">
        <f>L71*9.81/($P$28*(1+L71))</f>
        <v>0.36835078643247532</v>
      </c>
      <c r="U71" s="37">
        <f>N71</f>
        <v>9.3000000000000007</v>
      </c>
      <c r="V71" s="37">
        <f>IF(E71="","",IF(E71&lt;=10,IF(E71&lt;=N71,18*E71,18*N71+(18-0)*(E71-N71)),IF(AND(E71&gt;10,N71&lt;=10),18*N71+(18-0)*(10-N71)+(17.5-0)*(E71-10),IF(E71&lt;N71,(18*0)+17.5*(E71-10),(18*0)+17.5*(N71-10)+(17.5-0)*(E71-N71)))))</f>
        <v>609.625</v>
      </c>
      <c r="W71" s="37">
        <f>IF(E71="","",IF(E71&lt;=10,IF(E71&lt;=N71,18*E71,18*N71+(18-10)*(E71-N71)),IF(AND(E71&gt;10,N71&lt;=10),18*N71+(18-10)*(10-N71)+(17.5-10)*(E71-10),IF(E71&lt;N71,(18*10)+17.5*(E71-10),(18*10)+17.5*(N71-10)+(17.5-10)*(E71-N71)))))</f>
        <v>357.125</v>
      </c>
      <c r="Y71" s="45">
        <f>Y70</f>
        <v>1.2749999999999999</v>
      </c>
      <c r="AE71" s="41">
        <v>1.171</v>
      </c>
      <c r="AF71" s="40">
        <v>78.78</v>
      </c>
      <c r="AG71" s="3">
        <v>78.14</v>
      </c>
      <c r="AH71" s="3">
        <v>1147.8900000000001</v>
      </c>
      <c r="AI71" s="3">
        <v>1141.93</v>
      </c>
      <c r="AJ71" s="39">
        <f>IF(AF71="","",1-(AG71*AI71/AF71/AH71))</f>
        <v>1.3273844115778921E-2</v>
      </c>
      <c r="AK71" s="38">
        <v>4.9099999999999998E-2</v>
      </c>
      <c r="AL71" s="34">
        <v>300</v>
      </c>
      <c r="AM71" s="28">
        <v>663.01</v>
      </c>
      <c r="AN71" s="37">
        <f>AL71-AQ71</f>
        <v>53.5</v>
      </c>
      <c r="AO71" s="37">
        <f>AN71-AP71</f>
        <v>0</v>
      </c>
      <c r="AP71" s="37">
        <f>AM71-AR71</f>
        <v>53.5</v>
      </c>
      <c r="AQ71" s="28">
        <v>246.5</v>
      </c>
      <c r="AR71" s="28">
        <v>609.51</v>
      </c>
      <c r="BB71" s="111">
        <f>(AM71-AL71)/AK71/1000</f>
        <v>7.3932790224032585</v>
      </c>
      <c r="BE71" s="109">
        <f>AL71/AJ71/1000</f>
        <v>22.600837962484672</v>
      </c>
      <c r="BG71" s="32" t="s">
        <v>0</v>
      </c>
      <c r="BH71" s="31">
        <f>IF(OR(AE71="",Y71=""),"",Y71/AE71)</f>
        <v>1.0888129803586677</v>
      </c>
      <c r="BI71" s="30" t="str">
        <f>IF(OR(AE71="",Y71=""),"",IF(Y71/AE71&gt;1.05,"OC",IF(Y71/AE71&lt;0.95,"UC","OK")))</f>
        <v>OC</v>
      </c>
      <c r="BJ71" s="37">
        <f>(AM71-AL71)/2</f>
        <v>181.505</v>
      </c>
      <c r="BL71" s="37" t="str">
        <f>IF(BZ71="=",BJ71,"")</f>
        <v/>
      </c>
      <c r="BM71" s="110">
        <f>AN71/(AM71-AL71)</f>
        <v>0.147378860086499</v>
      </c>
      <c r="BN71" s="37" t="str">
        <f>IF(BM71="","",IF(AND(BM71&gt;=3/4,BM71&lt;=1.5),"HS",IF(AND(BM71&gt;=0.5,BM71&lt;=1),"NC",IF(AND(BM71&gt;=0,BM71&lt;=0.5),"OC",IF(BM71&lt;0,"H-OC","")))))</f>
        <v>OC</v>
      </c>
      <c r="BO71" s="109">
        <f>IF(BX71="","",BX71)</f>
        <v>2.6666666666647956</v>
      </c>
      <c r="BP71" s="37"/>
      <c r="BQ71" s="27">
        <f>BJ71/AL71</f>
        <v>0.60501666666666665</v>
      </c>
      <c r="BR71" s="26">
        <f>AL71/W71</f>
        <v>0.84004200210010505</v>
      </c>
      <c r="BS71" s="26" t="str">
        <f>IF(OR(BR71="",BH71=""),"",IF(AND(BR71&lt;1,BH71&gt;1),"NO",""))</f>
        <v>NO</v>
      </c>
      <c r="BU71" s="24">
        <f>BU70</f>
        <v>0.3197733074016138</v>
      </c>
      <c r="BV71" s="23">
        <v>0.27605292468847076</v>
      </c>
      <c r="BW71" s="22">
        <f>(BQ71/BU71)^(1/0.8)</f>
        <v>2.2189954519439552</v>
      </c>
      <c r="BX71" s="21">
        <f>(BQ71/BV71)^(1/0.8)</f>
        <v>2.6666666666647956</v>
      </c>
      <c r="BY71" s="20">
        <f>BU71*BW71^0.8</f>
        <v>0.60501666666666665</v>
      </c>
      <c r="BZ71" s="19" t="str">
        <f>IF(BR71&lt;0.85,"",IF(AND(BR71&gt;=0.85,BR71&lt;=1.15),"=","&gt;"))</f>
        <v/>
      </c>
      <c r="CA71" s="19" t="str">
        <f>IF(BZ71="","",IF(AND(BQ71&gt;=0.2,BQ71&lt;=0.451),"OK","NO"))</f>
        <v/>
      </c>
      <c r="CB71" s="18" t="str">
        <f>IF(BZ71="","",IF(AL71&lt;=CF70/1.11,"OC","NC"))</f>
        <v/>
      </c>
      <c r="CC71" s="18" t="str">
        <f>IF(BZ71="","",IF(CA71="OK","NC","OC"))</f>
        <v/>
      </c>
      <c r="CD71" s="12">
        <f>IF(BQ71="","",IF(BW71="","",BW71*AL71))</f>
        <v>665.69863558318661</v>
      </c>
      <c r="CE71" s="17">
        <f>IF(BQ71="","",IF(BX71="","",BX71*AL71))</f>
        <v>799.99999999943861</v>
      </c>
      <c r="CG71" s="15">
        <f>CG70</f>
        <v>800</v>
      </c>
      <c r="CH71" s="14">
        <f>CG71/W71</f>
        <v>2.2401120056002801</v>
      </c>
      <c r="CI71" s="13" t="str">
        <f>IF(BQ71&lt;0.28,"Y","")</f>
        <v/>
      </c>
      <c r="CJ71" s="12" t="str">
        <f>IF(BQ71&lt;0.8,"Y","")</f>
        <v>Y</v>
      </c>
      <c r="CK71" s="12" t="str">
        <f>IF(BQ71&lt;BQ70,"","ERR")</f>
        <v/>
      </c>
      <c r="CL71" s="11">
        <f>IFERROR(CE71-CG71,"")</f>
        <v>-5.6138560466933995E-10</v>
      </c>
      <c r="CN71" s="7" t="str">
        <f>IF(OR(BS71="NO",BG71="TX-CID"),"",BH71)</f>
        <v/>
      </c>
      <c r="CO71" s="7" t="str">
        <f>IF(CN71="","",BQ71)</f>
        <v/>
      </c>
      <c r="CP71" s="10" t="str">
        <f>IF(CO71="","",BR71)</f>
        <v/>
      </c>
      <c r="CQ71" s="9" t="str">
        <f>IF(CO71="","",BV71)</f>
        <v/>
      </c>
      <c r="CR71" s="8" t="str">
        <f>IF(CU71="","",BX71)</f>
        <v/>
      </c>
      <c r="CS71" s="8" t="str">
        <f>IF(CR71="","",LN(CR71))</f>
        <v/>
      </c>
      <c r="CT71" s="8" t="str">
        <f>IF(CS71="","",BM71)</f>
        <v/>
      </c>
      <c r="CU71" s="7" t="str">
        <f>IF(CO71="","",BU71)</f>
        <v/>
      </c>
      <c r="CV71" s="6" t="str">
        <f>IF(CR71="","",CH70)</f>
        <v/>
      </c>
      <c r="CW71" s="5" t="str">
        <f>IF(CU71="","",E71)</f>
        <v/>
      </c>
      <c r="CY71" s="4" t="str">
        <f>IF(CW71="","",IF(H71=1,$DJ$3*CV71^0.8*W71,IF(H71=2,$DK$3*CV71^0.8*W71,IF(H71=3,$DL$3*CV71^0.8*W71,"ERR"))))</f>
        <v/>
      </c>
      <c r="CZ71" s="4" t="str">
        <f>IF(CY71="","",IF(BI71="OK",BJ71,""))</f>
        <v/>
      </c>
      <c r="DA71" s="4" t="str">
        <f>IF(CY71="","",IF(BK71="","",BK71))</f>
        <v/>
      </c>
      <c r="DB71" s="6" t="str">
        <f>IF(CW71="","",BM71)</f>
        <v/>
      </c>
      <c r="DD71" s="4">
        <f>IF(OR(CH71="",W71=""),"",IF(H71=1,$DJ$3*CH71^0.8*W71,IF(H71=2,$DK$3*CH71^0.8*W71,IF(H71=3,$DL$3*CH71^0.8*W71,"ERR"))))</f>
        <v>285.94685919348569</v>
      </c>
      <c r="DE71" s="4">
        <f>IF(OR(CH71="",W71=""),"",IF(H71=1,$DJ$3*W71,IF(H71=2,$DK$3*W71,IF(H71=3,$DL$3*W71,"ERR"))))</f>
        <v>149.99250000000001</v>
      </c>
      <c r="DF71" s="3">
        <f>IF(DE71="","",-1.485*LN(E71)+7.098)</f>
        <v>1.8375247879326864</v>
      </c>
      <c r="DG71" s="4">
        <f>IF(OR(DF71="",W71=""),"",IF(H71=1,$DJ$3*DF71^0.8*W71,IF(H71=2,$DK$3*DF71^0.8*W71,IF(H71=3,$DL$3*CH71^0.8*W71,"ERR"))))</f>
        <v>285.94685919348569</v>
      </c>
    </row>
    <row r="72" spans="1:116" s="162" customFormat="1">
      <c r="A72" s="213" t="str">
        <f>IF(B72="","",IF(F72&lt;10,CONCATENATE(B72," - 0",F72),CONCATENATE(B72," - ",F72)))</f>
        <v>TRT05 - 34.75</v>
      </c>
      <c r="B72" s="212" t="s">
        <v>2</v>
      </c>
      <c r="C72" s="212">
        <v>34.4</v>
      </c>
      <c r="D72" s="212">
        <v>34.700000000000003</v>
      </c>
      <c r="E72" s="212">
        <f>AVERAGE(D72,C72)</f>
        <v>34.549999999999997</v>
      </c>
      <c r="F72" s="212">
        <f>IF(E72="","",CEILING(E72,0.25))</f>
        <v>34.75</v>
      </c>
      <c r="G72" s="212" t="s">
        <v>1</v>
      </c>
      <c r="H72" s="211">
        <v>3</v>
      </c>
      <c r="I72" s="163">
        <v>18.25</v>
      </c>
      <c r="J72" s="163">
        <v>12.97</v>
      </c>
      <c r="K72" s="210">
        <v>0.40699999999999997</v>
      </c>
      <c r="L72" s="205">
        <v>1.1200000000000001</v>
      </c>
      <c r="M72" s="209">
        <v>1</v>
      </c>
      <c r="N72" s="208">
        <v>9.3000000000000007</v>
      </c>
      <c r="O72" s="223"/>
      <c r="P72" s="222"/>
      <c r="Q72" s="221"/>
      <c r="R72" s="207">
        <f>IF(L72="","",L72/(1+L72))</f>
        <v>0.52830188679245282</v>
      </c>
      <c r="S72" s="207" t="str">
        <f>IF(R72="","",IF(R72&lt;0.3,"S",IF(R72&lt;0.45,"L",IF(AND(R72&lt;0.5,R72&gt;=0.45),"C",IF(R72&gt;=0.5,"SC","")))))</f>
        <v>SC</v>
      </c>
      <c r="T72" s="206">
        <f>L72*9.81/($P$28*(1+L72))</f>
        <v>0.35676742836856101</v>
      </c>
      <c r="U72" s="186">
        <f>N72</f>
        <v>9.3000000000000007</v>
      </c>
      <c r="V72" s="186">
        <f>IF(E72="","",IF(E72&lt;=10,IF(E72&lt;=N72,18*E72,18*N72+(18-0)*(E72-N72)),IF(AND(E72&gt;10,N72&lt;=10),18*N72+(18-0)*(10-N72)+(17.5-0)*(E72-10),IF(E72&lt;N72,(18*0)+17.5*(E72-10),(18*0)+17.5*(N72-10)+(17.5-0)*(E72-N72)))))</f>
        <v>609.625</v>
      </c>
      <c r="W72" s="186">
        <f>IF(E72="","",IF(E72&lt;=10,IF(E72&lt;=N72,18*E72,18*N72+(18-10)*(E72-N72)),IF(AND(E72&gt;10,N72&lt;=10),18*N72+(18-10)*(10-N72)+(17.5-10)*(E72-10),IF(E72&lt;N72,(18*10)+17.5*(E72-10),(18*10)+17.5*(N72-10)+(17.5-10)*(E72-N72)))))</f>
        <v>357.125</v>
      </c>
      <c r="X72" s="197"/>
      <c r="Y72" s="205">
        <f>Y71</f>
        <v>1.2749999999999999</v>
      </c>
      <c r="Z72" s="164"/>
      <c r="AA72" s="189"/>
      <c r="AB72" s="204"/>
      <c r="AC72" s="203"/>
      <c r="AD72" s="202"/>
      <c r="AE72" s="201">
        <v>1.05</v>
      </c>
      <c r="AF72" s="200">
        <v>79.010000000000005</v>
      </c>
      <c r="AG72" s="164">
        <v>78.33</v>
      </c>
      <c r="AH72" s="164">
        <v>1147.28</v>
      </c>
      <c r="AI72" s="164">
        <v>1118.95</v>
      </c>
      <c r="AJ72" s="199">
        <f>IF(AF72="","",1-(AG72*AI72/AF72/AH72))</f>
        <v>3.3087170817522438E-2</v>
      </c>
      <c r="AK72" s="198">
        <v>6.0199999999999997E-2</v>
      </c>
      <c r="AL72" s="197">
        <v>600</v>
      </c>
      <c r="AM72" s="189">
        <v>1146.8800000000001</v>
      </c>
      <c r="AN72" s="186">
        <f>AL72-AQ72</f>
        <v>59.629999999999995</v>
      </c>
      <c r="AO72" s="186">
        <f>AN72-AP72</f>
        <v>-1.1368683772161603E-13</v>
      </c>
      <c r="AP72" s="186">
        <f>AM72-AR72</f>
        <v>59.630000000000109</v>
      </c>
      <c r="AQ72" s="189">
        <v>540.37</v>
      </c>
      <c r="AR72" s="189">
        <v>1087.25</v>
      </c>
      <c r="AS72" s="196"/>
      <c r="AT72" s="66"/>
      <c r="AU72" s="192"/>
      <c r="AV72" s="192"/>
      <c r="AW72" s="195"/>
      <c r="AX72" s="192"/>
      <c r="AY72" s="192"/>
      <c r="AZ72" s="192"/>
      <c r="BA72" s="195"/>
      <c r="BB72" s="194">
        <f>(AM72-AL72)/AK72/1000</f>
        <v>9.0843853820598035</v>
      </c>
      <c r="BC72" s="189"/>
      <c r="BD72" s="189"/>
      <c r="BE72" s="187">
        <f>AL72/AJ72/1000</f>
        <v>18.133916716815495</v>
      </c>
      <c r="BF72" s="193"/>
      <c r="BG72" s="192" t="s">
        <v>0</v>
      </c>
      <c r="BH72" s="191">
        <f>IF(OR(AE72="",Y72=""),"",Y72/AE72)</f>
        <v>1.2142857142857142</v>
      </c>
      <c r="BI72" s="190" t="str">
        <f>IF(OR(AE72="",Y72=""),"",IF(Y72/AE72&gt;1.05,"OC",IF(Y72/AE72&lt;0.95,"UC","OK")))</f>
        <v>OC</v>
      </c>
      <c r="BJ72" s="186">
        <f>(AM72-AL72)/2</f>
        <v>273.44000000000005</v>
      </c>
      <c r="BK72" s="189"/>
      <c r="BL72" s="186" t="str">
        <f>IF(BZ72="=",BJ72,"")</f>
        <v/>
      </c>
      <c r="BM72" s="188">
        <f>AN72/(AM72-AL72)</f>
        <v>0.10903671737858393</v>
      </c>
      <c r="BN72" s="186" t="str">
        <f>IF(BM72="","",IF(AND(BM72&gt;=3/4,BM72&lt;=1.5),"HS",IF(AND(BM72&gt;=0.5,BM72&lt;=1),"NC",IF(AND(BM72&gt;=0,BM72&lt;=0.5),"OC",IF(BM72&lt;0,"H-OC","")))))</f>
        <v>OC</v>
      </c>
      <c r="BO72" s="187">
        <f>IF(BX72="","",BX72)</f>
        <v>1.3333333333279225</v>
      </c>
      <c r="BP72" s="186"/>
      <c r="BQ72" s="185">
        <f>BJ72/AL72</f>
        <v>0.45573333333333343</v>
      </c>
      <c r="BR72" s="184">
        <f>AL72/W72</f>
        <v>1.6800840042002101</v>
      </c>
      <c r="BS72" s="184" t="str">
        <f>IF(OR(BR72="",BH72=""),"",IF(AND(BR72&lt;1,BH72&gt;1),"NO",""))</f>
        <v/>
      </c>
      <c r="BT72" s="183"/>
      <c r="BU72" s="182">
        <f>BU71</f>
        <v>0.3197733074016138</v>
      </c>
      <c r="BV72" s="181">
        <v>0.36204270887165951</v>
      </c>
      <c r="BW72" s="180">
        <f>(BQ72/BU72)^(1/0.8)</f>
        <v>1.5571689406908278</v>
      </c>
      <c r="BX72" s="179">
        <f>(BQ72/BV72)^(1/0.8)</f>
        <v>1.3333333333279225</v>
      </c>
      <c r="BY72" s="178">
        <f>BU72*BW72^0.8</f>
        <v>0.45573333333333343</v>
      </c>
      <c r="BZ72" s="177" t="str">
        <f>IF(BR72&lt;0.85,"",IF(AND(BR72&gt;=0.85,BR72&lt;=1.15),"=","&gt;"))</f>
        <v>&gt;</v>
      </c>
      <c r="CA72" s="177" t="str">
        <f>IF(BZ72="","",IF(AND(BQ72&gt;=0.2,BQ72&lt;=0.451),"OK","NO"))</f>
        <v>NO</v>
      </c>
      <c r="CB72" s="176" t="str">
        <f>IF(BZ72="","",IF(AL72&lt;=CF70/1.11,"OC","NC"))</f>
        <v>OC</v>
      </c>
      <c r="CC72" s="176" t="str">
        <f>IF(BZ72="","",IF(CA72="OK","NC","OC"))</f>
        <v>OC</v>
      </c>
      <c r="CD72" s="172">
        <f>IF(BQ72="","",IF(BW72="","",BW72*AL72))</f>
        <v>934.30136441449667</v>
      </c>
      <c r="CE72" s="175">
        <f>IF(BQ72="","",IF(BX72="","",BX72*AL72))</f>
        <v>799.99999999675344</v>
      </c>
      <c r="CF72" s="174"/>
      <c r="CG72" s="66">
        <f>CG71</f>
        <v>800</v>
      </c>
      <c r="CH72" s="220">
        <f>CG72/W72</f>
        <v>2.2401120056002801</v>
      </c>
      <c r="CI72" s="173" t="str">
        <f>IF(BQ72&lt;0.28,"Y","")</f>
        <v/>
      </c>
      <c r="CJ72" s="172" t="str">
        <f>IF(BQ72&lt;0.8,"Y","")</f>
        <v>Y</v>
      </c>
      <c r="CK72" s="172" t="str">
        <f>IF(BQ72&lt;BQ71,"","ERR")</f>
        <v/>
      </c>
      <c r="CL72" s="11">
        <f>IFERROR(CE72-CG72,"")</f>
        <v>-3.246555024816189E-9</v>
      </c>
      <c r="CM72" s="163"/>
      <c r="CN72" s="168">
        <f>IF(OR(BS72="NO",BG72="TX-CID"),"",BH72)</f>
        <v>1.2142857142857142</v>
      </c>
      <c r="CO72" s="168">
        <f>IF(CN72="","",BQ72)</f>
        <v>0.45573333333333343</v>
      </c>
      <c r="CP72" s="171">
        <f>IF(CO72="","",BR72)</f>
        <v>1.6800840042002101</v>
      </c>
      <c r="CQ72" s="170">
        <f>IF(CO72="","",BV72)</f>
        <v>0.36204270887165951</v>
      </c>
      <c r="CR72" s="169">
        <f>IF(CU72="","",BX72)</f>
        <v>1.3333333333279225</v>
      </c>
      <c r="CS72" s="169">
        <f>IF(CR72="","",LN(CR72))</f>
        <v>0.28768207244772276</v>
      </c>
      <c r="CT72" s="169">
        <f>IF(CS72="","",BM72)</f>
        <v>0.10903671737858393</v>
      </c>
      <c r="CU72" s="168">
        <f>IF(CO72="","",BU72)</f>
        <v>0.3197733074016138</v>
      </c>
      <c r="CV72" s="166">
        <f>IF(CR72="","",CH70)</f>
        <v>2.2401120056002801</v>
      </c>
      <c r="CW72" s="167">
        <f>IF(CU72="","",E72)</f>
        <v>34.549999999999997</v>
      </c>
      <c r="CX72" s="167"/>
      <c r="CY72" s="165">
        <f>IF(CW72="","",IF(H72=1,$DJ$3*CV72^0.8*W72,IF(H72=2,$DK$3*CV72^0.8*W72,IF(H72=3,$DL$3*CV72^0.8*W72,"ERR"))))</f>
        <v>285.94685919348569</v>
      </c>
      <c r="CZ72" s="165" t="str">
        <f>IF(CY72="","",IF(BI72="OK",BJ72,""))</f>
        <v/>
      </c>
      <c r="DA72" s="165" t="str">
        <f>IF(CY72="","",IF(BK72="","",BK72))</f>
        <v/>
      </c>
      <c r="DB72" s="166">
        <f>IF(CW72="","",BM72)</f>
        <v>0.10903671737858393</v>
      </c>
      <c r="DC72" s="165"/>
      <c r="DD72" s="165">
        <f>IF(OR(CH72="",W72=""),"",IF(H72=1,$DJ$3*CH72^0.8*W72,IF(H72=2,$DK$3*CH72^0.8*W72,IF(H72=3,$DL$3*CH72^0.8*W72,"ERR"))))</f>
        <v>285.94685919348569</v>
      </c>
      <c r="DE72" s="165">
        <f>IF(OR(CH72="",W72=""),"",IF(H72=1,$DJ$3*W72,IF(H72=2,$DK$3*W72,IF(H72=3,$DL$3*W72,"ERR"))))</f>
        <v>149.99250000000001</v>
      </c>
      <c r="DF72" s="164">
        <f>IF(DE72="","",-1.485*LN(E72)+7.098)</f>
        <v>1.8375247879326864</v>
      </c>
      <c r="DG72" s="165">
        <f>IF(OR(DF72="",W72=""),"",IF(H72=1,$DJ$3*DF72^0.8*W72,IF(H72=2,$DK$3*DF72^0.8*W72,IF(H72=3,$DL$3*CH72^0.8*W72,"ERR"))))</f>
        <v>285.94685919348569</v>
      </c>
      <c r="DH72" s="164"/>
      <c r="DJ72" s="163"/>
      <c r="DK72" s="163"/>
      <c r="DL72" s="163"/>
    </row>
    <row r="73" spans="1:116" s="116" customFormat="1">
      <c r="A73" s="161" t="str">
        <f>IF(B73="","",IF(F73&lt;10,CONCATENATE(B73," - 0",F73),CONCATENATE(B73," - ",F73)))</f>
        <v>TRT05 - 37.75</v>
      </c>
      <c r="B73" s="160" t="s">
        <v>2</v>
      </c>
      <c r="C73" s="160">
        <v>37.450000000000003</v>
      </c>
      <c r="D73" s="160">
        <v>37.75</v>
      </c>
      <c r="E73" s="160">
        <v>37.6</v>
      </c>
      <c r="F73" s="160">
        <f>IF(E73="","",CEILING(E73,0.25))</f>
        <v>37.75</v>
      </c>
      <c r="G73" s="160" t="s">
        <v>1</v>
      </c>
      <c r="H73" s="159">
        <v>3</v>
      </c>
      <c r="I73" s="117">
        <v>17.52</v>
      </c>
      <c r="J73" s="117">
        <v>11.82</v>
      </c>
      <c r="K73" s="158">
        <v>0.48199999999999998</v>
      </c>
      <c r="L73" s="150">
        <v>1.3260000000000001</v>
      </c>
      <c r="M73" s="157">
        <v>1</v>
      </c>
      <c r="N73" s="156">
        <v>9.3000000000000007</v>
      </c>
      <c r="O73" s="155">
        <f>(P73*(1+AVERAGE(L73:L75))+(9.81*M73*AVERAGE(L73:L75)))/(1+AVERAGE(L73:L75))</f>
        <v>17.481057650628518</v>
      </c>
      <c r="P73" s="154">
        <f>AVERAGE(J73:J75)</f>
        <v>11.923333333333332</v>
      </c>
      <c r="Q73" s="153">
        <f>AVERAGE(K73:K75)</f>
        <v>0.47866666666666663</v>
      </c>
      <c r="R73" s="152">
        <f>IF(L73="","",L73/(1+L73))</f>
        <v>0.57007738607050729</v>
      </c>
      <c r="S73" s="152" t="str">
        <f>IF(R73="","",IF(R73&lt;0.3,"S",IF(R73&lt;0.45,"L",IF(AND(R73&lt;0.5,R73&gt;=0.45),"C",IF(R73&gt;=0.5,"SC","")))))</f>
        <v>SC</v>
      </c>
      <c r="T73" s="151">
        <f>L73*9.81/($P$28*(1+L73))</f>
        <v>0.38497883139180894</v>
      </c>
      <c r="U73" s="141">
        <f>N73</f>
        <v>9.3000000000000007</v>
      </c>
      <c r="V73" s="141">
        <f>IF(E73="","",IF(E73&lt;=10,IF(E73&lt;=N73,18*E73,18*N73+(18-0)*(E73-N73)),IF(AND(E73&gt;10,N73&lt;=10),18*N73+(18-0)*(10-N73)+(17.5-0)*(E73-10),IF(E73&lt;N73,(18*0)+17.5*(E73-10),(18*0)+17.5*(N73-10)+(17.5-0)*(E73-N73)))))</f>
        <v>663</v>
      </c>
      <c r="W73" s="141">
        <f>IF(E73="","",IF(E73&lt;=10,IF(E73&lt;=N73,18*E73,18*N73+(18-10)*(E73-N73)),IF(AND(E73&gt;10,N73&lt;=10),18*N73+(18-10)*(10-N73)+(17.5-10)*(E73-10),IF(E73&lt;N73,(18*10)+17.5*(E73-10),(18*10)+17.5*(N73-10)+(17.5-10)*(E73-N73)))))</f>
        <v>380</v>
      </c>
      <c r="X73" s="142">
        <v>320</v>
      </c>
      <c r="Y73" s="150">
        <v>1.671</v>
      </c>
      <c r="Z73" s="118">
        <v>2.5</v>
      </c>
      <c r="AA73" s="136">
        <v>780</v>
      </c>
      <c r="AB73" s="149"/>
      <c r="AC73" s="148"/>
      <c r="AD73" s="147"/>
      <c r="AE73" s="146">
        <v>1.3080000000000001</v>
      </c>
      <c r="AF73" s="145">
        <v>78.86</v>
      </c>
      <c r="AG73" s="118">
        <v>77.61</v>
      </c>
      <c r="AH73" s="118">
        <v>1139.49</v>
      </c>
      <c r="AI73" s="118">
        <v>1148.83</v>
      </c>
      <c r="AJ73" s="144">
        <f>IF(AF73="","",1-(AG73*AI73/AF73/AH73))</f>
        <v>7.7841496545210109E-3</v>
      </c>
      <c r="AK73" s="143">
        <v>9.1999999999999998E-2</v>
      </c>
      <c r="AL73" s="142">
        <v>150</v>
      </c>
      <c r="AM73" s="136">
        <v>389.4</v>
      </c>
      <c r="AN73" s="141">
        <f>AL73-AQ73</f>
        <v>33.19</v>
      </c>
      <c r="AO73" s="141">
        <f>AN73-AP73</f>
        <v>1.0000000000047748E-2</v>
      </c>
      <c r="AP73" s="141">
        <f>AM73-AR73</f>
        <v>33.17999999999995</v>
      </c>
      <c r="AQ73" s="136">
        <v>116.81</v>
      </c>
      <c r="AR73" s="136">
        <v>356.22</v>
      </c>
      <c r="AS73" s="140"/>
      <c r="AT73" s="139">
        <v>40</v>
      </c>
      <c r="AU73" s="133">
        <v>16</v>
      </c>
      <c r="AV73" s="133">
        <v>35</v>
      </c>
      <c r="AW73" s="138">
        <v>23</v>
      </c>
      <c r="AX73" s="133">
        <v>80</v>
      </c>
      <c r="AY73" s="133">
        <v>8</v>
      </c>
      <c r="AZ73" s="133">
        <v>70</v>
      </c>
      <c r="BA73" s="138">
        <v>13</v>
      </c>
      <c r="BB73" s="137">
        <f>(AM73-AL73)/AK73/1000</f>
        <v>2.6021739130434782</v>
      </c>
      <c r="BC73" s="136"/>
      <c r="BD73" s="136"/>
      <c r="BE73" s="135">
        <f>AL73/AJ73/1000</f>
        <v>19.269927565290377</v>
      </c>
      <c r="BF73" s="134"/>
      <c r="BG73" s="133" t="s">
        <v>0</v>
      </c>
      <c r="BH73" s="132">
        <f>IF(OR(AE73="",Y73=""),"",Y73/AE73)</f>
        <v>1.2775229357798166</v>
      </c>
      <c r="BI73" s="131" t="str">
        <f>IF(OR(AE73="",Y73=""),"",IF(Y73/AE73&gt;1.05,"OC",IF(Y73/AE73&lt;0.95,"UC","OK")))</f>
        <v>OC</v>
      </c>
      <c r="BJ73" s="141">
        <f>(AM73-AL73)/2</f>
        <v>119.69999999999999</v>
      </c>
      <c r="BK73" s="37">
        <f>AVERAGE(BJ73:BJ75)+(_xlfn.COVARIANCE.P(AL73:AL75,BJ73:BJ75)/_xlfn.STDEV.P(AL73:AL75)^2)*(W73-AVERAGE(AL73:AL75))</f>
        <v>190.78057142857139</v>
      </c>
      <c r="BL73" s="37" t="str">
        <f>IF(BZ73="=",BJ73,"")</f>
        <v/>
      </c>
      <c r="BM73" s="110">
        <f>AN73/(AM73-AL73)</f>
        <v>0.13863826232247287</v>
      </c>
      <c r="BN73" s="37" t="str">
        <f>IF(BM73="","",IF(AND(BM73&gt;=3/4,BM73&lt;=1.5),"HS",IF(AND(BM73&gt;=0.5,BM73&lt;=1),"NC",IF(AND(BM73&gt;=0,BM73&lt;=0.5),"OC",IF(BM73&lt;0,"H-OC","")))))</f>
        <v>OC</v>
      </c>
      <c r="BO73" s="109">
        <f>IF(BX73="","",BX73)</f>
        <v>5.2000000000092514</v>
      </c>
      <c r="BP73" s="37"/>
      <c r="BQ73" s="27">
        <f>BJ73/AL73</f>
        <v>0.79799999999999993</v>
      </c>
      <c r="BR73" s="129">
        <f>AL73/W73</f>
        <v>0.39473684210526316</v>
      </c>
      <c r="BS73" s="129" t="str">
        <f>IF(OR(BR73="",BH73=""),"",IF(AND(BR73&lt;1,BH73&gt;1),"NO",""))</f>
        <v>NO</v>
      </c>
      <c r="BT73" s="128"/>
      <c r="BU73" s="24">
        <v>0.36757231879437641</v>
      </c>
      <c r="BV73" s="23">
        <v>0.21340285063989001</v>
      </c>
      <c r="BW73" s="22">
        <f>(BQ73/BU73)^(1/0.8)</f>
        <v>2.63526999173832</v>
      </c>
      <c r="BX73" s="21">
        <f>(BQ73/BV73)^(1/0.8)</f>
        <v>5.2000000000092514</v>
      </c>
      <c r="BY73" s="20">
        <f>BU73*BW73^0.8</f>
        <v>0.79800000000000004</v>
      </c>
      <c r="BZ73" s="19" t="str">
        <f>IF(BR73&lt;0.85,"",IF(AND(BR73&gt;=0.85,BR73&lt;=1.15),"=","&gt;"))</f>
        <v/>
      </c>
      <c r="CA73" s="19" t="str">
        <f>IF(BZ73="","",IF(AND(BQ73&gt;=0.2,BQ73&lt;=0.451),"OK","NO"))</f>
        <v/>
      </c>
      <c r="CB73" s="18" t="str">
        <f>IF(BZ73="","",IF(AL73&lt;=CF73/1.11,"OC","NC"))</f>
        <v/>
      </c>
      <c r="CC73" s="18" t="str">
        <f>IF(BZ73="","",IF(CA73="OK","NC","OC"))</f>
        <v/>
      </c>
      <c r="CD73" s="12"/>
      <c r="CE73" s="17">
        <f>IF(BQ73="","",IF(BX73="","",BX73*AL73))</f>
        <v>780.00000000138766</v>
      </c>
      <c r="CF73" s="16">
        <f>AVERAGE(CD73:CD75)</f>
        <v>779.99999999590068</v>
      </c>
      <c r="CG73" s="15">
        <v>780</v>
      </c>
      <c r="CH73" s="14">
        <f>CG73/W73</f>
        <v>2.0526315789473686</v>
      </c>
      <c r="CI73" s="13" t="str">
        <f>IF(BQ73&lt;0.28,"Y","")</f>
        <v/>
      </c>
      <c r="CJ73" s="12" t="str">
        <f>IF(BQ73&lt;0.8,"Y","")</f>
        <v>Y</v>
      </c>
      <c r="CK73" s="126"/>
      <c r="CL73" s="125">
        <f>IFERROR(CE73-CG73,"")</f>
        <v>1.3876615412300453E-9</v>
      </c>
      <c r="CM73" s="117"/>
      <c r="CN73" s="121" t="str">
        <f>IF(OR(BS73="NO",BG73="TX-CID"),"",BH73)</f>
        <v/>
      </c>
      <c r="CO73" s="121" t="str">
        <f>IF(CN73="","",BQ73)</f>
        <v/>
      </c>
      <c r="CP73" s="124" t="str">
        <f>IF(CO73="","",BR73)</f>
        <v/>
      </c>
      <c r="CQ73" s="123" t="str">
        <f>IF(CO73="","",BV73)</f>
        <v/>
      </c>
      <c r="CR73" s="122" t="str">
        <f>IF(CU73="","",BX73)</f>
        <v/>
      </c>
      <c r="CS73" s="122" t="str">
        <f>IF(CR73="","",LN(CR73))</f>
        <v/>
      </c>
      <c r="CT73" s="122" t="str">
        <f>IF(CS73="","",BM73)</f>
        <v/>
      </c>
      <c r="CU73" s="121" t="str">
        <f>IF(CO73="","",BU73)</f>
        <v/>
      </c>
      <c r="CV73" s="6" t="str">
        <f>IF(CR73="","",CH73)</f>
        <v/>
      </c>
      <c r="CW73" s="5" t="str">
        <f>IF(CU73="","",E73)</f>
        <v/>
      </c>
      <c r="CX73" s="5"/>
      <c r="CY73" s="119" t="str">
        <f>IF(CW73="","",IF(H73=1,$DJ$3*CV73^0.8*W73,IF(H73=2,$DK$3*CV73^0.8*W73,IF(H73=3,$DL$3*CV73^0.8*W73,"ERR"))))</f>
        <v/>
      </c>
      <c r="CZ73" s="119" t="str">
        <f>IF(CY73="","",IF(BI73="OK",BJ73,""))</f>
        <v/>
      </c>
      <c r="DA73" s="119" t="str">
        <f>IF(CY73="","",IF(BK73="","",BK73))</f>
        <v/>
      </c>
      <c r="DB73" s="120" t="str">
        <f>IF(CW73="","",BM73)</f>
        <v/>
      </c>
      <c r="DC73" s="119"/>
      <c r="DD73" s="119">
        <f>IF(OR(CH73="",W73=""),"",IF(H73=1,$DJ$3*CH73^0.8*W73,IF(H73=2,$DK$3*CH73^0.8*W73,IF(H73=3,$DL$3*CH73^0.8*W73,"ERR"))))</f>
        <v>283.71460433595416</v>
      </c>
      <c r="DE73" s="119">
        <f>IF(OR(CH73="",W73=""),"",IF(H73=1,$DJ$3*W73,IF(H73=2,$DK$3*W73,IF(H73=3,$DL$3*W73,"ERR"))))</f>
        <v>159.6</v>
      </c>
      <c r="DF73" s="118">
        <f>IF(DE73="","",-1.485*LN(E73)+7.098)</f>
        <v>1.711898985162164</v>
      </c>
      <c r="DG73" s="119">
        <f>IF(OR(DF73="",W73=""),"",IF(H73=1,$DJ$3*DF73^0.8*W73,IF(H73=2,$DK$3*DF73^0.8*W73,IF(H73=3,$DL$3*CH73^0.8*W73,"ERR"))))</f>
        <v>283.71460433595416</v>
      </c>
      <c r="DH73" s="118"/>
      <c r="DJ73" s="117"/>
      <c r="DK73" s="117"/>
      <c r="DL73" s="117"/>
    </row>
    <row r="74" spans="1:116">
      <c r="A74" s="115" t="str">
        <f>IF(B74="","",IF(F74&lt;10,CONCATENATE(B74," - 0",F74),CONCATENATE(B74," - ",F74)))</f>
        <v>TRT05 - 37.75</v>
      </c>
      <c r="B74" s="114" t="s">
        <v>2</v>
      </c>
      <c r="C74" s="114">
        <v>37.450000000000003</v>
      </c>
      <c r="D74" s="114">
        <v>37.75</v>
      </c>
      <c r="E74" s="114">
        <v>37.6</v>
      </c>
      <c r="F74" s="114">
        <f>IF(E74="","",CEILING(E74,0.25))</f>
        <v>37.75</v>
      </c>
      <c r="G74" s="114" t="s">
        <v>1</v>
      </c>
      <c r="H74" s="113">
        <v>3</v>
      </c>
      <c r="I74" s="2">
        <v>17.68</v>
      </c>
      <c r="J74" s="2">
        <v>11.87</v>
      </c>
      <c r="K74" s="112">
        <v>0.49</v>
      </c>
      <c r="L74" s="45">
        <v>1.3180000000000001</v>
      </c>
      <c r="M74" s="49">
        <v>1</v>
      </c>
      <c r="N74" s="48">
        <v>9.3000000000000007</v>
      </c>
      <c r="R74" s="47">
        <f>IF(L74="","",L74/(1+L74))</f>
        <v>0.56859361518550477</v>
      </c>
      <c r="S74" s="47" t="str">
        <f>IF(R74="","",IF(R74&lt;0.3,"S",IF(R74&lt;0.45,"L",IF(AND(R74&lt;0.5,R74&gt;=0.45),"C",IF(R74&gt;=0.5,"SC","")))))</f>
        <v>SC</v>
      </c>
      <c r="T74" s="46">
        <f>L74*9.81/($P$28*(1+L74))</f>
        <v>0.38397682640911907</v>
      </c>
      <c r="U74" s="37">
        <f>N74</f>
        <v>9.3000000000000007</v>
      </c>
      <c r="V74" s="37">
        <f>IF(E74="","",IF(E74&lt;=10,IF(E74&lt;=N74,18*E74,18*N74+(18-0)*(E74-N74)),IF(AND(E74&gt;10,N74&lt;=10),18*N74+(18-0)*(10-N74)+(17.5-0)*(E74-10),IF(E74&lt;N74,(18*0)+17.5*(E74-10),(18*0)+17.5*(N74-10)+(17.5-0)*(E74-N74)))))</f>
        <v>663</v>
      </c>
      <c r="W74" s="37">
        <f>IF(E74="","",IF(E74&lt;=10,IF(E74&lt;=N74,18*E74,18*N74+(18-10)*(E74-N74)),IF(AND(E74&gt;10,N74&lt;=10),18*N74+(18-10)*(10-N74)+(17.5-10)*(E74-10),IF(E74&lt;N74,(18*10)+17.5*(E74-10),(18*10)+17.5*(N74-10)+(17.5-10)*(E74-N74)))))</f>
        <v>380</v>
      </c>
      <c r="Y74" s="45">
        <f>Y73</f>
        <v>1.671</v>
      </c>
      <c r="AE74" s="41">
        <v>1.2869999999999999</v>
      </c>
      <c r="AF74" s="40">
        <v>78.75</v>
      </c>
      <c r="AG74" s="3">
        <v>76.86</v>
      </c>
      <c r="AH74" s="3">
        <v>1137.0999999999999</v>
      </c>
      <c r="AI74" s="3">
        <v>1149.45</v>
      </c>
      <c r="AJ74" s="39">
        <f>IF(AF74="","",1-(AG74*AI74/AF74/AH74))</f>
        <v>1.3399700993755981E-2</v>
      </c>
      <c r="AK74" s="38">
        <v>1.66E-2</v>
      </c>
      <c r="AL74" s="34">
        <v>300</v>
      </c>
      <c r="AM74" s="28">
        <v>598.41999999999996</v>
      </c>
      <c r="AN74" s="37">
        <f>AL74-AQ74</f>
        <v>132.52000000000001</v>
      </c>
      <c r="AO74" s="37">
        <f>AN74-AP74</f>
        <v>-9.9999999999624833E-3</v>
      </c>
      <c r="AP74" s="37">
        <f>AM74-AR74</f>
        <v>132.52999999999997</v>
      </c>
      <c r="AQ74" s="28">
        <v>167.48</v>
      </c>
      <c r="AR74" s="28">
        <v>465.89</v>
      </c>
      <c r="BB74" s="111">
        <f>(AM74-AL74)/AK74/1000</f>
        <v>17.977108433734937</v>
      </c>
      <c r="BE74" s="109">
        <f>AL74/AJ74/1000</f>
        <v>22.3885592775387</v>
      </c>
      <c r="BG74" s="32" t="s">
        <v>0</v>
      </c>
      <c r="BH74" s="31">
        <f>IF(OR(AE74="",Y74=""),"",Y74/AE74)</f>
        <v>1.2983682983682985</v>
      </c>
      <c r="BI74" s="30" t="str">
        <f>IF(OR(AE74="",Y74=""),"",IF(Y74/AE74&gt;1.05,"OC",IF(Y74/AE74&lt;0.95,"UC","OK")))</f>
        <v>OC</v>
      </c>
      <c r="BJ74" s="37">
        <f>(AM74-AL74)/2</f>
        <v>149.20999999999998</v>
      </c>
      <c r="BL74" s="37" t="str">
        <f>IF(BZ74="=",BJ74,"")</f>
        <v/>
      </c>
      <c r="BM74" s="110">
        <f>AN74/(AM74-AL74)</f>
        <v>0.44407211312914696</v>
      </c>
      <c r="BN74" s="37" t="str">
        <f>IF(BM74="","",IF(AND(BM74&gt;=3/4,BM74&lt;=1.5),"HS",IF(AND(BM74&gt;=0.5,BM74&lt;=1),"NC",IF(AND(BM74&gt;=0,BM74&lt;=0.5),"OC",IF(BM74&lt;0,"H-OC","")))))</f>
        <v>OC</v>
      </c>
      <c r="BO74" s="109">
        <f>IF(BX74="","",BX74)</f>
        <v>2.6000000000080368</v>
      </c>
      <c r="BP74" s="37"/>
      <c r="BQ74" s="27">
        <f>BJ74/AL74</f>
        <v>0.49736666666666662</v>
      </c>
      <c r="BR74" s="26">
        <f>AL74/W74</f>
        <v>0.78947368421052633</v>
      </c>
      <c r="BS74" s="26" t="str">
        <f>IF(OR(BR74="",BH74=""),"",IF(AND(BR74&lt;1,BH74&gt;1),"NO",""))</f>
        <v>NO</v>
      </c>
      <c r="BU74" s="24">
        <f>BU73</f>
        <v>0.36757231879437641</v>
      </c>
      <c r="BV74" s="23">
        <v>0.23157837240815068</v>
      </c>
      <c r="BW74" s="22">
        <f>(BQ74/BU74)^(1/0.8)</f>
        <v>1.4593764946744521</v>
      </c>
      <c r="BX74" s="21">
        <f>(BQ74/BV74)^(1/0.8)</f>
        <v>2.6000000000080368</v>
      </c>
      <c r="BY74" s="20">
        <f>BU74*BW74^0.8</f>
        <v>0.49736666666666662</v>
      </c>
      <c r="BZ74" s="19" t="str">
        <f>IF(BR74&lt;0.85,"",IF(AND(BR74&gt;=0.85,BR74&lt;=1.15),"=","&gt;"))</f>
        <v/>
      </c>
      <c r="CA74" s="19" t="str">
        <f>IF(BZ74="","",IF(AND(BQ74&gt;=0.2,BQ74&lt;=0.451),"OK","NO"))</f>
        <v/>
      </c>
      <c r="CB74" s="18" t="str">
        <f>IF(BZ74="","",IF(AL74&lt;=CF73/1.11,"OC","NC"))</f>
        <v/>
      </c>
      <c r="CC74" s="18" t="str">
        <f>IF(BZ74="","",IF(CA74="OK","NC","OC"))</f>
        <v/>
      </c>
      <c r="CE74" s="17">
        <f>IF(BQ74="","",IF(BX74="","",BX74*AL74))</f>
        <v>780.00000000241107</v>
      </c>
      <c r="CG74" s="15">
        <f>CG73</f>
        <v>780</v>
      </c>
      <c r="CH74" s="14">
        <f>CG74/W74</f>
        <v>2.0526315789473686</v>
      </c>
      <c r="CI74" s="13" t="str">
        <f>IF(BQ74&lt;0.28,"Y","")</f>
        <v/>
      </c>
      <c r="CJ74" s="12" t="str">
        <f>IF(BQ74&lt;0.8,"Y","")</f>
        <v>Y</v>
      </c>
      <c r="CK74" s="12" t="str">
        <f>IF(BQ74&lt;BQ73,"","ERR")</f>
        <v/>
      </c>
      <c r="CL74" s="11">
        <f>IFERROR(CE74-CG74,"")</f>
        <v>2.4110704544000328E-9</v>
      </c>
      <c r="CN74" s="7" t="str">
        <f>IF(OR(BS74="NO",BG74="TX-CID"),"",BH74)</f>
        <v/>
      </c>
      <c r="CO74" s="7" t="str">
        <f>IF(CN74="","",BQ74)</f>
        <v/>
      </c>
      <c r="CP74" s="10" t="str">
        <f>IF(CO74="","",BR74)</f>
        <v/>
      </c>
      <c r="CQ74" s="9" t="str">
        <f>IF(CO74="","",BV74)</f>
        <v/>
      </c>
      <c r="CR74" s="8" t="str">
        <f>IF(CU74="","",BX74)</f>
        <v/>
      </c>
      <c r="CS74" s="8" t="str">
        <f>IF(CR74="","",LN(CR74))</f>
        <v/>
      </c>
      <c r="CT74" s="8" t="str">
        <f>IF(CS74="","",BM74)</f>
        <v/>
      </c>
      <c r="CU74" s="7" t="str">
        <f>IF(CO74="","",BU74)</f>
        <v/>
      </c>
      <c r="CV74" s="6" t="str">
        <f>IF(CR74="","",CH73)</f>
        <v/>
      </c>
      <c r="CW74" s="5" t="str">
        <f>IF(CU74="","",E74)</f>
        <v/>
      </c>
      <c r="CY74" s="4" t="str">
        <f>IF(CW74="","",IF(H74=1,$DJ$3*CV74^0.8*W74,IF(H74=2,$DK$3*CV74^0.8*W74,IF(H74=3,$DL$3*CV74^0.8*W74,"ERR"))))</f>
        <v/>
      </c>
      <c r="CZ74" s="4" t="str">
        <f>IF(CY74="","",IF(BI74="OK",BJ74,""))</f>
        <v/>
      </c>
      <c r="DA74" s="4" t="str">
        <f>IF(CY74="","",IF(BK74="","",BK74))</f>
        <v/>
      </c>
      <c r="DB74" s="6" t="str">
        <f>IF(CW74="","",BM74)</f>
        <v/>
      </c>
      <c r="DD74" s="4">
        <f>IF(OR(CH74="",W74=""),"",IF(H74=1,$DJ$3*CH74^0.8*W74,IF(H74=2,$DK$3*CH74^0.8*W74,IF(H74=3,$DL$3*CH74^0.8*W74,"ERR"))))</f>
        <v>283.71460433595416</v>
      </c>
      <c r="DE74" s="4">
        <f>IF(OR(CH74="",W74=""),"",IF(H74=1,$DJ$3*W74,IF(H74=2,$DK$3*W74,IF(H74=3,$DL$3*W74,"ERR"))))</f>
        <v>159.6</v>
      </c>
      <c r="DF74" s="3">
        <f>IF(DE74="","",-1.485*LN(E74)+7.098)</f>
        <v>1.711898985162164</v>
      </c>
      <c r="DG74" s="4">
        <f>IF(OR(DF74="",W74=""),"",IF(H74=1,$DJ$3*DF74^0.8*W74,IF(H74=2,$DK$3*DF74^0.8*W74,IF(H74=3,$DL$3*CH74^0.8*W74,"ERR"))))</f>
        <v>283.71460433595416</v>
      </c>
    </row>
    <row r="75" spans="1:116" s="162" customFormat="1">
      <c r="A75" s="213" t="str">
        <f>IF(B75="","",IF(F75&lt;10,CONCATENATE(B75," - 0",F75),CONCATENATE(B75," - ",F75)))</f>
        <v>TRT05 - 37.75</v>
      </c>
      <c r="B75" s="212" t="s">
        <v>2</v>
      </c>
      <c r="C75" s="212">
        <v>37.450000000000003</v>
      </c>
      <c r="D75" s="212">
        <v>37.75</v>
      </c>
      <c r="E75" s="212">
        <v>37.6</v>
      </c>
      <c r="F75" s="212">
        <f>IF(E75="","",CEILING(E75,0.25))</f>
        <v>37.75</v>
      </c>
      <c r="G75" s="212" t="s">
        <v>1</v>
      </c>
      <c r="H75" s="211">
        <v>3</v>
      </c>
      <c r="I75" s="163">
        <v>17.68</v>
      </c>
      <c r="J75" s="163">
        <v>12.08</v>
      </c>
      <c r="K75" s="210">
        <v>0.46400000000000002</v>
      </c>
      <c r="L75" s="205">
        <v>1.2769999999999999</v>
      </c>
      <c r="M75" s="209">
        <v>1</v>
      </c>
      <c r="N75" s="208">
        <v>9.3000000000000007</v>
      </c>
      <c r="O75" s="163"/>
      <c r="P75" s="163"/>
      <c r="Q75" s="207"/>
      <c r="R75" s="207">
        <f>IF(L75="","",L75/(1+L75))</f>
        <v>0.56082564778216948</v>
      </c>
      <c r="S75" s="207" t="str">
        <f>IF(R75="","",IF(R75&lt;0.3,"S",IF(R75&lt;0.45,"L",IF(AND(R75&lt;0.5,R75&gt;=0.45),"C",IF(R75&gt;=0.5,"SC","")))))</f>
        <v>SC</v>
      </c>
      <c r="T75" s="206">
        <f>L75*9.81/($P$28*(1+L75))</f>
        <v>0.378731042088785</v>
      </c>
      <c r="U75" s="186">
        <f>N75</f>
        <v>9.3000000000000007</v>
      </c>
      <c r="V75" s="186">
        <f>IF(E75="","",IF(E75&lt;=10,IF(E75&lt;=N75,18*E75,18*N75+(18-0)*(E75-N75)),IF(AND(E75&gt;10,N75&lt;=10),18*N75+(18-0)*(10-N75)+(17.5-0)*(E75-10),IF(E75&lt;N75,(18*0)+17.5*(E75-10),(18*0)+17.5*(N75-10)+(17.5-0)*(E75-N75)))))</f>
        <v>663</v>
      </c>
      <c r="W75" s="186">
        <f>IF(E75="","",IF(E75&lt;=10,IF(E75&lt;=N75,18*E75,18*N75+(18-10)*(E75-N75)),IF(AND(E75&gt;10,N75&lt;=10),18*N75+(18-10)*(10-N75)+(17.5-10)*(E75-10),IF(E75&lt;N75,(18*10)+17.5*(E75-10),(18*10)+17.5*(N75-10)+(17.5-10)*(E75-N75)))))</f>
        <v>380</v>
      </c>
      <c r="X75" s="197"/>
      <c r="Y75" s="205">
        <f>Y74</f>
        <v>1.671</v>
      </c>
      <c r="Z75" s="164"/>
      <c r="AA75" s="189"/>
      <c r="AB75" s="204"/>
      <c r="AC75" s="203"/>
      <c r="AD75" s="202"/>
      <c r="AE75" s="201">
        <v>1.2010000000000001</v>
      </c>
      <c r="AF75" s="200">
        <v>78.92</v>
      </c>
      <c r="AG75" s="164">
        <v>77.75</v>
      </c>
      <c r="AH75" s="164">
        <v>1135.9100000000001</v>
      </c>
      <c r="AI75" s="164">
        <v>1114.4100000000001</v>
      </c>
      <c r="AJ75" s="199">
        <f>IF(AF75="","",1-(AG75*AI75/AF75/AH75))</f>
        <v>3.3472091607880228E-2</v>
      </c>
      <c r="AK75" s="198">
        <v>5.6899999999999999E-2</v>
      </c>
      <c r="AL75" s="197">
        <v>600</v>
      </c>
      <c r="AM75" s="189">
        <v>1144.0999999999999</v>
      </c>
      <c r="AN75" s="186">
        <f>AL75-AQ75</f>
        <v>258.39999999999998</v>
      </c>
      <c r="AO75" s="186">
        <f>AN75-AP75</f>
        <v>0</v>
      </c>
      <c r="AP75" s="186">
        <f>AM75-AR75</f>
        <v>258.39999999999986</v>
      </c>
      <c r="AQ75" s="189">
        <v>341.6</v>
      </c>
      <c r="AR75" s="189">
        <v>885.7</v>
      </c>
      <c r="AS75" s="196"/>
      <c r="AT75" s="66"/>
      <c r="AU75" s="192"/>
      <c r="AV75" s="192"/>
      <c r="AW75" s="195"/>
      <c r="AX75" s="192"/>
      <c r="AY75" s="192"/>
      <c r="AZ75" s="192"/>
      <c r="BA75" s="195"/>
      <c r="BB75" s="194">
        <f>(AM75-AL75)/AK75/1000</f>
        <v>9.5623901581722315</v>
      </c>
      <c r="BC75" s="189"/>
      <c r="BD75" s="189"/>
      <c r="BE75" s="187">
        <f>AL75/AJ75/1000</f>
        <v>17.925381151225814</v>
      </c>
      <c r="BF75" s="193"/>
      <c r="BG75" s="192" t="s">
        <v>0</v>
      </c>
      <c r="BH75" s="191">
        <f>IF(OR(AE75="",Y75=""),"",Y75/AE75)</f>
        <v>1.3913405495420483</v>
      </c>
      <c r="BI75" s="190" t="str">
        <f>IF(OR(AE75="",Y75=""),"",IF(Y75/AE75&gt;1.05,"OC",IF(Y75/AE75&lt;0.95,"UC","OK")))</f>
        <v>OC</v>
      </c>
      <c r="BJ75" s="186">
        <f>(AM75-AL75)/2</f>
        <v>272.04999999999995</v>
      </c>
      <c r="BK75" s="189"/>
      <c r="BL75" s="186" t="str">
        <f>IF(BZ75="=",BJ75,"")</f>
        <v/>
      </c>
      <c r="BM75" s="219">
        <f>AN75/(AM75-AL75)</f>
        <v>0.47491269987134721</v>
      </c>
      <c r="BN75" s="186" t="str">
        <f>IF(BM75="","",IF(AND(BM75&gt;=3/4,BM75&lt;=1.5),"HS",IF(AND(BM75&gt;=0.5,BM75&lt;=1),"NC",IF(AND(BM75&gt;=0,BM75&lt;=0.5),"OC",IF(BM75&lt;0,"H-OC","")))))</f>
        <v>OC</v>
      </c>
      <c r="BO75" s="187">
        <f>IF(BX75="","",BX75)</f>
        <v>1.2999999999931677</v>
      </c>
      <c r="BP75" s="186"/>
      <c r="BQ75" s="185">
        <f>BJ75/AL75</f>
        <v>0.45341666666666658</v>
      </c>
      <c r="BR75" s="184">
        <f>AL75/W75</f>
        <v>1.5789473684210527</v>
      </c>
      <c r="BS75" s="184" t="str">
        <f>IF(OR(BR75="",BH75=""),"",IF(AND(BR75&lt;1,BH75&gt;1),"NO",""))</f>
        <v/>
      </c>
      <c r="BT75" s="183"/>
      <c r="BU75" s="182">
        <f>BU74</f>
        <v>0.36757231879437641</v>
      </c>
      <c r="BV75" s="181">
        <v>0.36757231879437641</v>
      </c>
      <c r="BW75" s="180">
        <f>(BQ75/BU75)^(1/0.8)</f>
        <v>1.2999999999931677</v>
      </c>
      <c r="BX75" s="179">
        <f>(BQ75/BV75)^(1/0.8)</f>
        <v>1.2999999999931677</v>
      </c>
      <c r="BY75" s="178">
        <f>BU75*BW75^0.8</f>
        <v>0.45341666666666663</v>
      </c>
      <c r="BZ75" s="177" t="str">
        <f>IF(BR75&lt;0.85,"",IF(AND(BR75&gt;=0.85,BR75&lt;=1.15),"=","&gt;"))</f>
        <v>&gt;</v>
      </c>
      <c r="CA75" s="177" t="str">
        <f>IF(BZ75="","",IF(AND(BQ75&gt;=0.2,BQ75&lt;=0.451),"OK","NO"))</f>
        <v>NO</v>
      </c>
      <c r="CB75" s="176" t="str">
        <f>IF(BZ75="","",IF(AL75&lt;=CF73/1.11,"OC","NC"))</f>
        <v>OC</v>
      </c>
      <c r="CC75" s="176" t="str">
        <f>IF(BZ75="","",IF(CA75="OK","NC","OC"))</f>
        <v>OC</v>
      </c>
      <c r="CD75" s="172">
        <f>IF(BQ75="","",IF(BW75="","",BW75*AL75))</f>
        <v>779.99999999590068</v>
      </c>
      <c r="CE75" s="175">
        <f>IF(BQ75="","",IF(BX75="","",BX75*AL75))</f>
        <v>779.99999999590068</v>
      </c>
      <c r="CF75" s="174"/>
      <c r="CG75" s="66">
        <f>CG74</f>
        <v>780</v>
      </c>
      <c r="CH75" s="14">
        <f>CG75/W75</f>
        <v>2.0526315789473686</v>
      </c>
      <c r="CI75" s="173" t="str">
        <f>IF(BQ75&lt;0.28,"Y","")</f>
        <v/>
      </c>
      <c r="CJ75" s="172" t="str">
        <f>IF(BQ75&lt;0.8,"Y","")</f>
        <v>Y</v>
      </c>
      <c r="CK75" s="172" t="str">
        <f>IF(BQ75&lt;BQ74,"","ERR")</f>
        <v/>
      </c>
      <c r="CL75" s="11">
        <f>IFERROR(CE75-CG75,"")</f>
        <v>-4.0993199945660308E-9</v>
      </c>
      <c r="CM75" s="163"/>
      <c r="CN75" s="168">
        <f>IF(OR(BS75="NO",BG75="TX-CID"),"",BH75)</f>
        <v>1.3913405495420483</v>
      </c>
      <c r="CO75" s="168">
        <f>IF(CN75="","",BQ75)</f>
        <v>0.45341666666666658</v>
      </c>
      <c r="CP75" s="171">
        <f>IF(CO75="","",BR75)</f>
        <v>1.5789473684210527</v>
      </c>
      <c r="CQ75" s="170">
        <f>IF(CO75="","",BV75)</f>
        <v>0.36757231879437641</v>
      </c>
      <c r="CR75" s="169">
        <f>IF(CU75="","",BX75)</f>
        <v>1.2999999999931677</v>
      </c>
      <c r="CS75" s="169">
        <f>IF(CR75="","",LN(CR75))</f>
        <v>0.26236426446223549</v>
      </c>
      <c r="CT75" s="169">
        <f>IF(CS75="","",BM75)</f>
        <v>0.47491269987134721</v>
      </c>
      <c r="CU75" s="168">
        <f>IF(CO75="","",BU75)</f>
        <v>0.36757231879437641</v>
      </c>
      <c r="CV75" s="166">
        <f>IF(CR75="","",CH73)</f>
        <v>2.0526315789473686</v>
      </c>
      <c r="CW75" s="167">
        <f>IF(CU75="","",E75)</f>
        <v>37.6</v>
      </c>
      <c r="CX75" s="167"/>
      <c r="CY75" s="165">
        <f>IF(CW75="","",IF(H75=1,$DJ$3*CV75^0.8*W75,IF(H75=2,$DK$3*CV75^0.8*W75,IF(H75=3,$DL$3*CV75^0.8*W75,"ERR"))))</f>
        <v>283.71460433595416</v>
      </c>
      <c r="CZ75" s="165" t="str">
        <f>IF(CY75="","",IF(BI75="OK",BJ75,""))</f>
        <v/>
      </c>
      <c r="DA75" s="165" t="str">
        <f>IF(CY75="","",IF(BK75="","",BK75))</f>
        <v/>
      </c>
      <c r="DB75" s="166">
        <f>IF(CW75="","",BM75)</f>
        <v>0.47491269987134721</v>
      </c>
      <c r="DC75" s="165"/>
      <c r="DD75" s="165">
        <f>IF(OR(CH75="",W75=""),"",IF(H75=1,$DJ$3*CH75^0.8*W75,IF(H75=2,$DK$3*CH75^0.8*W75,IF(H75=3,$DL$3*CH75^0.8*W75,"ERR"))))</f>
        <v>283.71460433595416</v>
      </c>
      <c r="DE75" s="165">
        <f>IF(OR(CH75="",W75=""),"",IF(H75=1,$DJ$3*W75,IF(H75=2,$DK$3*W75,IF(H75=3,$DL$3*W75,"ERR"))))</f>
        <v>159.6</v>
      </c>
      <c r="DF75" s="164">
        <f>IF(DE75="","",-1.485*LN(E75)+7.098)</f>
        <v>1.711898985162164</v>
      </c>
      <c r="DG75" s="165">
        <f>IF(OR(DF75="",W75=""),"",IF(H75=1,$DJ$3*DF75^0.8*W75,IF(H75=2,$DK$3*DF75^0.8*W75,IF(H75=3,$DL$3*CH75^0.8*W75,"ERR"))))</f>
        <v>283.71460433595416</v>
      </c>
      <c r="DH75" s="164"/>
      <c r="DJ75" s="163"/>
      <c r="DK75" s="163"/>
      <c r="DL75" s="163"/>
    </row>
    <row r="76" spans="1:116">
      <c r="A76" s="115" t="str">
        <f>IF(B76="","",IF(F76&lt;10,CONCATENATE(B76," - 0",F76),CONCATENATE(B76," - ",F76)))</f>
        <v>TRT05 - 40.5</v>
      </c>
      <c r="B76" s="114" t="s">
        <v>2</v>
      </c>
      <c r="C76" s="114">
        <v>40.299999999999997</v>
      </c>
      <c r="D76" s="114">
        <v>40.700000000000003</v>
      </c>
      <c r="E76" s="114">
        <v>40.5</v>
      </c>
      <c r="F76" s="114">
        <f>IF(E76="","",CEILING(E76,0.25))</f>
        <v>40.5</v>
      </c>
      <c r="G76" s="114" t="s">
        <v>1</v>
      </c>
      <c r="H76" s="113">
        <v>3</v>
      </c>
      <c r="I76" s="2">
        <v>17.2</v>
      </c>
      <c r="J76" s="2">
        <v>11.25</v>
      </c>
      <c r="K76" s="112">
        <v>0.52900000000000003</v>
      </c>
      <c r="L76" s="45">
        <v>1.524</v>
      </c>
      <c r="M76" s="49">
        <v>0.99</v>
      </c>
      <c r="N76" s="48">
        <v>9.3000000000000007</v>
      </c>
      <c r="O76" s="218">
        <f>(P76*(1+AVERAGE(L76:L78))+(9.81*M76*AVERAGE(L76:L78)))/(1+AVERAGE(L76:L78))</f>
        <v>17.418607852828117</v>
      </c>
      <c r="P76" s="217">
        <f>AVERAGE(J76:J78)</f>
        <v>11.706666666666669</v>
      </c>
      <c r="Q76" s="216">
        <f>AVERAGE(K76:K78)</f>
        <v>0.49000000000000005</v>
      </c>
      <c r="R76" s="47">
        <f>IF(L76="","",L76/(1+L76))</f>
        <v>0.60380348652931859</v>
      </c>
      <c r="S76" s="47" t="str">
        <f>IF(R76="","",IF(R76&lt;0.3,"S",IF(R76&lt;0.45,"L",IF(AND(R76&lt;0.5,R76&gt;=0.45),"C",IF(R76&gt;=0.5,"SC","")))))</f>
        <v>SC</v>
      </c>
      <c r="T76" s="46">
        <f>L76*9.81/($P$28*(1+L76))</f>
        <v>0.40775439670853247</v>
      </c>
      <c r="U76" s="37">
        <f>N76</f>
        <v>9.3000000000000007</v>
      </c>
      <c r="V76" s="37">
        <f>IF(E76="","",IF(E76&lt;=10,IF(E76&lt;=N76,18*E76,18*N76+(18-0)*(E76-N76)),IF(AND(E76&gt;10,N76&lt;=10),18*N76+(18-0)*(10-N76)+(17.5-0)*(E76-10),IF(E76&lt;N76,(18*0)+17.5*(E76-10),(18*0)+17.5*(N76-10)+(17.5-0)*(E76-N76)))))</f>
        <v>713.75</v>
      </c>
      <c r="W76" s="37">
        <f>IF(E76="","",IF(E76&lt;=10,IF(E76&lt;=N76,18*E76,18*N76+(18-10)*(E76-N76)),IF(AND(E76&gt;10,N76&lt;=10),18*N76+(18-10)*(10-N76)+(17.5-10)*(E76-10),IF(E76&lt;N76,(18*10)+17.5*(E76-10),(18*10)+17.5*(N76-10)+(17.5-10)*(E76-N76)))))</f>
        <v>401.75</v>
      </c>
      <c r="X76" s="34">
        <v>368</v>
      </c>
      <c r="Y76" s="45">
        <v>1.536</v>
      </c>
      <c r="Z76" s="3">
        <v>1.6</v>
      </c>
      <c r="AA76" s="28">
        <v>600</v>
      </c>
      <c r="AE76" s="41">
        <v>1.452</v>
      </c>
      <c r="AF76" s="40">
        <v>78.95</v>
      </c>
      <c r="AG76" s="3">
        <v>78.59</v>
      </c>
      <c r="AH76" s="3">
        <v>1128.75</v>
      </c>
      <c r="AI76" s="3">
        <v>1101.4100000000001</v>
      </c>
      <c r="AJ76" s="39">
        <f>IF(AF76="","",1-(AG76*AI76/AF76/AH76))</f>
        <v>2.8670885662246071E-2</v>
      </c>
      <c r="AK76" s="38">
        <v>4.1099999999999998E-2</v>
      </c>
      <c r="AL76" s="34">
        <v>100</v>
      </c>
      <c r="AM76" s="28">
        <v>264.66000000000003</v>
      </c>
      <c r="AN76" s="37">
        <f>AL76-AQ76</f>
        <v>27.019999999999996</v>
      </c>
      <c r="AO76" s="37">
        <f>AN76-AP76</f>
        <v>-4.2632564145606011E-14</v>
      </c>
      <c r="AP76" s="37">
        <f>AM76-AR76</f>
        <v>27.020000000000039</v>
      </c>
      <c r="AQ76" s="28">
        <v>72.98</v>
      </c>
      <c r="AR76" s="28">
        <v>237.64</v>
      </c>
      <c r="AT76" s="15">
        <v>15</v>
      </c>
      <c r="AU76" s="32">
        <v>22</v>
      </c>
      <c r="AV76" s="32">
        <v>0</v>
      </c>
      <c r="AW76" s="35">
        <v>36</v>
      </c>
      <c r="AX76" s="32">
        <v>8</v>
      </c>
      <c r="AY76" s="32">
        <v>19</v>
      </c>
      <c r="AZ76" s="32">
        <v>0</v>
      </c>
      <c r="BA76" s="35">
        <v>29</v>
      </c>
      <c r="BB76" s="111">
        <f>(AM76-AL76)/AK76/1000</f>
        <v>4.0063260340632612</v>
      </c>
      <c r="BE76" s="109">
        <f>AL76/AJ76/1000</f>
        <v>3.4878587699744612</v>
      </c>
      <c r="BG76" s="32" t="s">
        <v>0</v>
      </c>
      <c r="BH76" s="31">
        <f>IF(OR(AE76="",Y76=""),"",Y76/AE76)</f>
        <v>1.0578512396694215</v>
      </c>
      <c r="BI76" s="30" t="str">
        <f>IF(OR(AE76="",Y76=""),"",IF(Y76/AE76&gt;1.05,"OC",IF(Y76/AE76&lt;0.95,"UC","OK")))</f>
        <v>OC</v>
      </c>
      <c r="BJ76" s="215">
        <f>(AM76-AL76)/2</f>
        <v>82.330000000000013</v>
      </c>
      <c r="BK76" s="37">
        <f>AVERAGE(BJ76:BJ78)+(_xlfn.COVARIANCE.P(AL76:AL78,BJ76:BJ78)/_xlfn.STDEV.P(AL76:AL78)^2)*(W76-AVERAGE(AL76:AL78))</f>
        <v>274.95587142857141</v>
      </c>
      <c r="BL76" s="37" t="str">
        <f>IF(BZ76="=",BJ76,"")</f>
        <v/>
      </c>
      <c r="BM76" s="110">
        <f>AN76/(AM76-AL76)</f>
        <v>0.16409571237701925</v>
      </c>
      <c r="BN76" s="37" t="str">
        <f>IF(BM76="","",IF(AND(BM76&gt;=3/4,BM76&lt;=1.5),"HS",IF(AND(BM76&gt;=0.5,BM76&lt;=1),"NC",IF(AND(BM76&gt;=0,BM76&lt;=0.5),"OC",IF(BM76&lt;0,"H-OC","")))))</f>
        <v>OC</v>
      </c>
      <c r="BO76" s="109" t="str">
        <f>IF(BX76="","",BX76)</f>
        <v/>
      </c>
      <c r="BP76" s="37"/>
      <c r="BQ76" s="27">
        <f>BJ76/AL76</f>
        <v>0.82330000000000014</v>
      </c>
      <c r="BR76" s="26">
        <f>AL76/W76</f>
        <v>0.24891101431238333</v>
      </c>
      <c r="BS76" s="26" t="str">
        <f>IF(OR(BR76="",BH76=""),"",IF(AND(BR76&lt;1,BH76&gt;1),"NO",""))</f>
        <v>NO</v>
      </c>
      <c r="BU76" s="24">
        <v>0.50729782003782442</v>
      </c>
      <c r="BW76" s="22">
        <f>(BQ76/BU76)^(1/0.8)</f>
        <v>1.8317613836290687</v>
      </c>
      <c r="BY76" s="20">
        <f>BU76*BW76^0.8</f>
        <v>0.82330000000000014</v>
      </c>
      <c r="BZ76" s="19" t="str">
        <f>IF(BR76&lt;0.85,"",IF(AND(BR76&gt;=0.85,BR76&lt;=1.15),"=","&gt;"))</f>
        <v/>
      </c>
      <c r="CA76" s="19" t="str">
        <f>IF(BZ76="","",IF(AND(BQ76&gt;=0.2,BQ76&lt;=0.451),"OK","NO"))</f>
        <v/>
      </c>
      <c r="CB76" s="18" t="str">
        <f>IF(BZ76="","",IF(AL76&lt;=CF76/1.11,"OC","NC"))</f>
        <v/>
      </c>
      <c r="CC76" s="18" t="str">
        <f>IF(BZ76="","",IF(CA76="OK","NC","OC"))</f>
        <v/>
      </c>
      <c r="CE76" s="17" t="str">
        <f>IF(BQ76="","",IF(BX76="","",BX76*AL76))</f>
        <v/>
      </c>
      <c r="CF76" s="16">
        <f>AVERAGE(CD76:CD78)</f>
        <v>599.99999999843158</v>
      </c>
      <c r="CG76" s="15">
        <v>600</v>
      </c>
      <c r="CH76" s="127">
        <f>CG76/W76</f>
        <v>1.4934660858742999</v>
      </c>
      <c r="CI76" s="13" t="str">
        <f>IF(BQ76&lt;0.28,"Y","")</f>
        <v/>
      </c>
      <c r="CJ76" s="12" t="str">
        <f>IF(BQ76&lt;0.8,"Y","")</f>
        <v/>
      </c>
      <c r="CL76" s="125" t="str">
        <f>IFERROR(CE76-CG76,"")</f>
        <v/>
      </c>
      <c r="CN76" s="7" t="str">
        <f>IF(OR(BS76="NO",BG76="TX-CID"),"",BH76)</f>
        <v/>
      </c>
      <c r="CO76" s="7" t="str">
        <f>IF(CN76="","",BQ76)</f>
        <v/>
      </c>
      <c r="CP76" s="10" t="str">
        <f>IF(CO76="","",BR76)</f>
        <v/>
      </c>
      <c r="CQ76" s="9" t="str">
        <f>IF(CO76="","",BV76)</f>
        <v/>
      </c>
      <c r="CR76" s="8" t="str">
        <f>IF(CU76="","",BX76)</f>
        <v/>
      </c>
      <c r="CS76" s="8" t="str">
        <f>IF(CR76="","",LN(CR76))</f>
        <v/>
      </c>
      <c r="CT76" s="8" t="str">
        <f>IF(CS76="","",BM76)</f>
        <v/>
      </c>
      <c r="CU76" s="7" t="str">
        <f>IF(CO76="","",BU76)</f>
        <v/>
      </c>
      <c r="CV76" s="6" t="str">
        <f>IF(CR76="","",CH76)</f>
        <v/>
      </c>
      <c r="CW76" s="5" t="str">
        <f>IF(CU76="","",E76)</f>
        <v/>
      </c>
      <c r="CY76" s="4" t="str">
        <f>IF(CW76="","",IF(H76=1,$DJ$3*CV76^0.8*W76,IF(H76=2,$DK$3*CV76^0.8*W76,IF(H76=3,$DL$3*CV76^0.8*W76,"ERR"))))</f>
        <v/>
      </c>
      <c r="CZ76" s="4" t="str">
        <f>IF(CY76="","",IF(BI76="OK",BJ76,""))</f>
        <v/>
      </c>
      <c r="DA76" s="4" t="str">
        <f>IF(CY76="","",IF(BK76="","",BK76))</f>
        <v/>
      </c>
      <c r="DB76" s="6" t="str">
        <f>IF(CW76="","",BM76)</f>
        <v/>
      </c>
      <c r="DD76" s="4">
        <f>IF(OR(CH76="",W76=""),"",IF(H76=1,$DJ$3*CH76^0.8*W76,IF(H76=2,$DK$3*CH76^0.8*W76,IF(H76=3,$DL$3*CH76^0.8*W76,"ERR"))))</f>
        <v>232.57416360065909</v>
      </c>
      <c r="DE76" s="4">
        <f>IF(OR(CH76="",W76=""),"",IF(H76=1,$DJ$3*W76,IF(H76=2,$DK$3*W76,IF(H76=3,$DL$3*W76,"ERR"))))</f>
        <v>168.73499999999999</v>
      </c>
      <c r="DF76" s="3">
        <f>IF(DE76="","",-1.485*LN(E76)+7.098)</f>
        <v>1.601566568442947</v>
      </c>
      <c r="DG76" s="4">
        <f>IF(OR(DF76="",W76=""),"",IF(H76=1,$DJ$3*DF76^0.8*W76,IF(H76=2,$DK$3*DF76^0.8*W76,IF(H76=3,$DL$3*CH76^0.8*W76,"ERR"))))</f>
        <v>232.57416360065909</v>
      </c>
    </row>
    <row r="77" spans="1:116">
      <c r="A77" s="115" t="str">
        <f>IF(B77="","",IF(F77&lt;10,CONCATENATE(B77," - 0",F77),CONCATENATE(B77," - ",F77)))</f>
        <v>TRT05 - 40.5</v>
      </c>
      <c r="B77" s="114" t="s">
        <v>2</v>
      </c>
      <c r="C77" s="114">
        <v>40.299999999999997</v>
      </c>
      <c r="D77" s="114">
        <v>40.700000000000003</v>
      </c>
      <c r="E77" s="114">
        <v>40.5</v>
      </c>
      <c r="F77" s="114">
        <f>IF(E77="","",CEILING(E77,0.25))</f>
        <v>40.5</v>
      </c>
      <c r="G77" s="114" t="s">
        <v>1</v>
      </c>
      <c r="H77" s="113">
        <v>3</v>
      </c>
      <c r="I77" s="2">
        <v>17.55</v>
      </c>
      <c r="J77" s="2">
        <v>11.96</v>
      </c>
      <c r="K77" s="112">
        <v>0.46800000000000003</v>
      </c>
      <c r="L77" s="45">
        <v>1.375</v>
      </c>
      <c r="M77" s="49">
        <v>0.97</v>
      </c>
      <c r="N77" s="48">
        <v>9.3000000000000007</v>
      </c>
      <c r="R77" s="47">
        <f>IF(L77="","",L77/(1+L77))</f>
        <v>0.57894736842105265</v>
      </c>
      <c r="S77" s="47" t="str">
        <f>IF(R77="","",IF(R77&lt;0.3,"S",IF(R77&lt;0.45,"L",IF(AND(R77&lt;0.5,R77&gt;=0.45),"C",IF(R77&gt;=0.5,"SC","")))))</f>
        <v>SC</v>
      </c>
      <c r="T77" s="46">
        <f>L77*9.81/($P$28*(1+L77))</f>
        <v>0.3909688171783291</v>
      </c>
      <c r="U77" s="37">
        <f>N77</f>
        <v>9.3000000000000007</v>
      </c>
      <c r="V77" s="37">
        <f>IF(E77="","",IF(E77&lt;=10,IF(E77&lt;=N77,18*E77,18*N77+(18-0)*(E77-N77)),IF(AND(E77&gt;10,N77&lt;=10),18*N77+(18-0)*(10-N77)+(17.5-0)*(E77-10),IF(E77&lt;N77,(18*0)+17.5*(E77-10),(18*0)+17.5*(N77-10)+(17.5-0)*(E77-N77)))))</f>
        <v>713.75</v>
      </c>
      <c r="W77" s="37">
        <f>IF(E77="","",IF(E77&lt;=10,IF(E77&lt;=N77,18*E77,18*N77+(18-10)*(E77-N77)),IF(AND(E77&gt;10,N77&lt;=10),18*N77+(18-10)*(10-N77)+(17.5-10)*(E77-10),IF(E77&lt;N77,(18*10)+17.5*(E77-10),(18*10)+17.5*(N77-10)+(17.5-10)*(E77-N77)))))</f>
        <v>401.75</v>
      </c>
      <c r="Y77" s="45">
        <f>Y76</f>
        <v>1.536</v>
      </c>
      <c r="AE77" s="41">
        <v>1.3109999999999999</v>
      </c>
      <c r="AF77" s="40">
        <v>78.78</v>
      </c>
      <c r="AG77" s="3">
        <v>78.45</v>
      </c>
      <c r="AH77" s="3">
        <v>1138.3</v>
      </c>
      <c r="AI77" s="3">
        <v>1112.22</v>
      </c>
      <c r="AJ77" s="39">
        <f>IF(AF77="","",1-(AG77*AI77/AF77/AH77))</f>
        <v>2.7004266527247967E-2</v>
      </c>
      <c r="AK77" s="38">
        <v>3.7400000000000003E-2</v>
      </c>
      <c r="AL77" s="34">
        <v>200</v>
      </c>
      <c r="AM77" s="28">
        <v>432.38</v>
      </c>
      <c r="AN77" s="37">
        <f>AL77-AQ77</f>
        <v>101.36</v>
      </c>
      <c r="AO77" s="37">
        <f>AN77-AP77</f>
        <v>-1.0000000000005116E-2</v>
      </c>
      <c r="AP77" s="37">
        <f>AM77-AR77</f>
        <v>101.37</v>
      </c>
      <c r="AQ77" s="28">
        <v>98.64</v>
      </c>
      <c r="AR77" s="28">
        <v>331.01</v>
      </c>
      <c r="BB77" s="111">
        <f>(AM77-AL77)/AK77/1000</f>
        <v>6.2133689839572188</v>
      </c>
      <c r="BE77" s="109">
        <f>AL77/AJ77/1000</f>
        <v>7.4062370773223964</v>
      </c>
      <c r="BG77" s="32" t="s">
        <v>0</v>
      </c>
      <c r="BH77" s="31">
        <f>IF(OR(AE77="",Y77=""),"",Y77/AE77)</f>
        <v>1.1716247139588101</v>
      </c>
      <c r="BI77" s="30" t="str">
        <f>IF(OR(AE77="",Y77=""),"",IF(Y77/AE77&gt;1.05,"OC",IF(Y77/AE77&lt;0.95,"UC","OK")))</f>
        <v>OC</v>
      </c>
      <c r="BJ77" s="37">
        <f>(AM77-AL77)/2</f>
        <v>116.19</v>
      </c>
      <c r="BL77" s="37" t="str">
        <f>IF(BZ77="=",BJ77,"")</f>
        <v/>
      </c>
      <c r="BM77" s="110">
        <f>AN77/(AM77-AL77)</f>
        <v>0.43618211550047337</v>
      </c>
      <c r="BN77" s="37" t="str">
        <f>IF(BM77="","",IF(AND(BM77&gt;=3/4,BM77&lt;=1.5),"HS",IF(AND(BM77&gt;=0.5,BM77&lt;=1),"NC",IF(AND(BM77&gt;=0,BM77&lt;=0.5),"OC",IF(BM77&lt;0,"H-OC","")))))</f>
        <v>OC</v>
      </c>
      <c r="BO77" s="109">
        <f>IF(BX77="","",BX77)</f>
        <v>2.9999999999952562</v>
      </c>
      <c r="BP77" s="37"/>
      <c r="BQ77" s="27">
        <f>BJ77/AL77</f>
        <v>0.58094999999999997</v>
      </c>
      <c r="BR77" s="26">
        <f>AL77/W77</f>
        <v>0.49782202862476665</v>
      </c>
      <c r="BS77" s="26" t="str">
        <f>IF(OR(BR77="",BH77=""),"",IF(AND(BR77&lt;1,BH77&gt;1),"NO",""))</f>
        <v>NO</v>
      </c>
      <c r="BU77" s="24">
        <f>BU76</f>
        <v>0.50729782003782442</v>
      </c>
      <c r="BV77" s="23">
        <v>0.24123579645685009</v>
      </c>
      <c r="BW77" s="22">
        <f>(BQ77/BU77)^(1/0.8)</f>
        <v>1.1846626601299211</v>
      </c>
      <c r="BX77" s="21">
        <f>(BQ77/BV77)^(1/0.8)</f>
        <v>2.9999999999952562</v>
      </c>
      <c r="BY77" s="20">
        <f>BU77*BW77^0.8</f>
        <v>0.58094999999999997</v>
      </c>
      <c r="BZ77" s="19" t="str">
        <f>IF(BR77&lt;0.85,"",IF(AND(BR77&gt;=0.85,BR77&lt;=1.15),"=","&gt;"))</f>
        <v/>
      </c>
      <c r="CA77" s="19" t="str">
        <f>IF(BZ77="","",IF(AND(BQ77&gt;=0.2,BQ77&lt;=0.451),"OK","NO"))</f>
        <v/>
      </c>
      <c r="CB77" s="18" t="str">
        <f>IF(BZ77="","",IF(AL77&lt;=CF76/1.11,"OC","NC"))</f>
        <v/>
      </c>
      <c r="CC77" s="18" t="str">
        <f>IF(BZ77="","",IF(CA77="OK","NC","OC"))</f>
        <v/>
      </c>
      <c r="CE77" s="17">
        <f>IF(BQ77="","",IF(BX77="","",BX77*AL77))</f>
        <v>599.99999999905128</v>
      </c>
      <c r="CG77" s="15">
        <f>CG76</f>
        <v>600</v>
      </c>
      <c r="CH77" s="14">
        <f>CG77/W77</f>
        <v>1.4934660858742999</v>
      </c>
      <c r="CI77" s="13" t="str">
        <f>IF(BQ77&lt;0.28,"Y","")</f>
        <v/>
      </c>
      <c r="CJ77" s="12" t="str">
        <f>IF(BQ77&lt;0.8,"Y","")</f>
        <v>Y</v>
      </c>
      <c r="CK77" s="12" t="str">
        <f>IF(BQ77&lt;BQ76,"","ERR")</f>
        <v/>
      </c>
      <c r="CL77" s="11">
        <f>IFERROR(CE77-CG77,"")</f>
        <v>-9.4871666078688577E-10</v>
      </c>
      <c r="CN77" s="7" t="str">
        <f>IF(OR(BS77="NO",BG77="TX-CID"),"",BH77)</f>
        <v/>
      </c>
      <c r="CO77" s="7" t="str">
        <f>IF(CN77="","",BQ77)</f>
        <v/>
      </c>
      <c r="CP77" s="10" t="str">
        <f>IF(CO77="","",BR77)</f>
        <v/>
      </c>
      <c r="CQ77" s="9" t="str">
        <f>IF(CO77="","",BV77)</f>
        <v/>
      </c>
      <c r="CR77" s="8" t="str">
        <f>IF(CU77="","",BX77)</f>
        <v/>
      </c>
      <c r="CS77" s="8" t="str">
        <f>IF(CR77="","",LN(CR77))</f>
        <v/>
      </c>
      <c r="CT77" s="8" t="str">
        <f>IF(CS77="","",BM77)</f>
        <v/>
      </c>
      <c r="CU77" s="7" t="str">
        <f>IF(CO77="","",BU77)</f>
        <v/>
      </c>
      <c r="CV77" s="6" t="str">
        <f>IF(CR77="","",CH76)</f>
        <v/>
      </c>
      <c r="CW77" s="5" t="str">
        <f>IF(CU77="","",E77)</f>
        <v/>
      </c>
      <c r="CY77" s="4" t="str">
        <f>IF(CW77="","",IF(H77=1,$DJ$3*CV77^0.8*W77,IF(H77=2,$DK$3*CV77^0.8*W77,IF(H77=3,$DL$3*CV77^0.8*W77,"ERR"))))</f>
        <v/>
      </c>
      <c r="CZ77" s="4" t="str">
        <f>IF(CY77="","",IF(BI77="OK",BJ77,""))</f>
        <v/>
      </c>
      <c r="DA77" s="4" t="str">
        <f>IF(CY77="","",IF(BK77="","",BK77))</f>
        <v/>
      </c>
      <c r="DB77" s="6" t="str">
        <f>IF(CW77="","",BM77)</f>
        <v/>
      </c>
      <c r="DD77" s="4">
        <f>IF(OR(CH77="",W77=""),"",IF(H77=1,$DJ$3*CH77^0.8*W77,IF(H77=2,$DK$3*CH77^0.8*W77,IF(H77=3,$DL$3*CH77^0.8*W77,"ERR"))))</f>
        <v>232.57416360065909</v>
      </c>
      <c r="DE77" s="4">
        <f>IF(OR(CH77="",W77=""),"",IF(H77=1,$DJ$3*W77,IF(H77=2,$DK$3*W77,IF(H77=3,$DL$3*W77,"ERR"))))</f>
        <v>168.73499999999999</v>
      </c>
      <c r="DF77" s="3">
        <f>IF(DE77="","",-1.485*LN(E77)+7.098)</f>
        <v>1.601566568442947</v>
      </c>
      <c r="DG77" s="4">
        <f>IF(OR(DF77="",W77=""),"",IF(H77=1,$DJ$3*DF77^0.8*W77,IF(H77=2,$DK$3*DF77^0.8*W77,IF(H77=3,$DL$3*CH77^0.8*W77,"ERR"))))</f>
        <v>232.57416360065909</v>
      </c>
    </row>
    <row r="78" spans="1:116" s="162" customFormat="1">
      <c r="A78" s="213" t="str">
        <f>IF(B78="","",IF(F78&lt;10,CONCATENATE(B78," - 0",F78),CONCATENATE(B78," - ",F78)))</f>
        <v>TRT05 - 40.5</v>
      </c>
      <c r="B78" s="212" t="s">
        <v>2</v>
      </c>
      <c r="C78" s="212">
        <v>40.299999999999997</v>
      </c>
      <c r="D78" s="212">
        <v>40.700000000000003</v>
      </c>
      <c r="E78" s="212">
        <v>40.5</v>
      </c>
      <c r="F78" s="212">
        <f>IF(E78="","",CEILING(E78,0.25))</f>
        <v>40.5</v>
      </c>
      <c r="G78" s="212" t="s">
        <v>1</v>
      </c>
      <c r="H78" s="211">
        <v>3</v>
      </c>
      <c r="I78" s="163">
        <v>17.54</v>
      </c>
      <c r="J78" s="163">
        <v>11.91</v>
      </c>
      <c r="K78" s="210">
        <v>0.47299999999999998</v>
      </c>
      <c r="L78" s="205">
        <v>1.385</v>
      </c>
      <c r="M78" s="209">
        <v>0.97</v>
      </c>
      <c r="N78" s="208">
        <v>9.3000000000000007</v>
      </c>
      <c r="O78" s="163"/>
      <c r="P78" s="163"/>
      <c r="Q78" s="207"/>
      <c r="R78" s="207">
        <f>IF(L78="","",L78/(1+L78))</f>
        <v>0.58071278825995809</v>
      </c>
      <c r="S78" s="207" t="str">
        <f>IF(R78="","",IF(R78&lt;0.3,"S",IF(R78&lt;0.45,"L",IF(AND(R78&lt;0.5,R78&gt;=0.45),"C",IF(R78&gt;=0.5,"SC","")))))</f>
        <v>SC</v>
      </c>
      <c r="T78" s="206">
        <f>L78*9.81/($P$28*(1+L78))</f>
        <v>0.39216102245274365</v>
      </c>
      <c r="U78" s="186">
        <f>N78</f>
        <v>9.3000000000000007</v>
      </c>
      <c r="V78" s="186">
        <f>IF(E78="","",IF(E78&lt;=10,IF(E78&lt;=N78,18*E78,18*N78+(18-0)*(E78-N78)),IF(AND(E78&gt;10,N78&lt;=10),18*N78+(18-0)*(10-N78)+(17.5-0)*(E78-10),IF(E78&lt;N78,(18*0)+17.5*(E78-10),(18*0)+17.5*(N78-10)+(17.5-0)*(E78-N78)))))</f>
        <v>713.75</v>
      </c>
      <c r="W78" s="186">
        <f>IF(E78="","",IF(E78&lt;=10,IF(E78&lt;=N78,18*E78,18*N78+(18-10)*(E78-N78)),IF(AND(E78&gt;10,N78&lt;=10),18*N78+(18-10)*(10-N78)+(17.5-10)*(E78-10),IF(E78&lt;N78,(18*10)+17.5*(E78-10),(18*10)+17.5*(N78-10)+(17.5-10)*(E78-N78)))))</f>
        <v>401.75</v>
      </c>
      <c r="X78" s="197"/>
      <c r="Y78" s="205">
        <f>Y77</f>
        <v>1.536</v>
      </c>
      <c r="Z78" s="164"/>
      <c r="AA78" s="189"/>
      <c r="AB78" s="204"/>
      <c r="AC78" s="203"/>
      <c r="AD78" s="202"/>
      <c r="AE78" s="201">
        <v>1.3220000000000001</v>
      </c>
      <c r="AF78" s="200">
        <v>78.89</v>
      </c>
      <c r="AG78" s="164">
        <v>77.19</v>
      </c>
      <c r="AH78" s="164">
        <v>1137.7</v>
      </c>
      <c r="AI78" s="164">
        <v>1132.05</v>
      </c>
      <c r="AJ78" s="199">
        <f>IF(AF78="","",1-(AG78*AI78/AF78/AH78))</f>
        <v>2.6408136324748588E-2</v>
      </c>
      <c r="AK78" s="198">
        <v>5.7299999999999997E-2</v>
      </c>
      <c r="AL78" s="197">
        <v>400</v>
      </c>
      <c r="AM78" s="189">
        <v>961.34</v>
      </c>
      <c r="AN78" s="186">
        <f>AL78-AQ78</f>
        <v>242.52</v>
      </c>
      <c r="AO78" s="186">
        <f>AN78-AP78</f>
        <v>0</v>
      </c>
      <c r="AP78" s="186">
        <f>AM78-AR78</f>
        <v>242.51999999999998</v>
      </c>
      <c r="AQ78" s="189">
        <v>157.47999999999999</v>
      </c>
      <c r="AR78" s="189">
        <v>718.82</v>
      </c>
      <c r="AS78" s="196"/>
      <c r="AT78" s="66"/>
      <c r="AU78" s="192"/>
      <c r="AV78" s="192"/>
      <c r="AW78" s="195"/>
      <c r="AX78" s="192"/>
      <c r="AY78" s="192"/>
      <c r="AZ78" s="192"/>
      <c r="BA78" s="195"/>
      <c r="BB78" s="194">
        <f>(AM78-AL78)/AK78/1000</f>
        <v>9.7965095986038406</v>
      </c>
      <c r="BC78" s="189"/>
      <c r="BD78" s="189"/>
      <c r="BE78" s="187">
        <f>AL78/AJ78/1000</f>
        <v>15.146846982349789</v>
      </c>
      <c r="BF78" s="193"/>
      <c r="BG78" s="192" t="s">
        <v>0</v>
      </c>
      <c r="BH78" s="191">
        <f>IF(OR(AE78="",Y78=""),"",Y78/AE78)</f>
        <v>1.1618759455370651</v>
      </c>
      <c r="BI78" s="190" t="str">
        <f>IF(OR(AE78="",Y78=""),"",IF(Y78/AE78&gt;1.05,"OC",IF(Y78/AE78&lt;0.95,"UC","OK")))</f>
        <v>OC</v>
      </c>
      <c r="BJ78" s="186">
        <f>(AM78-AL78)/2</f>
        <v>280.67</v>
      </c>
      <c r="BK78" s="189"/>
      <c r="BL78" s="186">
        <f>IF(BZ78="=",BJ78,"")</f>
        <v>280.67</v>
      </c>
      <c r="BM78" s="188">
        <f>AN78/(AM78-AL78)</f>
        <v>0.43203762425624398</v>
      </c>
      <c r="BN78" s="186" t="str">
        <f>IF(BM78="","",IF(AND(BM78&gt;=3/4,BM78&lt;=1.5),"HS",IF(AND(BM78&gt;=0.5,BM78&lt;=1),"NC",IF(AND(BM78&gt;=0,BM78&lt;=0.5),"OC",IF(BM78&lt;0,"H-OC","")))))</f>
        <v>OC</v>
      </c>
      <c r="BO78" s="187">
        <f>IF(BX78="","",BX78)</f>
        <v>1.4999999999960789</v>
      </c>
      <c r="BP78" s="186"/>
      <c r="BQ78" s="185">
        <f>BJ78/AL78</f>
        <v>0.70167500000000005</v>
      </c>
      <c r="BR78" s="184">
        <f>AL78/W78</f>
        <v>0.99564405724953331</v>
      </c>
      <c r="BS78" s="184" t="str">
        <f>IF(OR(BR78="",BH78=""),"",IF(AND(BR78&lt;1,BH78&gt;1),"NO",""))</f>
        <v>NO</v>
      </c>
      <c r="BT78" s="183"/>
      <c r="BU78" s="182">
        <f>BU77</f>
        <v>0.50729782003782442</v>
      </c>
      <c r="BV78" s="181">
        <v>0.50729782003782442</v>
      </c>
      <c r="BW78" s="180">
        <f>(BQ78/BU78)^(1/0.8)</f>
        <v>1.4999999999960789</v>
      </c>
      <c r="BX78" s="179">
        <f>(BQ78/BV78)^(1/0.8)</f>
        <v>1.4999999999960789</v>
      </c>
      <c r="BY78" s="178">
        <f>BU78*BW78^0.8</f>
        <v>0.70167500000000005</v>
      </c>
      <c r="BZ78" s="177" t="str">
        <f>IF(BR78&lt;0.85,"",IF(AND(BR78&gt;=0.85,BR78&lt;=1.15),"=","&gt;"))</f>
        <v>=</v>
      </c>
      <c r="CA78" s="177" t="str">
        <f>IF(BZ78="","",IF(AND(BQ78&gt;=0.2,BQ78&lt;=0.451),"OK","NO"))</f>
        <v>NO</v>
      </c>
      <c r="CB78" s="176" t="str">
        <f>IF(BZ78="","",IF(AL78&lt;=CF76/1.11,"OC","NC"))</f>
        <v>OC</v>
      </c>
      <c r="CC78" s="176" t="str">
        <f>IF(BZ78="","",IF(CA78="OK","NC","OC"))</f>
        <v>OC</v>
      </c>
      <c r="CD78" s="172">
        <f>IF(BQ78="","",IF(BW78="","",BW78*AL78))</f>
        <v>599.99999999843158</v>
      </c>
      <c r="CE78" s="175">
        <f>IF(BQ78="","",IF(BX78="","",BX78*AL78))</f>
        <v>599.99999999843158</v>
      </c>
      <c r="CF78" s="174"/>
      <c r="CG78" s="66">
        <f>CG77</f>
        <v>600</v>
      </c>
      <c r="CH78" s="14">
        <f>CG78/W78</f>
        <v>1.4934660858742999</v>
      </c>
      <c r="CI78" s="173" t="str">
        <f>IF(BQ78&lt;0.28,"Y","")</f>
        <v/>
      </c>
      <c r="CJ78" s="172" t="str">
        <f>IF(BQ78&lt;0.8,"Y","")</f>
        <v>Y</v>
      </c>
      <c r="CK78" s="172" t="str">
        <f>IF(BQ78&lt;BQ77,"","ERR")</f>
        <v>ERR</v>
      </c>
      <c r="CL78" s="11">
        <f>IFERROR(CE78-CG78,"")</f>
        <v>-1.5684236132074147E-9</v>
      </c>
      <c r="CM78" s="163"/>
      <c r="CN78" s="168" t="str">
        <f>IF(OR(BS78="NO",BG78="TX-CID"),"",BH78)</f>
        <v/>
      </c>
      <c r="CO78" s="168" t="str">
        <f>IF(CN78="","",BQ78)</f>
        <v/>
      </c>
      <c r="CP78" s="171" t="str">
        <f>IF(CO78="","",BR78)</f>
        <v/>
      </c>
      <c r="CQ78" s="170" t="str">
        <f>IF(CO78="","",BV78)</f>
        <v/>
      </c>
      <c r="CR78" s="169" t="str">
        <f>IF(CU78="","",BX78)</f>
        <v/>
      </c>
      <c r="CS78" s="169" t="str">
        <f>IF(CR78="","",LN(CR78))</f>
        <v/>
      </c>
      <c r="CT78" s="169" t="str">
        <f>IF(CS78="","",BM78)</f>
        <v/>
      </c>
      <c r="CU78" s="168" t="str">
        <f>IF(CO78="","",BU78)</f>
        <v/>
      </c>
      <c r="CV78" s="166" t="str">
        <f>IF(CR78="","",CH76)</f>
        <v/>
      </c>
      <c r="CW78" s="167" t="str">
        <f>IF(CU78="","",E78)</f>
        <v/>
      </c>
      <c r="CX78" s="167"/>
      <c r="CY78" s="165" t="str">
        <f>IF(CW78="","",IF(H78=1,$DJ$3*CV78^0.8*W78,IF(H78=2,$DK$3*CV78^0.8*W78,IF(H78=3,$DL$3*CV78^0.8*W78,"ERR"))))</f>
        <v/>
      </c>
      <c r="CZ78" s="165" t="str">
        <f>IF(CY78="","",IF(BI78="OK",BJ78,""))</f>
        <v/>
      </c>
      <c r="DA78" s="165" t="str">
        <f>IF(CY78="","",IF(BK78="","",BK78))</f>
        <v/>
      </c>
      <c r="DB78" s="166" t="str">
        <f>IF(CW78="","",BM78)</f>
        <v/>
      </c>
      <c r="DC78" s="165"/>
      <c r="DD78" s="165">
        <f>IF(OR(CH78="",W78=""),"",IF(H78=1,$DJ$3*CH78^0.8*W78,IF(H78=2,$DK$3*CH78^0.8*W78,IF(H78=3,$DL$3*CH78^0.8*W78,"ERR"))))</f>
        <v>232.57416360065909</v>
      </c>
      <c r="DE78" s="165">
        <f>IF(OR(CH78="",W78=""),"",IF(H78=1,$DJ$3*W78,IF(H78=2,$DK$3*W78,IF(H78=3,$DL$3*W78,"ERR"))))</f>
        <v>168.73499999999999</v>
      </c>
      <c r="DF78" s="164">
        <f>IF(DE78="","",-1.485*LN(E78)+7.098)</f>
        <v>1.601566568442947</v>
      </c>
      <c r="DG78" s="165">
        <f>IF(OR(DF78="",W78=""),"",IF(H78=1,$DJ$3*DF78^0.8*W78,IF(H78=2,$DK$3*DF78^0.8*W78,IF(H78=3,$DL$3*CH78^0.8*W78,"ERR"))))</f>
        <v>232.57416360065909</v>
      </c>
      <c r="DH78" s="164"/>
      <c r="DJ78" s="163"/>
      <c r="DK78" s="163"/>
      <c r="DL78" s="163"/>
    </row>
    <row r="79" spans="1:116" s="116" customFormat="1">
      <c r="A79" s="161" t="str">
        <f>IF(B79="","",IF(F79&lt;10,CONCATENATE(B79," - 0",F79),CONCATENATE(B79," - ",F79)))</f>
        <v>TRT05 - 43.75</v>
      </c>
      <c r="B79" s="160" t="s">
        <v>2</v>
      </c>
      <c r="C79" s="160">
        <v>43.4</v>
      </c>
      <c r="D79" s="160">
        <v>43.7</v>
      </c>
      <c r="E79" s="160">
        <v>43.55</v>
      </c>
      <c r="F79" s="160">
        <f>IF(E79="","",CEILING(E79,0.25))</f>
        <v>43.75</v>
      </c>
      <c r="G79" s="160" t="s">
        <v>1</v>
      </c>
      <c r="H79" s="159">
        <v>3</v>
      </c>
      <c r="I79" s="117">
        <v>19.010000000000002</v>
      </c>
      <c r="J79" s="117">
        <v>14.4</v>
      </c>
      <c r="K79" s="158">
        <v>0.32</v>
      </c>
      <c r="L79" s="150">
        <v>0.97299999999999998</v>
      </c>
      <c r="M79" s="157">
        <v>0.93</v>
      </c>
      <c r="N79" s="156">
        <v>9.3000000000000007</v>
      </c>
      <c r="O79" s="155">
        <f>(P79*(1+AVERAGE(L79:L81))+(9.81*M79*AVERAGE(L79:L81)))/(1+AVERAGE(L79:L81))</f>
        <v>19.092561683316109</v>
      </c>
      <c r="P79" s="154">
        <f>AVERAGE(J79:J81)</f>
        <v>14.683333333333332</v>
      </c>
      <c r="Q79" s="153">
        <f>AVERAGE(K79:K81)</f>
        <v>0.316</v>
      </c>
      <c r="R79" s="152">
        <f>IF(L79="","",L79/(1+L79))</f>
        <v>0.49315762797769896</v>
      </c>
      <c r="S79" s="152" t="str">
        <f>IF(R79="","",IF(R79&lt;0.3,"S",IF(R79&lt;0.45,"L",IF(AND(R79&lt;0.5,R79&gt;=0.45),"C",IF(R79&gt;=0.5,"SC","")))))</f>
        <v>C</v>
      </c>
      <c r="T79" s="151">
        <f>L79*9.81/($P$28*(1+L79))</f>
        <v>0.33303416685139242</v>
      </c>
      <c r="U79" s="141">
        <f>N79</f>
        <v>9.3000000000000007</v>
      </c>
      <c r="V79" s="141">
        <f>IF(E79="","",IF(E79&lt;=10,IF(E79&lt;=N79,18*E79,18*N79+(18-0)*(E79-N79)),IF(AND(E79&gt;10,N79&lt;=10),18*N79+(18-0)*(10-N79)+(17.5-0)*(E79-10),IF(E79&lt;N79,(18*0)+17.5*(E79-10),(18*0)+17.5*(N79-10)+(17.5-0)*(E79-N79)))))</f>
        <v>767.125</v>
      </c>
      <c r="W79" s="141">
        <f>IF(E79="","",IF(E79&lt;=10,IF(E79&lt;=N79,18*E79,18*N79+(18-10)*(E79-N79)),IF(AND(E79&gt;10,N79&lt;=10),18*N79+(18-10)*(10-N79)+(17.5-10)*(E79-10),IF(E79&lt;N79,(18*10)+17.5*(E79-10),(18*10)+17.5*(N79-10)+(17.5-10)*(E79-N79)))))</f>
        <v>424.625</v>
      </c>
      <c r="X79" s="142">
        <v>447</v>
      </c>
      <c r="Y79" s="150">
        <v>1.1100000000000001</v>
      </c>
      <c r="Z79" s="118">
        <v>2</v>
      </c>
      <c r="AA79" s="136">
        <v>900</v>
      </c>
      <c r="AB79" s="149"/>
      <c r="AC79" s="148"/>
      <c r="AD79" s="147"/>
      <c r="AE79" s="146">
        <v>0.91600000000000004</v>
      </c>
      <c r="AF79" s="145">
        <v>78.900000000000006</v>
      </c>
      <c r="AG79" s="118">
        <v>78.03</v>
      </c>
      <c r="AH79" s="118">
        <v>1135.31</v>
      </c>
      <c r="AI79" s="118">
        <v>1115.29</v>
      </c>
      <c r="AJ79" s="144">
        <f>IF(AF79="","",1-(AG79*AI79/AF79/AH79))</f>
        <v>2.8466123371339025E-2</v>
      </c>
      <c r="AK79" s="143">
        <v>9.0999999999999998E-2</v>
      </c>
      <c r="AL79" s="142">
        <v>100</v>
      </c>
      <c r="AM79" s="136">
        <v>513.01</v>
      </c>
      <c r="AN79" s="141">
        <f>AL79-AQ79</f>
        <v>-55.639999999999986</v>
      </c>
      <c r="AO79" s="141">
        <f>AN79-AP79</f>
        <v>9.9999999999909051E-3</v>
      </c>
      <c r="AP79" s="141">
        <f>AM79-AR79</f>
        <v>-55.649999999999977</v>
      </c>
      <c r="AQ79" s="136">
        <v>155.63999999999999</v>
      </c>
      <c r="AR79" s="136">
        <v>568.66</v>
      </c>
      <c r="AS79" s="140"/>
      <c r="AT79" s="139">
        <v>75</v>
      </c>
      <c r="AU79" s="133">
        <v>26</v>
      </c>
      <c r="AV79" s="133">
        <v>0</v>
      </c>
      <c r="AW79" s="138">
        <v>35</v>
      </c>
      <c r="AX79" s="133">
        <v>70</v>
      </c>
      <c r="AY79" s="133">
        <v>25</v>
      </c>
      <c r="AZ79" s="133">
        <v>0</v>
      </c>
      <c r="BA79" s="138">
        <v>35</v>
      </c>
      <c r="BB79" s="137">
        <f>(AM79-AL79)/AK79/1000</f>
        <v>4.5385714285714283</v>
      </c>
      <c r="BC79" s="136"/>
      <c r="BD79" s="136"/>
      <c r="BE79" s="135">
        <f>AL79/AJ79/1000</f>
        <v>3.5129476077759327</v>
      </c>
      <c r="BF79" s="134"/>
      <c r="BG79" s="133" t="s">
        <v>0</v>
      </c>
      <c r="BH79" s="132">
        <f>IF(OR(AE79="",Y79=""),"",Y79/AE79)</f>
        <v>1.2117903930131004</v>
      </c>
      <c r="BI79" s="131" t="str">
        <f>IF(OR(AE79="",Y79=""),"",IF(Y79/AE79&gt;1.05,"OC",IF(Y79/AE79&lt;0.95,"UC","OK")))</f>
        <v>OC</v>
      </c>
      <c r="BJ79" s="141">
        <f>(AM79-AL79)/2</f>
        <v>206.505</v>
      </c>
      <c r="BK79" s="37">
        <f>AVERAGE(BJ79:BJ81)+(_xlfn.COVARIANCE.P(AL79:AL81,BJ79:BJ81)/_xlfn.STDEV.P(AL79:AL81)^2)*(W79-AVERAGE(AL79:AL81))</f>
        <v>469.20831919642859</v>
      </c>
      <c r="BL79" s="37" t="str">
        <f>IF(BZ79="=",BJ79,"")</f>
        <v/>
      </c>
      <c r="BM79" s="110">
        <f>AN79/(AM79-AL79)</f>
        <v>-0.1347182876927919</v>
      </c>
      <c r="BN79" s="214" t="str">
        <f>IF(BM79="","",IF(AND(BM79&gt;=3/4,BM79&lt;=1.5),"HS",IF(AND(BM79&gt;=0.5,BM79&lt;=1),"NC",IF(AND(BM79&gt;=0,BM79&lt;=0.5),"OC",IF(BM79&lt;0,"H-OC","")))))</f>
        <v>H-OC</v>
      </c>
      <c r="BO79" s="109">
        <f>IF(BX79="","",BX79)</f>
        <v>9.0000000000225722</v>
      </c>
      <c r="BP79" s="37"/>
      <c r="BQ79" s="27">
        <f>BJ79/AL79</f>
        <v>2.0650499999999998</v>
      </c>
      <c r="BR79" s="129">
        <f>AL79/W79</f>
        <v>0.2355019134530468</v>
      </c>
      <c r="BS79" s="129" t="str">
        <f>IF(OR(BR79="",BH79=""),"",IF(AND(BR79&lt;1,BH79&gt;1),"NO",""))</f>
        <v>NO</v>
      </c>
      <c r="BT79" s="128"/>
      <c r="BU79" s="24">
        <v>0.59665102321657326</v>
      </c>
      <c r="BV79" s="23">
        <v>0.3560709669341649</v>
      </c>
      <c r="BW79" s="22">
        <f>(BQ79/BU79)^(1/0.8)</f>
        <v>4.7207687544157739</v>
      </c>
      <c r="BX79" s="21">
        <f>(BQ79/BV79)^(1/0.8)</f>
        <v>9.0000000000225722</v>
      </c>
      <c r="BY79" s="20">
        <f>BU79*BW79^0.8</f>
        <v>2.0650500000000003</v>
      </c>
      <c r="BZ79" s="19" t="str">
        <f>IF(BR79&lt;0.85,"",IF(AND(BR79&gt;=0.85,BR79&lt;=1.15),"=","&gt;"))</f>
        <v/>
      </c>
      <c r="CA79" s="19" t="str">
        <f>IF(BZ79="","",IF(AND(BQ79&gt;=0.2,BQ79&lt;=0.451),"OK","NO"))</f>
        <v/>
      </c>
      <c r="CB79" s="18" t="str">
        <f>IF(BZ79="","",IF(AL79&lt;=CF79/1.11,"OC","NC"))</f>
        <v/>
      </c>
      <c r="CC79" s="18" t="str">
        <f>IF(BZ79="","",IF(CA79="OK","NC","OC"))</f>
        <v/>
      </c>
      <c r="CD79" s="12"/>
      <c r="CE79" s="17">
        <f>IF(BQ79="","",IF(BX79="","",BX79*AL79))</f>
        <v>900.00000000225725</v>
      </c>
      <c r="CF79" s="16">
        <f>AVERAGE(CD79:CD81)</f>
        <v>899.99999999921374</v>
      </c>
      <c r="CG79" s="15">
        <v>900</v>
      </c>
      <c r="CH79" s="127">
        <f>CG79/W79</f>
        <v>2.1195172210774214</v>
      </c>
      <c r="CI79" s="13" t="str">
        <f>IF(BQ79&lt;0.28,"Y","")</f>
        <v/>
      </c>
      <c r="CJ79" s="12" t="str">
        <f>IF(BQ79&lt;0.8,"Y","")</f>
        <v/>
      </c>
      <c r="CK79" s="126"/>
      <c r="CL79" s="125">
        <f>IFERROR(CE79-CG79,"")</f>
        <v>2.2572521629626863E-9</v>
      </c>
      <c r="CM79" s="117"/>
      <c r="CN79" s="121" t="str">
        <f>IF(OR(BS79="NO",BG79="TX-CID"),"",BH79)</f>
        <v/>
      </c>
      <c r="CO79" s="121" t="str">
        <f>IF(CN79="","",BQ79)</f>
        <v/>
      </c>
      <c r="CP79" s="124" t="str">
        <f>IF(CO79="","",BR79)</f>
        <v/>
      </c>
      <c r="CQ79" s="123" t="str">
        <f>IF(CO79="","",BV79)</f>
        <v/>
      </c>
      <c r="CR79" s="122" t="str">
        <f>IF(CU79="","",BX79)</f>
        <v/>
      </c>
      <c r="CS79" s="122" t="str">
        <f>IF(CR79="","",LN(CR79))</f>
        <v/>
      </c>
      <c r="CT79" s="122" t="str">
        <f>IF(CS79="","",BM79)</f>
        <v/>
      </c>
      <c r="CU79" s="121" t="str">
        <f>IF(CO79="","",BU79)</f>
        <v/>
      </c>
      <c r="CV79" s="6" t="str">
        <f>IF(CR79="","",CH79)</f>
        <v/>
      </c>
      <c r="CW79" s="5" t="str">
        <f>IF(CU79="","",E79)</f>
        <v/>
      </c>
      <c r="CX79" s="5"/>
      <c r="CY79" s="119" t="str">
        <f>IF(CW79="","",IF(H79=1,$DJ$3*CV79^0.8*W79,IF(H79=2,$DK$3*CV79^0.8*W79,IF(H79=3,$DL$3*CV79^0.8*W79,"ERR"))))</f>
        <v/>
      </c>
      <c r="CZ79" s="119" t="str">
        <f>IF(CY79="","",IF(BI79="OK",BJ79,""))</f>
        <v/>
      </c>
      <c r="DA79" s="119" t="str">
        <f>IF(CY79="","",IF(BK79="","",BK79))</f>
        <v/>
      </c>
      <c r="DB79" s="120" t="str">
        <f>IF(CW79="","",BM79)</f>
        <v/>
      </c>
      <c r="DC79" s="119"/>
      <c r="DD79" s="119">
        <f>IF(OR(CH79="",W79=""),"",IF(H79=1,$DJ$3*CH79^0.8*W79,IF(H79=2,$DK$3*CH79^0.8*W79,IF(H79=3,$DL$3*CH79^0.8*W79,"ERR"))))</f>
        <v>325.27029976510551</v>
      </c>
      <c r="DE79" s="119">
        <f>IF(OR(CH79="",W79=""),"",IF(H79=1,$DJ$3*W79,IF(H79=2,$DK$3*W79,IF(H79=3,$DL$3*W79,"ERR"))))</f>
        <v>178.3425</v>
      </c>
      <c r="DF79" s="118">
        <f>IF(DE79="","",-1.485*LN(E79)+7.098)</f>
        <v>1.4937440906017097</v>
      </c>
      <c r="DG79" s="119">
        <f>IF(OR(DF79="",W79=""),"",IF(H79=1,$DJ$3*DF79^0.8*W79,IF(H79=2,$DK$3*DF79^0.8*W79,IF(H79=3,$DL$3*CH79^0.8*W79,"ERR"))))</f>
        <v>325.27029976510551</v>
      </c>
      <c r="DH79" s="118"/>
      <c r="DJ79" s="117"/>
      <c r="DK79" s="117"/>
      <c r="DL79" s="117"/>
    </row>
    <row r="80" spans="1:116">
      <c r="A80" s="115" t="str">
        <f>IF(B80="","",IF(F80&lt;10,CONCATENATE(B80," - 0",F80),CONCATENATE(B80," - ",F80)))</f>
        <v>TRT05 - 43.75</v>
      </c>
      <c r="B80" s="114" t="s">
        <v>2</v>
      </c>
      <c r="C80" s="114">
        <v>43.4</v>
      </c>
      <c r="D80" s="114">
        <v>43.7</v>
      </c>
      <c r="E80" s="114">
        <v>43.55</v>
      </c>
      <c r="F80" s="114">
        <f>IF(E80="","",CEILING(E80,0.25))</f>
        <v>43.75</v>
      </c>
      <c r="G80" s="114" t="s">
        <v>1</v>
      </c>
      <c r="H80" s="113">
        <v>3</v>
      </c>
      <c r="I80" s="2">
        <v>19.28</v>
      </c>
      <c r="J80" s="2">
        <v>14.58</v>
      </c>
      <c r="K80" s="112">
        <v>0.32200000000000001</v>
      </c>
      <c r="L80" s="45">
        <v>0.94799999999999995</v>
      </c>
      <c r="M80" s="49">
        <v>0.97</v>
      </c>
      <c r="N80" s="48">
        <v>9.3000000000000007</v>
      </c>
      <c r="R80" s="47">
        <f>IF(L80="","",L80/(1+L80))</f>
        <v>0.486652977412731</v>
      </c>
      <c r="S80" s="47" t="str">
        <f>IF(R80="","",IF(R80&lt;0.3,"S",IF(R80&lt;0.45,"L",IF(AND(R80&lt;0.5,R80&gt;=0.45),"C",IF(R80&gt;=0.5,"SC","")))))</f>
        <v>C</v>
      </c>
      <c r="T80" s="46">
        <f>L80*9.81/($P$28*(1+L80))</f>
        <v>0.32864151274108938</v>
      </c>
      <c r="U80" s="37">
        <f>N80</f>
        <v>9.3000000000000007</v>
      </c>
      <c r="V80" s="37">
        <f>IF(E80="","",IF(E80&lt;=10,IF(E80&lt;=N80,18*E80,18*N80+(18-0)*(E80-N80)),IF(AND(E80&gt;10,N80&lt;=10),18*N80+(18-0)*(10-N80)+(17.5-0)*(E80-10),IF(E80&lt;N80,(18*0)+17.5*(E80-10),(18*0)+17.5*(N80-10)+(17.5-0)*(E80-N80)))))</f>
        <v>767.125</v>
      </c>
      <c r="W80" s="37">
        <f>IF(E80="","",IF(E80&lt;=10,IF(E80&lt;=N80,18*E80,18*N80+(18-10)*(E80-N80)),IF(AND(E80&gt;10,N80&lt;=10),18*N80+(18-10)*(10-N80)+(17.5-10)*(E80-10),IF(E80&lt;N80,(18*10)+17.5*(E80-10),(18*10)+17.5*(N80-10)+(17.5-10)*(E80-N80)))))</f>
        <v>424.625</v>
      </c>
      <c r="Y80" s="45">
        <f>Y79</f>
        <v>1.1100000000000001</v>
      </c>
      <c r="AE80" s="41">
        <v>0.88</v>
      </c>
      <c r="AF80" s="40">
        <v>78.84</v>
      </c>
      <c r="AG80" s="3">
        <v>77.53</v>
      </c>
      <c r="AH80" s="3">
        <v>1132.32</v>
      </c>
      <c r="AI80" s="3">
        <v>1111.3399999999999</v>
      </c>
      <c r="AJ80" s="39">
        <f>IF(AF80="","",1-(AG80*AI80/AF80/AH80))</f>
        <v>3.4836396740299702E-2</v>
      </c>
      <c r="AK80" s="38">
        <v>9.5399999999999999E-2</v>
      </c>
      <c r="AL80" s="34">
        <v>200</v>
      </c>
      <c r="AM80" s="28">
        <v>699.31</v>
      </c>
      <c r="AN80" s="37">
        <f>AL80-AQ80</f>
        <v>-10.620000000000005</v>
      </c>
      <c r="AO80" s="37">
        <f>AN80-AP80</f>
        <v>1.0000000000104592E-2</v>
      </c>
      <c r="AP80" s="37">
        <f>AM80-AR80</f>
        <v>-10.630000000000109</v>
      </c>
      <c r="AQ80" s="28">
        <v>210.62</v>
      </c>
      <c r="AR80" s="28">
        <v>709.94</v>
      </c>
      <c r="BB80" s="111">
        <f>(AM80-AL80)/AK80/1000</f>
        <v>5.2338574423480075</v>
      </c>
      <c r="BE80" s="109">
        <f>AL80/AJ80/1000</f>
        <v>5.7411218930296108</v>
      </c>
      <c r="BG80" s="32" t="s">
        <v>0</v>
      </c>
      <c r="BH80" s="31">
        <f>IF(OR(AE80="",Y80=""),"",Y80/AE80)</f>
        <v>1.2613636363636365</v>
      </c>
      <c r="BI80" s="30" t="str">
        <f>IF(OR(AE80="",Y80=""),"",IF(Y80/AE80&gt;1.05,"OC",IF(Y80/AE80&lt;0.95,"UC","OK")))</f>
        <v>OC</v>
      </c>
      <c r="BJ80" s="37">
        <f>(AM80-AL80)/2</f>
        <v>249.65499999999997</v>
      </c>
      <c r="BL80" s="37" t="str">
        <f>IF(BZ80="=",BJ80,"")</f>
        <v/>
      </c>
      <c r="BM80" s="110">
        <f>AN80/(AM80-AL80)</f>
        <v>-2.12693517053534E-2</v>
      </c>
      <c r="BN80" s="214" t="str">
        <f>IF(BM80="","",IF(AND(BM80&gt;=3/4,BM80&lt;=1.5),"HS",IF(AND(BM80&gt;=0.5,BM80&lt;=1),"NC",IF(AND(BM80&gt;=0,BM80&lt;=0.5),"OC",IF(BM80&lt;0,"H-OC","")))))</f>
        <v>H-OC</v>
      </c>
      <c r="BO80" s="109">
        <f>IF(BX80="","",BX80)</f>
        <v>4.500000000049603</v>
      </c>
      <c r="BP80" s="37"/>
      <c r="BQ80" s="27">
        <f>BJ80/AL80</f>
        <v>1.2482749999999998</v>
      </c>
      <c r="BR80" s="26">
        <f>AL80/W80</f>
        <v>0.4710038269060936</v>
      </c>
      <c r="BS80" s="26" t="str">
        <f>IF(OR(BR80="",BH80=""),"",IF(AND(BR80&lt;1,BH80&gt;1),"NO",""))</f>
        <v>NO</v>
      </c>
      <c r="BU80" s="24">
        <f>BU79</f>
        <v>0.59665102321657326</v>
      </c>
      <c r="BV80" s="23">
        <v>0.37474880934876609</v>
      </c>
      <c r="BW80" s="22">
        <f>(BQ80/BU80)^(1/0.8)</f>
        <v>2.5161547840447098</v>
      </c>
      <c r="BX80" s="21">
        <f>(BQ80/BV80)^(1/0.8)</f>
        <v>4.500000000049603</v>
      </c>
      <c r="BY80" s="20">
        <f>BU80*BW80^0.8</f>
        <v>1.2482749999999998</v>
      </c>
      <c r="BZ80" s="19" t="str">
        <f>IF(BR80&lt;0.85,"",IF(AND(BR80&gt;=0.85,BR80&lt;=1.15),"=","&gt;"))</f>
        <v/>
      </c>
      <c r="CA80" s="19" t="str">
        <f>IF(BZ80="","",IF(AND(BQ80&gt;=0.2,BQ80&lt;=0.451),"OK","NO"))</f>
        <v/>
      </c>
      <c r="CB80" s="18" t="str">
        <f>IF(BZ80="","",IF(AL80&lt;=CF79/1.11,"OC","NC"))</f>
        <v/>
      </c>
      <c r="CC80" s="18" t="str">
        <f>IF(BZ80="","",IF(CA80="OK","NC","OC"))</f>
        <v/>
      </c>
      <c r="CE80" s="17">
        <f>IF(BQ80="","",IF(BX80="","",BX80*AL80))</f>
        <v>900.00000000992054</v>
      </c>
      <c r="CG80" s="15">
        <f>CG79</f>
        <v>900</v>
      </c>
      <c r="CH80" s="14">
        <f>CG80/W80</f>
        <v>2.1195172210774214</v>
      </c>
      <c r="CI80" s="13" t="str">
        <f>IF(BQ80&lt;0.28,"Y","")</f>
        <v/>
      </c>
      <c r="CJ80" s="12" t="str">
        <f>IF(BQ80&lt;0.8,"Y","")</f>
        <v/>
      </c>
      <c r="CK80" s="12" t="str">
        <f>IF(BQ80&lt;BQ79,"","ERR")</f>
        <v/>
      </c>
      <c r="CL80" s="11">
        <f>IFERROR(CE80-CG80,"")</f>
        <v>9.920540833263658E-9</v>
      </c>
      <c r="CN80" s="7" t="str">
        <f>IF(OR(BS80="NO",BG80="TX-CID"),"",BH80)</f>
        <v/>
      </c>
      <c r="CO80" s="7" t="str">
        <f>IF(CN80="","",BQ80)</f>
        <v/>
      </c>
      <c r="CP80" s="10" t="str">
        <f>IF(CO80="","",BR80)</f>
        <v/>
      </c>
      <c r="CQ80" s="9" t="str">
        <f>IF(CO80="","",BV80)</f>
        <v/>
      </c>
      <c r="CR80" s="8" t="str">
        <f>IF(CU80="","",BX80)</f>
        <v/>
      </c>
      <c r="CS80" s="8" t="str">
        <f>IF(CR80="","",LN(CR80))</f>
        <v/>
      </c>
      <c r="CT80" s="8" t="str">
        <f>IF(CS80="","",BM80)</f>
        <v/>
      </c>
      <c r="CU80" s="7" t="str">
        <f>IF(CO80="","",BU80)</f>
        <v/>
      </c>
      <c r="CV80" s="6" t="str">
        <f>IF(CR80="","",CH79)</f>
        <v/>
      </c>
      <c r="CW80" s="5" t="str">
        <f>IF(CU80="","",E80)</f>
        <v/>
      </c>
      <c r="CY80" s="4" t="str">
        <f>IF(CW80="","",IF(H80=1,$DJ$3*CV80^0.8*W80,IF(H80=2,$DK$3*CV80^0.8*W80,IF(H80=3,$DL$3*CV80^0.8*W80,"ERR"))))</f>
        <v/>
      </c>
      <c r="CZ80" s="4" t="str">
        <f>IF(CY80="","",IF(BI80="OK",BJ80,""))</f>
        <v/>
      </c>
      <c r="DA80" s="4" t="str">
        <f>IF(CY80="","",IF(BK80="","",BK80))</f>
        <v/>
      </c>
      <c r="DB80" s="6" t="str">
        <f>IF(CW80="","",BM80)</f>
        <v/>
      </c>
      <c r="DD80" s="4">
        <f>IF(OR(CH80="",W80=""),"",IF(H80=1,$DJ$3*CH80^0.8*W80,IF(H80=2,$DK$3*CH80^0.8*W80,IF(H80=3,$DL$3*CH80^0.8*W80,"ERR"))))</f>
        <v>325.27029976510551</v>
      </c>
      <c r="DE80" s="4">
        <f>IF(OR(CH80="",W80=""),"",IF(H80=1,$DJ$3*W80,IF(H80=2,$DK$3*W80,IF(H80=3,$DL$3*W80,"ERR"))))</f>
        <v>178.3425</v>
      </c>
      <c r="DF80" s="3">
        <f>IF(DE80="","",-1.485*LN(E80)+7.098)</f>
        <v>1.4937440906017097</v>
      </c>
      <c r="DG80" s="4">
        <f>IF(OR(DF80="",W80=""),"",IF(H80=1,$DJ$3*DF80^0.8*W80,IF(H80=2,$DK$3*DF80^0.8*W80,IF(H80=3,$DL$3*CH80^0.8*W80,"ERR"))))</f>
        <v>325.27029976510551</v>
      </c>
    </row>
    <row r="81" spans="1:116" s="162" customFormat="1">
      <c r="A81" s="213" t="str">
        <f>IF(B81="","",IF(F81&lt;10,CONCATENATE(B81," - 0",F81),CONCATENATE(B81," - ",F81)))</f>
        <v>TRT05 - 43.75</v>
      </c>
      <c r="B81" s="212" t="s">
        <v>2</v>
      </c>
      <c r="C81" s="212">
        <v>43.4</v>
      </c>
      <c r="D81" s="212">
        <v>43.7</v>
      </c>
      <c r="E81" s="212">
        <v>43.55</v>
      </c>
      <c r="F81" s="212">
        <f>IF(E81="","",CEILING(E81,0.25))</f>
        <v>43.75</v>
      </c>
      <c r="G81" s="212" t="s">
        <v>1</v>
      </c>
      <c r="H81" s="211">
        <v>3</v>
      </c>
      <c r="I81" s="163">
        <v>19.68</v>
      </c>
      <c r="J81" s="163">
        <v>15.07</v>
      </c>
      <c r="K81" s="210">
        <v>0.30599999999999999</v>
      </c>
      <c r="L81" s="205">
        <v>0.88500000000000001</v>
      </c>
      <c r="M81" s="209">
        <v>0.98</v>
      </c>
      <c r="N81" s="208">
        <v>9.3000000000000007</v>
      </c>
      <c r="O81" s="163"/>
      <c r="P81" s="163"/>
      <c r="Q81" s="207"/>
      <c r="R81" s="207">
        <f>IF(L81="","",L81/(1+L81))</f>
        <v>0.46949602122015915</v>
      </c>
      <c r="S81" s="207" t="str">
        <f>IF(R81="","",IF(R81&lt;0.3,"S",IF(R81&lt;0.45,"L",IF(AND(R81&lt;0.5,R81&gt;=0.45),"C",IF(R81&gt;=0.5,"SC","")))))</f>
        <v>C</v>
      </c>
      <c r="T81" s="206">
        <f>L81*9.81/($P$28*(1+L81))</f>
        <v>0.31705525251283356</v>
      </c>
      <c r="U81" s="186">
        <f>N81</f>
        <v>9.3000000000000007</v>
      </c>
      <c r="V81" s="186">
        <f>IF(E81="","",IF(E81&lt;=10,IF(E81&lt;=N81,18*E81,18*N81+(18-0)*(E81-N81)),IF(AND(E81&gt;10,N81&lt;=10),18*N81+(18-0)*(10-N81)+(17.5-0)*(E81-10),IF(E81&lt;N81,(18*0)+17.5*(E81-10),(18*0)+17.5*(N81-10)+(17.5-0)*(E81-N81)))))</f>
        <v>767.125</v>
      </c>
      <c r="W81" s="186">
        <f>IF(E81="","",IF(E81&lt;=10,IF(E81&lt;=N81,18*E81,18*N81+(18-10)*(E81-N81)),IF(AND(E81&gt;10,N81&lt;=10),18*N81+(18-10)*(10-N81)+(17.5-10)*(E81-10),IF(E81&lt;N81,(18*10)+17.5*(E81-10),(18*10)+17.5*(N81-10)+(17.5-10)*(E81-N81)))))</f>
        <v>424.625</v>
      </c>
      <c r="X81" s="197"/>
      <c r="Y81" s="205">
        <f>Y80</f>
        <v>1.1100000000000001</v>
      </c>
      <c r="Z81" s="164"/>
      <c r="AA81" s="189"/>
      <c r="AB81" s="204"/>
      <c r="AC81" s="203"/>
      <c r="AD81" s="202"/>
      <c r="AE81" s="201">
        <v>0.79800000000000004</v>
      </c>
      <c r="AF81" s="200">
        <v>79.099999999999994</v>
      </c>
      <c r="AG81" s="164">
        <v>78</v>
      </c>
      <c r="AH81" s="164">
        <v>1134.1099999999999</v>
      </c>
      <c r="AI81" s="164">
        <v>1096.78</v>
      </c>
      <c r="AJ81" s="199">
        <f>IF(AF81="","",1-(AG81*AI81/AF81/AH81))</f>
        <v>4.6364385753745907E-2</v>
      </c>
      <c r="AK81" s="198">
        <v>9.4899999999999998E-2</v>
      </c>
      <c r="AL81" s="197">
        <v>400</v>
      </c>
      <c r="AM81" s="189">
        <v>1313.18</v>
      </c>
      <c r="AN81" s="186">
        <f>AL81-AQ81</f>
        <v>158.6</v>
      </c>
      <c r="AO81" s="186">
        <f>AN81-AP81</f>
        <v>0</v>
      </c>
      <c r="AP81" s="186">
        <f>AM81-AR81</f>
        <v>158.60000000000014</v>
      </c>
      <c r="AQ81" s="189">
        <v>241.4</v>
      </c>
      <c r="AR81" s="189">
        <v>1154.58</v>
      </c>
      <c r="AS81" s="196"/>
      <c r="AT81" s="66"/>
      <c r="AU81" s="192"/>
      <c r="AV81" s="192"/>
      <c r="AW81" s="195"/>
      <c r="AX81" s="192"/>
      <c r="AY81" s="192"/>
      <c r="AZ81" s="192"/>
      <c r="BA81" s="195"/>
      <c r="BB81" s="194">
        <f>(AM81-AL81)/AK81/1000</f>
        <v>9.6225500526870409</v>
      </c>
      <c r="BC81" s="189"/>
      <c r="BD81" s="189"/>
      <c r="BE81" s="187">
        <f>AL81/AJ81/1000</f>
        <v>8.6273115344288342</v>
      </c>
      <c r="BF81" s="193"/>
      <c r="BG81" s="192" t="s">
        <v>0</v>
      </c>
      <c r="BH81" s="191">
        <f>IF(OR(AE81="",Y81=""),"",Y81/AE81)</f>
        <v>1.3909774436090225</v>
      </c>
      <c r="BI81" s="190" t="str">
        <f>IF(OR(AE81="",Y81=""),"",IF(Y81/AE81&gt;1.05,"OC",IF(Y81/AE81&lt;0.95,"UC","OK")))</f>
        <v>OC</v>
      </c>
      <c r="BJ81" s="186">
        <f>(AM81-AL81)/2</f>
        <v>456.59000000000003</v>
      </c>
      <c r="BK81" s="189"/>
      <c r="BL81" s="186">
        <f>IF(BZ81="=",BJ81,"")</f>
        <v>456.59000000000003</v>
      </c>
      <c r="BM81" s="188">
        <f>AN81/(AM81-AL81)</f>
        <v>0.17367879279003043</v>
      </c>
      <c r="BN81" s="186" t="str">
        <f>IF(BM81="","",IF(AND(BM81&gt;=3/4,BM81&lt;=1.5),"HS",IF(AND(BM81&gt;=0.5,BM81&lt;=1),"NC",IF(AND(BM81&gt;=0,BM81&lt;=0.5),"OC",IF(BM81&lt;0,"H-OC","")))))</f>
        <v>OC</v>
      </c>
      <c r="BO81" s="187">
        <f>IF(BX81="","",BX81)</f>
        <v>2.2499999999980345</v>
      </c>
      <c r="BP81" s="186"/>
      <c r="BQ81" s="185">
        <f>BJ81/AL81</f>
        <v>1.141475</v>
      </c>
      <c r="BR81" s="184">
        <f>AL81/W81</f>
        <v>0.94200765381218721</v>
      </c>
      <c r="BS81" s="184" t="str">
        <f>IF(OR(BR81="",BH81=""),"",IF(AND(BR81&lt;1,BH81&gt;1),"NO",""))</f>
        <v>NO</v>
      </c>
      <c r="BT81" s="183"/>
      <c r="BU81" s="182">
        <f>BU80</f>
        <v>0.59665102321657326</v>
      </c>
      <c r="BV81" s="181">
        <v>0.59665102321657326</v>
      </c>
      <c r="BW81" s="180">
        <f>(BQ81/BU81)^(1/0.8)</f>
        <v>2.2499999999980345</v>
      </c>
      <c r="BX81" s="179">
        <f>(BQ81/BV81)^(1/0.8)</f>
        <v>2.2499999999980345</v>
      </c>
      <c r="BY81" s="178">
        <f>BU81*BW81^0.8</f>
        <v>1.141475</v>
      </c>
      <c r="BZ81" s="177" t="str">
        <f>IF(BR81&lt;0.85,"",IF(AND(BR81&gt;=0.85,BR81&lt;=1.15),"=","&gt;"))</f>
        <v>=</v>
      </c>
      <c r="CA81" s="177" t="str">
        <f>IF(BZ81="","",IF(AND(BQ81&gt;=0.2,BQ81&lt;=0.451),"OK","NO"))</f>
        <v>NO</v>
      </c>
      <c r="CB81" s="176" t="str">
        <f>IF(BZ81="","",IF(AL81&lt;=CF79/1.11,"OC","NC"))</f>
        <v>OC</v>
      </c>
      <c r="CC81" s="176" t="str">
        <f>IF(BZ81="","",IF(CA81="OK","NC","OC"))</f>
        <v>OC</v>
      </c>
      <c r="CD81" s="172">
        <f>IF(BQ81="","",IF(BW81="","",BW81*AL81))</f>
        <v>899.99999999921374</v>
      </c>
      <c r="CE81" s="175">
        <f>IF(BQ81="","",IF(BX81="","",BX81*AL81))</f>
        <v>899.99999999921374</v>
      </c>
      <c r="CF81" s="174"/>
      <c r="CG81" s="66">
        <f>CG80</f>
        <v>900</v>
      </c>
      <c r="CH81" s="14">
        <f>CG81/W81</f>
        <v>2.1195172210774214</v>
      </c>
      <c r="CI81" s="173" t="str">
        <f>IF(BQ81&lt;0.28,"Y","")</f>
        <v/>
      </c>
      <c r="CJ81" s="172" t="str">
        <f>IF(BQ81&lt;0.8,"Y","")</f>
        <v/>
      </c>
      <c r="CK81" s="172" t="str">
        <f>IF(BQ81&lt;BQ80,"","ERR")</f>
        <v/>
      </c>
      <c r="CL81" s="11">
        <f>IFERROR(CE81-CG81,"")</f>
        <v>-7.8625816968269646E-10</v>
      </c>
      <c r="CM81" s="163"/>
      <c r="CN81" s="168" t="str">
        <f>IF(OR(BS81="NO",BG81="TX-CID"),"",BH81)</f>
        <v/>
      </c>
      <c r="CO81" s="168" t="str">
        <f>IF(CN81="","",BQ81)</f>
        <v/>
      </c>
      <c r="CP81" s="171" t="str">
        <f>IF(CO81="","",BR81)</f>
        <v/>
      </c>
      <c r="CQ81" s="170" t="str">
        <f>IF(CO81="","",BV81)</f>
        <v/>
      </c>
      <c r="CR81" s="169" t="str">
        <f>IF(CU81="","",BX81)</f>
        <v/>
      </c>
      <c r="CS81" s="169" t="str">
        <f>IF(CR81="","",LN(CR81))</f>
        <v/>
      </c>
      <c r="CT81" s="169" t="str">
        <f>IF(CS81="","",BM81)</f>
        <v/>
      </c>
      <c r="CU81" s="168" t="str">
        <f>IF(CO81="","",BU81)</f>
        <v/>
      </c>
      <c r="CV81" s="166" t="str">
        <f>IF(CR81="","",CH79)</f>
        <v/>
      </c>
      <c r="CW81" s="167" t="str">
        <f>IF(CU81="","",E81)</f>
        <v/>
      </c>
      <c r="CX81" s="167"/>
      <c r="CY81" s="165" t="str">
        <f>IF(CW81="","",IF(H81=1,$DJ$3*CV81^0.8*W81,IF(H81=2,$DK$3*CV81^0.8*W81,IF(H81=3,$DL$3*CV81^0.8*W81,"ERR"))))</f>
        <v/>
      </c>
      <c r="CZ81" s="165" t="str">
        <f>IF(CY81="","",IF(BI81="OK",BJ81,""))</f>
        <v/>
      </c>
      <c r="DA81" s="165" t="str">
        <f>IF(CY81="","",IF(BK81="","",BK81))</f>
        <v/>
      </c>
      <c r="DB81" s="166" t="str">
        <f>IF(CW81="","",BM81)</f>
        <v/>
      </c>
      <c r="DC81" s="165"/>
      <c r="DD81" s="165">
        <f>IF(OR(CH81="",W81=""),"",IF(H81=1,$DJ$3*CH81^0.8*W81,IF(H81=2,$DK$3*CH81^0.8*W81,IF(H81=3,$DL$3*CH81^0.8*W81,"ERR"))))</f>
        <v>325.27029976510551</v>
      </c>
      <c r="DE81" s="165">
        <f>IF(OR(CH81="",W81=""),"",IF(H81=1,$DJ$3*W81,IF(H81=2,$DK$3*W81,IF(H81=3,$DL$3*W81,"ERR"))))</f>
        <v>178.3425</v>
      </c>
      <c r="DF81" s="164">
        <f>IF(DE81="","",-1.485*LN(E81)+7.098)</f>
        <v>1.4937440906017097</v>
      </c>
      <c r="DG81" s="165">
        <f>IF(OR(DF81="",W81=""),"",IF(H81=1,$DJ$3*DF81^0.8*W81,IF(H81=2,$DK$3*DF81^0.8*W81,IF(H81=3,$DL$3*CH81^0.8*W81,"ERR"))))</f>
        <v>325.27029976510551</v>
      </c>
      <c r="DH81" s="164"/>
      <c r="DJ81" s="163"/>
      <c r="DK81" s="163"/>
      <c r="DL81" s="163"/>
    </row>
    <row r="82" spans="1:116" s="116" customFormat="1">
      <c r="A82" s="161" t="str">
        <f>IF(B82="","",IF(F82&lt;10,CONCATENATE(B82," - 0",F82),CONCATENATE(B82," - ",F82)))</f>
        <v>TRT05 - 46.5</v>
      </c>
      <c r="B82" s="160" t="s">
        <v>2</v>
      </c>
      <c r="C82" s="160">
        <v>46.1</v>
      </c>
      <c r="D82" s="160">
        <v>46.5</v>
      </c>
      <c r="E82" s="160">
        <v>46.3</v>
      </c>
      <c r="F82" s="160">
        <f>IF(E82="","",CEILING(E82,0.25))</f>
        <v>46.5</v>
      </c>
      <c r="G82" s="160" t="s">
        <v>1</v>
      </c>
      <c r="H82" s="159">
        <v>3</v>
      </c>
      <c r="I82" s="117">
        <v>17.5</v>
      </c>
      <c r="J82" s="117">
        <v>13.23</v>
      </c>
      <c r="K82" s="158">
        <v>0.32200000000000001</v>
      </c>
      <c r="L82" s="150">
        <v>1.1160000000000001</v>
      </c>
      <c r="M82" s="157">
        <v>0.81</v>
      </c>
      <c r="N82" s="156">
        <v>9.3000000000000007</v>
      </c>
      <c r="O82" s="155">
        <f>(P82*(1+AVERAGE(L82:L84))+(9.81*M82*AVERAGE(L82:L84)))/(1+AVERAGE(L82:L84))</f>
        <v>17.46635641025641</v>
      </c>
      <c r="P82" s="154">
        <f>AVERAGE(J82:J84)</f>
        <v>13.293333333333335</v>
      </c>
      <c r="Q82" s="153">
        <f>AVERAGE(K82:K84)</f>
        <v>0.34833333333333333</v>
      </c>
      <c r="R82" s="152">
        <f>IF(L82="","",L82/(1+L82))</f>
        <v>0.52741020793950855</v>
      </c>
      <c r="S82" s="152" t="str">
        <f>IF(R82="","",IF(R82&lt;0.3,"S",IF(R82&lt;0.45,"L",IF(AND(R82&lt;0.5,R82&gt;=0.45),"C",IF(R82&gt;=0.5,"SC","")))))</f>
        <v>SC</v>
      </c>
      <c r="T82" s="151">
        <f>L82*9.81/($P$28*(1+L82))</f>
        <v>0.35616526892289441</v>
      </c>
      <c r="U82" s="141">
        <f>N82</f>
        <v>9.3000000000000007</v>
      </c>
      <c r="V82" s="141">
        <f>IF(E82="","",IF(E82&lt;=10,IF(E82&lt;=N82,18*E82,18*N82+(18-0)*(E82-N82)),IF(AND(E82&gt;10,N82&lt;=10),18*N82+(18-0)*(10-N82)+(17.5-0)*(E82-10),IF(E82&lt;N82,(18*0)+17.5*(E82-10),(18*0)+17.5*(N82-10)+(17.5-0)*(E82-N82)))))</f>
        <v>815.25</v>
      </c>
      <c r="W82" s="141">
        <f>IF(E82="","",IF(E82&lt;=10,IF(E82&lt;=N82,18*E82,18*N82+(18-10)*(E82-N82)),IF(AND(E82&gt;10,N82&lt;=10),18*N82+(18-10)*(10-N82)+(17.5-10)*(E82-10),IF(E82&lt;N82,(18*10)+17.5*(E82-10),(18*10)+17.5*(N82-10)+(17.5-10)*(E82-N82)))))</f>
        <v>445.25</v>
      </c>
      <c r="X82" s="142">
        <v>470</v>
      </c>
      <c r="Y82" s="150">
        <v>1.008</v>
      </c>
      <c r="Z82" s="118">
        <v>1.3</v>
      </c>
      <c r="AA82" s="136">
        <v>600</v>
      </c>
      <c r="AB82" s="149"/>
      <c r="AC82" s="148"/>
      <c r="AD82" s="147"/>
      <c r="AE82" s="146">
        <v>1.0640000000000001</v>
      </c>
      <c r="AF82" s="145">
        <v>78.38</v>
      </c>
      <c r="AG82" s="118">
        <v>77.72</v>
      </c>
      <c r="AH82" s="118">
        <v>1122.21</v>
      </c>
      <c r="AI82" s="118">
        <v>1103.95</v>
      </c>
      <c r="AJ82" s="144">
        <f>IF(AF82="","",1-(AG82*AI82/AF82/AH82))</f>
        <v>2.455496566360249E-2</v>
      </c>
      <c r="AK82" s="143">
        <v>0.10440000000000001</v>
      </c>
      <c r="AL82" s="142">
        <v>100</v>
      </c>
      <c r="AM82" s="136">
        <v>395.5</v>
      </c>
      <c r="AN82" s="141">
        <f>AL82-AQ82</f>
        <v>8.6500000000000057</v>
      </c>
      <c r="AO82" s="141">
        <f>AN82-AP82</f>
        <v>2.8421709430404007E-14</v>
      </c>
      <c r="AP82" s="141">
        <f>AM82-AR82</f>
        <v>8.6499999999999773</v>
      </c>
      <c r="AQ82" s="136">
        <v>91.35</v>
      </c>
      <c r="AR82" s="136">
        <v>386.85</v>
      </c>
      <c r="AS82" s="140"/>
      <c r="AT82" s="139">
        <v>95</v>
      </c>
      <c r="AU82" s="133">
        <v>15</v>
      </c>
      <c r="AV82" s="133">
        <v>20</v>
      </c>
      <c r="AW82" s="138">
        <v>33</v>
      </c>
      <c r="AX82" s="133">
        <v>95</v>
      </c>
      <c r="AY82" s="133">
        <v>13</v>
      </c>
      <c r="AZ82" s="133">
        <v>20</v>
      </c>
      <c r="BA82" s="138">
        <v>33</v>
      </c>
      <c r="BB82" s="137">
        <f>(AM82-AL82)/AK82/1000</f>
        <v>2.8304597701149423</v>
      </c>
      <c r="BC82" s="136"/>
      <c r="BD82" s="136"/>
      <c r="BE82" s="135">
        <f>AL82/AJ82/1000</f>
        <v>4.0724960225958986</v>
      </c>
      <c r="BF82" s="134"/>
      <c r="BG82" s="133" t="s">
        <v>0</v>
      </c>
      <c r="BH82" s="132">
        <f>IF(OR(AE82="",Y82=""),"",Y82/AE82)</f>
        <v>0.94736842105263153</v>
      </c>
      <c r="BI82" s="131" t="str">
        <f>IF(OR(AE82="",Y82=""),"",IF(Y82/AE82&gt;1.05,"OC",IF(Y82/AE82&lt;0.95,"UC","OK")))</f>
        <v>UC</v>
      </c>
      <c r="BJ82" s="130">
        <f>(AM82-AL82)/2</f>
        <v>147.75</v>
      </c>
      <c r="BK82" s="37">
        <f>AVERAGE(BJ82:BJ84)+(_xlfn.COVARIANCE.P(AL82:AL84,BJ82:BJ84)/_xlfn.STDEV.P(AL82:AL84)^2)*(W82-AVERAGE(AL82:AL84))</f>
        <v>275.79624732142861</v>
      </c>
      <c r="BL82" s="37" t="str">
        <f>IF(BZ82="=",BJ82,"")</f>
        <v/>
      </c>
      <c r="BM82" s="110">
        <f>AN82/(AM82-AL82)</f>
        <v>2.9272419627749596E-2</v>
      </c>
      <c r="BN82" s="37" t="str">
        <f>IF(BM82="","",IF(AND(BM82&gt;=3/4,BM82&lt;=1.5),"HS",IF(AND(BM82&gt;=0.5,BM82&lt;=1),"NC",IF(AND(BM82&gt;=0,BM82&lt;=0.5),"OC",IF(BM82&lt;0,"H-OC","")))))</f>
        <v>OC</v>
      </c>
      <c r="BO82" s="109">
        <f>IF(BX82="","",BX82)</f>
        <v>6.0000000000281828</v>
      </c>
      <c r="BP82" s="37"/>
      <c r="BQ82" s="27">
        <f>BJ82/AL82</f>
        <v>1.4775</v>
      </c>
      <c r="BR82" s="129">
        <f>AL82/W82</f>
        <v>0.22459292532285233</v>
      </c>
      <c r="BS82" s="129" t="str">
        <f>IF(OR(BR82="",BH82=""),"",IF(AND(BR82&lt;1,BH82&gt;1),"NO",""))</f>
        <v/>
      </c>
      <c r="BT82" s="128"/>
      <c r="BU82" s="24">
        <v>0.46066553387680625</v>
      </c>
      <c r="BV82" s="23">
        <v>0.35237613622084507</v>
      </c>
      <c r="BW82" s="22">
        <f>(BQ82/BU82)^(1/0.8)</f>
        <v>4.2921729326267304</v>
      </c>
      <c r="BX82" s="21">
        <f>(BQ82/BV82)^(1/0.8)</f>
        <v>6.0000000000281828</v>
      </c>
      <c r="BY82" s="20">
        <f>BU82*BW82^0.8</f>
        <v>1.4775000000000003</v>
      </c>
      <c r="BZ82" s="19" t="str">
        <f>IF(BR82&lt;0.85,"",IF(AND(BR82&gt;=0.85,BR82&lt;=1.15),"=","&gt;"))</f>
        <v/>
      </c>
      <c r="CA82" s="19" t="str">
        <f>IF(BZ82="","",IF(AND(BQ82&gt;=0.2,BQ82&lt;=0.451),"OK","NO"))</f>
        <v/>
      </c>
      <c r="CB82" s="18" t="str">
        <f>IF(BZ82="","",IF(AL82&lt;=CF82/1.11,"OC","NC"))</f>
        <v/>
      </c>
      <c r="CC82" s="18" t="str">
        <f>IF(BZ82="","",IF(CA82="OK","NC","OC"))</f>
        <v/>
      </c>
      <c r="CD82" s="12"/>
      <c r="CE82" s="17">
        <f>IF(BQ82="","",IF(BX82="","",BX82*AL82))</f>
        <v>600.0000000028183</v>
      </c>
      <c r="CF82" s="16">
        <f>AVERAGE(CD82:CD84)</f>
        <v>599.99999999748661</v>
      </c>
      <c r="CG82" s="15">
        <v>600</v>
      </c>
      <c r="CH82" s="127">
        <f>CG82/W82</f>
        <v>1.3475575519371139</v>
      </c>
      <c r="CI82" s="13" t="str">
        <f>IF(BQ82&lt;0.28,"Y","")</f>
        <v/>
      </c>
      <c r="CJ82" s="12" t="str">
        <f>IF(BQ82&lt;0.8,"Y","")</f>
        <v/>
      </c>
      <c r="CK82" s="126"/>
      <c r="CL82" s="125">
        <f>IFERROR(CE82-CG82,"")</f>
        <v>2.8182967071188614E-9</v>
      </c>
      <c r="CM82" s="117"/>
      <c r="CN82" s="121">
        <f>IF(OR(BS82="NO",BG82="TX-CID"),"",BH82)</f>
        <v>0.94736842105263153</v>
      </c>
      <c r="CO82" s="121">
        <f>IF(CN82="","",BQ82)</f>
        <v>1.4775</v>
      </c>
      <c r="CP82" s="124">
        <f>IF(CO82="","",BR82)</f>
        <v>0.22459292532285233</v>
      </c>
      <c r="CQ82" s="123">
        <f>IF(CO82="","",BV82)</f>
        <v>0.35237613622084507</v>
      </c>
      <c r="CR82" s="122">
        <f>IF(CU82="","",BX82)</f>
        <v>6.0000000000281828</v>
      </c>
      <c r="CS82" s="122">
        <f>IF(CR82="","",LN(CR82))</f>
        <v>1.7917594692327521</v>
      </c>
      <c r="CT82" s="122">
        <f>IF(CS82="","",BM82)</f>
        <v>2.9272419627749596E-2</v>
      </c>
      <c r="CU82" s="121">
        <f>IF(CO82="","",BU82)</f>
        <v>0.46066553387680625</v>
      </c>
      <c r="CV82" s="6">
        <f>IF(CR82="","",CH82)</f>
        <v>1.3475575519371139</v>
      </c>
      <c r="CW82" s="5">
        <f>IF(CU82="","",E82)</f>
        <v>46.3</v>
      </c>
      <c r="CX82" s="5"/>
      <c r="CY82" s="119">
        <f>IF(CW82="","",IF(H82=1,$DJ$3*CV82^0.8*W82,IF(H82=2,$DK$3*CV82^0.8*W82,IF(H82=3,$DL$3*CV82^0.8*W82,"ERR"))))</f>
        <v>237.40566412925941</v>
      </c>
      <c r="CZ82" s="119" t="str">
        <f>IF(CY82="","",IF(BI82="OK",BJ82,""))</f>
        <v/>
      </c>
      <c r="DA82" s="119">
        <f>IF(CY82="","",IF(BK82="","",BK82))</f>
        <v>275.79624732142861</v>
      </c>
      <c r="DB82" s="120">
        <f>IF(CW82="","",BM82)</f>
        <v>2.9272419627749596E-2</v>
      </c>
      <c r="DC82" s="119"/>
      <c r="DD82" s="119">
        <f>IF(OR(CH82="",W82=""),"",IF(H82=1,$DJ$3*CH82^0.8*W82,IF(H82=2,$DK$3*CH82^0.8*W82,IF(H82=3,$DL$3*CH82^0.8*W82,"ERR"))))</f>
        <v>237.40566412925941</v>
      </c>
      <c r="DE82" s="119">
        <f>IF(OR(CH82="",W82=""),"",IF(H82=1,$DJ$3*W82,IF(H82=2,$DK$3*W82,IF(H82=3,$DL$3*W82,"ERR"))))</f>
        <v>187.005</v>
      </c>
      <c r="DF82" s="118">
        <f>IF(DE82="","",-1.485*LN(E82)+7.098)</f>
        <v>1.4028141877781</v>
      </c>
      <c r="DG82" s="119">
        <f>IF(OR(DF82="",W82=""),"",IF(H82=1,$DJ$3*DF82^0.8*W82,IF(H82=2,$DK$3*DF82^0.8*W82,IF(H82=3,$DL$3*CH82^0.8*W82,"ERR"))))</f>
        <v>237.40566412925941</v>
      </c>
      <c r="DH82" s="118"/>
      <c r="DJ82" s="117"/>
      <c r="DK82" s="117"/>
      <c r="DL82" s="117"/>
    </row>
    <row r="83" spans="1:116">
      <c r="A83" s="115" t="str">
        <f>IF(B83="","",IF(F83&lt;10,CONCATENATE(B83," - 0",F83),CONCATENATE(B83," - ",F83)))</f>
        <v>TRT05 - 46.5</v>
      </c>
      <c r="B83" s="114" t="s">
        <v>2</v>
      </c>
      <c r="C83" s="114">
        <v>46.1</v>
      </c>
      <c r="D83" s="114">
        <v>46.5</v>
      </c>
      <c r="E83" s="114">
        <v>46.3</v>
      </c>
      <c r="F83" s="114">
        <f>IF(E83="","",CEILING(E83,0.25))</f>
        <v>46.5</v>
      </c>
      <c r="G83" s="114" t="s">
        <v>1</v>
      </c>
      <c r="H83" s="113">
        <v>3</v>
      </c>
      <c r="I83" s="2">
        <v>17.89</v>
      </c>
      <c r="J83" s="2">
        <v>13.22</v>
      </c>
      <c r="K83" s="112">
        <v>0.35299999999999998</v>
      </c>
      <c r="L83" s="45">
        <v>1.117</v>
      </c>
      <c r="M83" s="49">
        <v>0.88</v>
      </c>
      <c r="N83" s="48">
        <v>9.3000000000000007</v>
      </c>
      <c r="R83" s="47">
        <f>IF(L83="","",L83/(1+L83))</f>
        <v>0.52763344355219655</v>
      </c>
      <c r="S83" s="47" t="str">
        <f>IF(R83="","",IF(R83&lt;0.3,"S",IF(R83&lt;0.45,"L",IF(AND(R83&lt;0.5,R83&gt;=0.45),"C",IF(R83&gt;=0.5,"SC","")))))</f>
        <v>SC</v>
      </c>
      <c r="T83" s="46">
        <f>L83*9.81/($P$28*(1+L83))</f>
        <v>0.35631602211429886</v>
      </c>
      <c r="U83" s="37">
        <f>N83</f>
        <v>9.3000000000000007</v>
      </c>
      <c r="V83" s="37">
        <f>IF(E83="","",IF(E83&lt;=10,IF(E83&lt;=N83,18*E83,18*N83+(18-0)*(E83-N83)),IF(AND(E83&gt;10,N83&lt;=10),18*N83+(18-0)*(10-N83)+(17.5-0)*(E83-10),IF(E83&lt;N83,(18*0)+17.5*(E83-10),(18*0)+17.5*(N83-10)+(17.5-0)*(E83-N83)))))</f>
        <v>815.25</v>
      </c>
      <c r="W83" s="37">
        <f>IF(E83="","",IF(E83&lt;=10,IF(E83&lt;=N83,18*E83,18*N83+(18-10)*(E83-N83)),IF(AND(E83&gt;10,N83&lt;=10),18*N83+(18-10)*(10-N83)+(17.5-10)*(E83-10),IF(E83&lt;N83,(18*10)+17.5*(E83-10),(18*10)+17.5*(N83-10)+(17.5-10)*(E83-N83)))))</f>
        <v>445.25</v>
      </c>
      <c r="Y83" s="45">
        <f>Y82</f>
        <v>1.008</v>
      </c>
      <c r="AE83" s="41">
        <v>1.0620000000000001</v>
      </c>
      <c r="AF83" s="40">
        <v>78.95</v>
      </c>
      <c r="AG83" s="3">
        <v>78.260000000000005</v>
      </c>
      <c r="AH83" s="3">
        <v>1131.1300000000001</v>
      </c>
      <c r="AI83" s="3">
        <v>1111.3599999999999</v>
      </c>
      <c r="AJ83" s="39">
        <f>IF(AF83="","",1-(AG83*AI83/AF83/AH83))</f>
        <v>2.6065052323410276E-2</v>
      </c>
      <c r="AK83" s="38">
        <v>0.1236</v>
      </c>
      <c r="AL83" s="34">
        <v>200</v>
      </c>
      <c r="AM83" s="28">
        <v>619.33000000000004</v>
      </c>
      <c r="AN83" s="37">
        <f>AL83-AQ83</f>
        <v>36.849999999999994</v>
      </c>
      <c r="AO83" s="37">
        <f>AN83-AP83</f>
        <v>0</v>
      </c>
      <c r="AP83" s="37">
        <f>AM83-AR83</f>
        <v>36.850000000000023</v>
      </c>
      <c r="AQ83" s="28">
        <v>163.15</v>
      </c>
      <c r="AR83" s="28">
        <v>582.48</v>
      </c>
      <c r="BB83" s="111">
        <f>(AM83-AL83)/AK83/1000</f>
        <v>3.3926375404530744</v>
      </c>
      <c r="BE83" s="109">
        <f>AL83/AJ83/1000</f>
        <v>7.673109476951649</v>
      </c>
      <c r="BG83" s="32" t="s">
        <v>0</v>
      </c>
      <c r="BH83" s="31">
        <f>IF(OR(AE83="",Y83=""),"",Y83/AE83)</f>
        <v>0.94915254237288127</v>
      </c>
      <c r="BI83" s="30" t="str">
        <f>IF(OR(AE83="",Y83=""),"",IF(Y83/AE83&gt;1.05,"OC",IF(Y83/AE83&lt;0.95,"UC","OK")))</f>
        <v>UC</v>
      </c>
      <c r="BJ83" s="37">
        <f>(AM83-AL83)/2</f>
        <v>209.66500000000002</v>
      </c>
      <c r="BL83" s="37" t="str">
        <f>IF(BZ83="=",BJ83,"")</f>
        <v/>
      </c>
      <c r="BM83" s="110">
        <f>AN83/(AM83-AL83)</f>
        <v>8.7878282021319698E-2</v>
      </c>
      <c r="BN83" s="37" t="str">
        <f>IF(BM83="","",IF(AND(BM83&gt;=3/4,BM83&lt;=1.5),"HS",IF(AND(BM83&gt;=0.5,BM83&lt;=1),"NC",IF(AND(BM83&gt;=0,BM83&lt;=0.5),"OC",IF(BM83&lt;0,"H-OC","")))))</f>
        <v>OC</v>
      </c>
      <c r="BO83" s="109">
        <f>IF(BX83="","",BX83)</f>
        <v>3.0000000000013207</v>
      </c>
      <c r="BP83" s="37"/>
      <c r="BQ83" s="27">
        <f>BJ83/AL83</f>
        <v>1.0483250000000002</v>
      </c>
      <c r="BR83" s="26">
        <f>AL83/W83</f>
        <v>0.44918585064570465</v>
      </c>
      <c r="BS83" s="26" t="str">
        <f>IF(OR(BR83="",BH83=""),"",IF(AND(BR83&lt;1,BH83&gt;1),"NO",""))</f>
        <v/>
      </c>
      <c r="BU83" s="24">
        <f>BU82</f>
        <v>0.46066553387680625</v>
      </c>
      <c r="BV83" s="23">
        <v>0.43531029575732588</v>
      </c>
      <c r="BW83" s="22">
        <f>(BQ83/BU83)^(1/0.8)</f>
        <v>2.7950383944448807</v>
      </c>
      <c r="BX83" s="21">
        <f>(BQ83/BV83)^(1/0.8)</f>
        <v>3.0000000000013207</v>
      </c>
      <c r="BY83" s="20">
        <f>BU83*BW83^0.8</f>
        <v>1.0483250000000004</v>
      </c>
      <c r="BZ83" s="19" t="str">
        <f>IF(BR83&lt;0.85,"",IF(AND(BR83&gt;=0.85,BR83&lt;=1.15),"=","&gt;"))</f>
        <v/>
      </c>
      <c r="CA83" s="19" t="str">
        <f>IF(BZ83="","",IF(AND(BQ83&gt;=0.2,BQ83&lt;=0.451),"OK","NO"))</f>
        <v/>
      </c>
      <c r="CB83" s="18" t="str">
        <f>IF(BZ83="","",IF(AL83&lt;=CF82/1.11,"OC","NC"))</f>
        <v/>
      </c>
      <c r="CC83" s="18" t="str">
        <f>IF(BZ83="","",IF(CA83="OK","NC","OC"))</f>
        <v/>
      </c>
      <c r="CE83" s="17">
        <f>IF(BQ83="","",IF(BX83="","",BX83*AL83))</f>
        <v>600.00000000026409</v>
      </c>
      <c r="CG83" s="15">
        <f>CG82</f>
        <v>600</v>
      </c>
      <c r="CH83" s="14">
        <f>CG83/W83</f>
        <v>1.3475575519371139</v>
      </c>
      <c r="CI83" s="13" t="str">
        <f>IF(BQ83&lt;0.28,"Y","")</f>
        <v/>
      </c>
      <c r="CJ83" s="12" t="str">
        <f>IF(BQ83&lt;0.8,"Y","")</f>
        <v/>
      </c>
      <c r="CK83" s="12" t="str">
        <f>IF(BQ83&lt;BQ82,"","ERR")</f>
        <v/>
      </c>
      <c r="CL83" s="11">
        <f>IFERROR(CE83-CG83,"")</f>
        <v>2.6409452402731404E-10</v>
      </c>
      <c r="CN83" s="7">
        <f>IF(OR(BS83="NO",BG83="TX-CID"),"",BH83)</f>
        <v>0.94915254237288127</v>
      </c>
      <c r="CO83" s="7">
        <f>IF(CN83="","",BQ83)</f>
        <v>1.0483250000000002</v>
      </c>
      <c r="CP83" s="10">
        <f>IF(CO83="","",BR83)</f>
        <v>0.44918585064570465</v>
      </c>
      <c r="CQ83" s="9">
        <f>IF(CO83="","",BV83)</f>
        <v>0.43531029575732588</v>
      </c>
      <c r="CR83" s="8">
        <f>IF(CU83="","",BX83)</f>
        <v>3.0000000000013207</v>
      </c>
      <c r="CS83" s="8">
        <f>IF(CR83="","",LN(CR83))</f>
        <v>1.0986122886685499</v>
      </c>
      <c r="CT83" s="8">
        <f>IF(CS83="","",BM83)</f>
        <v>8.7878282021319698E-2</v>
      </c>
      <c r="CU83" s="7">
        <f>IF(CO83="","",BU83)</f>
        <v>0.46066553387680625</v>
      </c>
      <c r="CV83" s="6">
        <f>IF(CR83="","",CH82)</f>
        <v>1.3475575519371139</v>
      </c>
      <c r="CW83" s="5">
        <f>IF(CU83="","",E83)</f>
        <v>46.3</v>
      </c>
      <c r="CY83" s="4">
        <f>IF(CW83="","",IF(H83=1,$DJ$3*CV83^0.8*W83,IF(H83=2,$DK$3*CV83^0.8*W83,IF(H83=3,$DL$3*CV83^0.8*W83,"ERR"))))</f>
        <v>237.40566412925941</v>
      </c>
      <c r="CZ83" s="4" t="str">
        <f>IF(CY83="","",IF(BI83="OK",BJ83,""))</f>
        <v/>
      </c>
      <c r="DA83" s="4" t="str">
        <f>IF(CY83="","",IF(BK83="","",BK83))</f>
        <v/>
      </c>
      <c r="DB83" s="6">
        <f>IF(CW83="","",BM83)</f>
        <v>8.7878282021319698E-2</v>
      </c>
      <c r="DD83" s="4">
        <f>IF(OR(CH83="",W83=""),"",IF(H83=1,$DJ$3*CH83^0.8*W83,IF(H83=2,$DK$3*CH83^0.8*W83,IF(H83=3,$DL$3*CH83^0.8*W83,"ERR"))))</f>
        <v>237.40566412925941</v>
      </c>
      <c r="DE83" s="4">
        <f>IF(OR(CH83="",W83=""),"",IF(H83=1,$DJ$3*W83,IF(H83=2,$DK$3*W83,IF(H83=3,$DL$3*W83,"ERR"))))</f>
        <v>187.005</v>
      </c>
      <c r="DF83" s="3">
        <f>IF(DE83="","",-1.485*LN(E83)+7.098)</f>
        <v>1.4028141877781</v>
      </c>
      <c r="DG83" s="4">
        <f>IF(OR(DF83="",W83=""),"",IF(H83=1,$DJ$3*DF83^0.8*W83,IF(H83=2,$DK$3*DF83^0.8*W83,IF(H83=3,$DL$3*CH83^0.8*W83,"ERR"))))</f>
        <v>237.40566412925941</v>
      </c>
    </row>
    <row r="84" spans="1:116" s="52" customFormat="1" ht="15" thickBot="1">
      <c r="A84" s="108" t="str">
        <f>IF(B84="","",IF(F84&lt;10,CONCATENATE(B84," - 0",F84),CONCATENATE(B84," - ",F84)))</f>
        <v>TRT05 - 46.5</v>
      </c>
      <c r="B84" s="107" t="s">
        <v>2</v>
      </c>
      <c r="C84" s="107">
        <v>46.1</v>
      </c>
      <c r="D84" s="107">
        <v>46.5</v>
      </c>
      <c r="E84" s="107">
        <v>46.3</v>
      </c>
      <c r="F84" s="107">
        <f>IF(E84="","",CEILING(E84,0.25))</f>
        <v>46.5</v>
      </c>
      <c r="G84" s="107" t="s">
        <v>1</v>
      </c>
      <c r="H84" s="106">
        <v>3</v>
      </c>
      <c r="I84" s="53">
        <v>18.399999999999999</v>
      </c>
      <c r="J84" s="53">
        <v>13.43</v>
      </c>
      <c r="K84" s="105">
        <v>0.37</v>
      </c>
      <c r="L84" s="100">
        <v>1.085</v>
      </c>
      <c r="M84" s="104">
        <v>0.96</v>
      </c>
      <c r="N84" s="103">
        <v>9.3000000000000007</v>
      </c>
      <c r="O84" s="53"/>
      <c r="P84" s="53"/>
      <c r="Q84" s="102"/>
      <c r="R84" s="102">
        <f>IF(L84="","",L84/(1+L84))</f>
        <v>0.52038369304556353</v>
      </c>
      <c r="S84" s="102" t="str">
        <f>IF(R84="","",IF(R84&lt;0.3,"S",IF(R84&lt;0.45,"L",IF(AND(R84&lt;0.5,R84&gt;=0.45),"C",IF(R84&gt;=0.5,"SC","")))))</f>
        <v>SC</v>
      </c>
      <c r="T84" s="101">
        <f>L84*9.81/($P$28*(1+L84))</f>
        <v>0.35142019472994351</v>
      </c>
      <c r="U84" s="79">
        <f>N84</f>
        <v>9.3000000000000007</v>
      </c>
      <c r="V84" s="79">
        <f>IF(E84="","",IF(E84&lt;=10,IF(E84&lt;=N84,18*E84,18*N84+(18-0)*(E84-N84)),IF(AND(E84&gt;10,N84&lt;=10),18*N84+(18-0)*(10-N84)+(17.5-0)*(E84-10),IF(E84&lt;N84,(18*0)+17.5*(E84-10),(18*0)+17.5*(N84-10)+(17.5-0)*(E84-N84)))))</f>
        <v>815.25</v>
      </c>
      <c r="W84" s="79">
        <f>IF(E84="","",IF(E84&lt;=10,IF(E84&lt;=N84,18*E84,18*N84+(18-10)*(E84-N84)),IF(AND(E84&gt;10,N84&lt;=10),18*N84+(18-10)*(10-N84)+(17.5-10)*(E84-10),IF(E84&lt;N84,(18*10)+17.5*(E84-10),(18*10)+17.5*(N84-10)+(17.5-10)*(E84-N84)))))</f>
        <v>445.25</v>
      </c>
      <c r="X84" s="92"/>
      <c r="Y84" s="100">
        <f>Y83</f>
        <v>1.008</v>
      </c>
      <c r="Z84" s="54"/>
      <c r="AA84" s="83"/>
      <c r="AB84" s="99"/>
      <c r="AC84" s="98"/>
      <c r="AD84" s="97"/>
      <c r="AE84" s="96">
        <v>0.99299999999999999</v>
      </c>
      <c r="AF84" s="95">
        <v>78.7</v>
      </c>
      <c r="AG84" s="54">
        <v>77.180000000000007</v>
      </c>
      <c r="AH84" s="54">
        <v>1128.1500000000001</v>
      </c>
      <c r="AI84" s="54">
        <v>1099.3699999999999</v>
      </c>
      <c r="AJ84" s="94">
        <f>IF(AF84="","",1-(AG84*AI84/AF84/AH84))</f>
        <v>4.4331930456362856E-2</v>
      </c>
      <c r="AK84" s="93">
        <v>3.5799999999999998E-2</v>
      </c>
      <c r="AL84" s="92">
        <v>400</v>
      </c>
      <c r="AM84" s="83">
        <v>909.74</v>
      </c>
      <c r="AN84" s="79">
        <f>AL84-AQ84</f>
        <v>254.98</v>
      </c>
      <c r="AO84" s="79">
        <f>AN84-AP84</f>
        <v>0</v>
      </c>
      <c r="AP84" s="79">
        <f>AM84-AR84</f>
        <v>254.98000000000002</v>
      </c>
      <c r="AQ84" s="83">
        <v>145.02000000000001</v>
      </c>
      <c r="AR84" s="83">
        <v>654.76</v>
      </c>
      <c r="AS84" s="91"/>
      <c r="AT84" s="90"/>
      <c r="AU84" s="86"/>
      <c r="AV84" s="86"/>
      <c r="AW84" s="89"/>
      <c r="AX84" s="86"/>
      <c r="AY84" s="86"/>
      <c r="AZ84" s="86"/>
      <c r="BA84" s="89"/>
      <c r="BB84" s="88">
        <f>(AM84-AL84)/AK84/1000</f>
        <v>14.23854748603352</v>
      </c>
      <c r="BC84" s="83"/>
      <c r="BD84" s="83"/>
      <c r="BE84" s="80">
        <f>AL84/AJ84/1000</f>
        <v>9.0228419083561242</v>
      </c>
      <c r="BF84" s="87"/>
      <c r="BG84" s="86" t="s">
        <v>0</v>
      </c>
      <c r="BH84" s="85">
        <f>IF(OR(AE84="",Y84=""),"",Y84/AE84)</f>
        <v>1.0151057401812689</v>
      </c>
      <c r="BI84" s="84" t="str">
        <f>IF(OR(AE84="",Y84=""),"",IF(Y84/AE84&gt;1.05,"OC",IF(Y84/AE84&lt;0.95,"UC","OK")))</f>
        <v>OK</v>
      </c>
      <c r="BJ84" s="79">
        <f>(AM84-AL84)/2</f>
        <v>254.87</v>
      </c>
      <c r="BK84" s="83"/>
      <c r="BL84" s="79">
        <f>IF(BZ84="=",BJ84,"")</f>
        <v>254.87</v>
      </c>
      <c r="BM84" s="82">
        <f>AN84/(AM84-AL84)</f>
        <v>0.50021579628830382</v>
      </c>
      <c r="BN84" s="81" t="str">
        <f>IF(BM84="","",IF(AND(BM84&gt;=3/4,BM84&lt;=1.5),"HS",IF(AND(BM84&gt;=0.5,BM84&lt;=1),"NC",IF(AND(BM84&gt;=0,BM84&lt;=0.5),"OC",IF(BM84&lt;0,"H-OC","")))))</f>
        <v>NC</v>
      </c>
      <c r="BO84" s="80">
        <f>IF(BX84="","",BX84)</f>
        <v>1.4999999999937166</v>
      </c>
      <c r="BP84" s="79"/>
      <c r="BQ84" s="78">
        <f>BJ84/AL84</f>
        <v>0.63717500000000005</v>
      </c>
      <c r="BR84" s="77">
        <f>AL84/W84</f>
        <v>0.89837170129140931</v>
      </c>
      <c r="BS84" s="77" t="str">
        <f>IF(OR(BR84="",BH84=""),"",IF(AND(BR84&lt;1,BH84&gt;1),"NO",""))</f>
        <v>NO</v>
      </c>
      <c r="BT84" s="76"/>
      <c r="BU84" s="75">
        <f>BU83</f>
        <v>0.46066553387680625</v>
      </c>
      <c r="BV84" s="74">
        <v>0.46066553387680625</v>
      </c>
      <c r="BW84" s="73">
        <f>(BQ84/BU84)^(1/0.8)</f>
        <v>1.4999999999937166</v>
      </c>
      <c r="BX84" s="72">
        <f>(BQ84/BV84)^(1/0.8)</f>
        <v>1.4999999999937166</v>
      </c>
      <c r="BY84" s="71">
        <f>BU84*BW84^0.8</f>
        <v>0.63717500000000005</v>
      </c>
      <c r="BZ84" s="70" t="str">
        <f>IF(BR84&lt;0.85,"",IF(AND(BR84&gt;=0.85,BR84&lt;=1.15),"=","&gt;"))</f>
        <v>=</v>
      </c>
      <c r="CA84" s="70" t="str">
        <f>IF(BZ84="","",IF(AND(BQ84&gt;=0.2,BQ84&lt;=0.451),"OK","NO"))</f>
        <v>NO</v>
      </c>
      <c r="CB84" s="69" t="str">
        <f>IF(BZ84="","",IF(AL84&lt;=CF82/1.11,"OC","NC"))</f>
        <v>OC</v>
      </c>
      <c r="CC84" s="69" t="str">
        <f>IF(BZ84="","",IF(CA84="OK","NC","OC"))</f>
        <v>OC</v>
      </c>
      <c r="CD84" s="63">
        <f>IF(BQ84="","",IF(BW84="","",BW84*AL84))</f>
        <v>599.99999999748661</v>
      </c>
      <c r="CE84" s="68">
        <f>IF(BQ84="","",IF(BX84="","",BX84*AL84))</f>
        <v>599.99999999748661</v>
      </c>
      <c r="CF84" s="67"/>
      <c r="CG84" s="66">
        <f>CG83</f>
        <v>600</v>
      </c>
      <c r="CH84" s="65">
        <f>CG84/W84</f>
        <v>1.3475575519371139</v>
      </c>
      <c r="CI84" s="64" t="str">
        <f>IF(BQ84&lt;0.28,"Y","")</f>
        <v/>
      </c>
      <c r="CJ84" s="63" t="str">
        <f>IF(BQ84&lt;0.8,"Y","")</f>
        <v>Y</v>
      </c>
      <c r="CK84" s="63" t="str">
        <f>IF(BQ84&lt;BQ83,"","ERR")</f>
        <v/>
      </c>
      <c r="CL84" s="62">
        <f>IFERROR(CE84-CG84,"")</f>
        <v>-2.5133886083494872E-9</v>
      </c>
      <c r="CM84" s="53"/>
      <c r="CN84" s="58" t="str">
        <f>IF(OR(BS84="NO",BG84="TX-CID"),"",BH84)</f>
        <v/>
      </c>
      <c r="CO84" s="58" t="str">
        <f>IF(CN84="","",BQ84)</f>
        <v/>
      </c>
      <c r="CP84" s="61" t="str">
        <f>IF(CO84="","",BR84)</f>
        <v/>
      </c>
      <c r="CQ84" s="60" t="str">
        <f>IF(CO84="","",BV84)</f>
        <v/>
      </c>
      <c r="CR84" s="59" t="str">
        <f>IF(CU84="","",BX84)</f>
        <v/>
      </c>
      <c r="CS84" s="59" t="str">
        <f>IF(CR84="","",LN(CR84))</f>
        <v/>
      </c>
      <c r="CT84" s="59" t="str">
        <f>IF(CS84="","",BM84)</f>
        <v/>
      </c>
      <c r="CU84" s="58" t="str">
        <f>IF(CO84="","",BU84)</f>
        <v/>
      </c>
      <c r="CV84" s="56" t="str">
        <f>IF(CR84="","",CH82)</f>
        <v/>
      </c>
      <c r="CW84" s="57" t="str">
        <f>IF(CU84="","",E84)</f>
        <v/>
      </c>
      <c r="CX84" s="57"/>
      <c r="CY84" s="55" t="str">
        <f>IF(CW84="","",IF(H84=1,$DJ$3*CV84^0.8*W84,IF(H84=2,$DK$3*CV84^0.8*W84,IF(H84=3,$DL$3*CV84^0.8*W84,"ERR"))))</f>
        <v/>
      </c>
      <c r="CZ84" s="55" t="str">
        <f>IF(CY84="","",IF(BI84="OK",BJ84,""))</f>
        <v/>
      </c>
      <c r="DA84" s="55" t="str">
        <f>IF(CY84="","",IF(BK84="","",BK84))</f>
        <v/>
      </c>
      <c r="DB84" s="56" t="str">
        <f>IF(CW84="","",BM84)</f>
        <v/>
      </c>
      <c r="DC84" s="55"/>
      <c r="DD84" s="55">
        <f>IF(OR(CH84="",W84=""),"",IF(H84=1,$DJ$3*CH84^0.8*W84,IF(H84=2,$DK$3*CH84^0.8*W84,IF(H84=3,$DL$3*CH84^0.8*W84,"ERR"))))</f>
        <v>237.40566412925941</v>
      </c>
      <c r="DE84" s="55">
        <f>IF(OR(CH84="",W84=""),"",IF(H84=1,$DJ$3*W84,IF(H84=2,$DK$3*W84,IF(H84=3,$DL$3*W84,"ERR"))))</f>
        <v>187.005</v>
      </c>
      <c r="DF84" s="54">
        <f>IF(DE84="","",-1.485*LN(E84)+7.098)</f>
        <v>1.4028141877781</v>
      </c>
      <c r="DG84" s="55">
        <f>IF(OR(DF84="",W84=""),"",IF(H84=1,$DJ$3*DF84^0.8*W84,IF(H84=2,$DK$3*DF84^0.8*W84,IF(H84=3,$DL$3*CH84^0.8*W84,"ERR"))))</f>
        <v>237.40566412925941</v>
      </c>
      <c r="DH84" s="54"/>
      <c r="DJ84" s="53"/>
      <c r="DK84" s="53"/>
      <c r="DL84" s="53"/>
    </row>
    <row r="85" spans="1:116">
      <c r="L85" s="45">
        <v>1.081</v>
      </c>
      <c r="P85" s="2">
        <f>1297*0.00981</f>
        <v>12.723569999999999</v>
      </c>
      <c r="R85" s="47">
        <f>IF(L85="","",L85/(1+L85))</f>
        <v>0.51946179721287844</v>
      </c>
      <c r="S85" s="47" t="str">
        <f>IF(R85="","",IF(R85&lt;0.3,"S",IF(R85&lt;0.45,"L",IF(AND(R85&lt;0.5,R85&gt;=0.45),"C",IF(R85&gt;=0.5,"SC","")))))</f>
        <v>SC</v>
      </c>
      <c r="T85" s="46">
        <f>L85*9.81/($P$28*(1+L85))</f>
        <v>0.35079762946248316</v>
      </c>
    </row>
    <row r="86" spans="1:116">
      <c r="L86" s="45">
        <v>1.0860000000000001</v>
      </c>
      <c r="P86" s="2">
        <f>1295*0.00981</f>
        <v>12.703949999999999</v>
      </c>
      <c r="R86" s="47">
        <f>IF(L86="","",L86/(1+L86))</f>
        <v>0.5206136145733461</v>
      </c>
      <c r="S86" s="47" t="str">
        <f>IF(R86="","",IF(R86&lt;0.3,"S",IF(R86&lt;0.45,"L",IF(AND(R86&lt;0.5,R86&gt;=0.45),"C",IF(R86&gt;=0.5,"SC","")))))</f>
        <v>SC</v>
      </c>
      <c r="T86" s="46">
        <f>L86*9.81/($P$28*(1+L86))</f>
        <v>0.35157546298516701</v>
      </c>
    </row>
    <row r="87" spans="1:116">
      <c r="L87" s="45">
        <v>0.93</v>
      </c>
      <c r="P87" s="2">
        <f>1399*0.00981</f>
        <v>13.724189999999998</v>
      </c>
      <c r="R87" s="47">
        <f>IF(L87="","",L87/(1+L87))</f>
        <v>0.48186528497409326</v>
      </c>
      <c r="S87" s="47" t="str">
        <f>IF(R87="","",IF(R87&lt;0.3,"S",IF(R87&lt;0.45,"L",IF(AND(R87&lt;0.5,R87&gt;=0.45),"C",IF(R87&gt;=0.5,"SC","")))))</f>
        <v>C</v>
      </c>
      <c r="T87" s="46">
        <f>L87*9.81/($P$28*(1+L87))</f>
        <v>0.32540833723697948</v>
      </c>
    </row>
    <row r="88" spans="1:116">
      <c r="L88" s="45">
        <v>1.052</v>
      </c>
      <c r="P88" s="2">
        <f>1316*0.00981</f>
        <v>12.90996</v>
      </c>
      <c r="R88" s="47">
        <f>IF(L88="","",L88/(1+L88))</f>
        <v>0.51267056530214428</v>
      </c>
      <c r="S88" s="47" t="str">
        <f>IF(R88="","",IF(R88&lt;0.3,"S",IF(R88&lt;0.45,"L",IF(AND(R88&lt;0.5,R88&gt;=0.45),"C",IF(R88&gt;=0.5,"SC","")))))</f>
        <v>SC</v>
      </c>
      <c r="T88" s="46">
        <f>L88*9.81/($P$28*(1+L88))</f>
        <v>0.34621144416801536</v>
      </c>
    </row>
    <row r="89" spans="1:116">
      <c r="L89" s="45">
        <v>1.0589999999999999</v>
      </c>
      <c r="P89" s="2">
        <f>1158*0.00981</f>
        <v>11.359979999999998</v>
      </c>
      <c r="R89" s="47">
        <f>IF(L89="","",L89/(1+L89))</f>
        <v>0.51432734337056818</v>
      </c>
      <c r="S89" s="47" t="str">
        <f>IF(R89="","",IF(R89&lt;0.3,"S",IF(R89&lt;0.45,"L",IF(AND(R89&lt;0.5,R89&gt;=0.45),"C",IF(R89&gt;=0.5,"SC","")))))</f>
        <v>SC</v>
      </c>
      <c r="T89" s="46">
        <f>L89*9.81/($P$28*(1+L89))</f>
        <v>0.34733028259283671</v>
      </c>
    </row>
    <row r="90" spans="1:116">
      <c r="L90" s="2">
        <f>AVERAGE(1.123,1.048,1.068)</f>
        <v>1.0796666666666668</v>
      </c>
      <c r="P90" s="2">
        <f>AVERAGE(1472,1318,1306)*0.00981</f>
        <v>13.393919999999998</v>
      </c>
      <c r="R90" s="47" t="e">
        <f>IF(#REF!="","",#REF!/(1+#REF!))</f>
        <v>#REF!</v>
      </c>
      <c r="S90" s="47" t="e">
        <f>IF(R90="","",IF(R90&lt;0.3,"S",IF(R90&lt;0.45,"L",IF(AND(R90&lt;0.5,R90&gt;=0.45),"C",IF(R90&gt;=0.5,"SC","")))))</f>
        <v>#REF!</v>
      </c>
      <c r="T90" s="46" t="e">
        <f>#REF!*9.81/($P$28*(1+#REF!))</f>
        <v>#REF!</v>
      </c>
    </row>
    <row r="91" spans="1:116">
      <c r="L91" s="45">
        <f>AVERAGE(1.122,1.128)</f>
        <v>1.125</v>
      </c>
      <c r="P91" s="2">
        <f>AVERAGE(1272,1269,1249)*0.00981</f>
        <v>12.393299999999998</v>
      </c>
    </row>
    <row r="92" spans="1:116">
      <c r="L92" s="45">
        <f>AVERAGE(1.013,1.032)</f>
        <v>1.0225</v>
      </c>
      <c r="P92" s="2">
        <f>AVERAGE(1341,1329,1365)*0.00981</f>
        <v>13.19445</v>
      </c>
    </row>
    <row r="93" spans="1:116">
      <c r="L93" s="45">
        <f>AVERAGE(1.17,1.149)</f>
        <v>1.1595</v>
      </c>
      <c r="P93" s="2">
        <f>AVERAGE(1244,1256,1312)*0.00981</f>
        <v>12.46524</v>
      </c>
    </row>
    <row r="94" spans="1:116">
      <c r="L94" s="45">
        <f>AVERAGE(0.678,0.735)</f>
        <v>0.70650000000000002</v>
      </c>
      <c r="P94" s="2">
        <f>AVERAGE(1609,1556,1640)*0.00981</f>
        <v>15.712349999999999</v>
      </c>
    </row>
    <row r="95" spans="1:116">
      <c r="L95" s="45">
        <v>0.84</v>
      </c>
      <c r="P95" s="2">
        <v>14.526666666666666</v>
      </c>
    </row>
    <row r="96" spans="1:116">
      <c r="L96" s="45">
        <v>0.85499999999999998</v>
      </c>
    </row>
    <row r="97" spans="12:16">
      <c r="L97" s="45">
        <v>0.871</v>
      </c>
    </row>
    <row r="98" spans="12:16">
      <c r="L98" s="45">
        <v>1.3080000000000001</v>
      </c>
      <c r="P98" s="2">
        <v>11.903333333333331</v>
      </c>
    </row>
    <row r="99" spans="12:16">
      <c r="L99" s="45">
        <v>1.2430000000000001</v>
      </c>
    </row>
    <row r="100" spans="12:16">
      <c r="L100" s="45">
        <v>1.2430000000000001</v>
      </c>
    </row>
    <row r="101" spans="12:16">
      <c r="L101" s="45">
        <v>1.1499999999999999</v>
      </c>
      <c r="P101" s="2">
        <v>12.626666666666667</v>
      </c>
    </row>
    <row r="102" spans="12:16">
      <c r="L102" s="45">
        <v>1.1559999999999999</v>
      </c>
    </row>
    <row r="103" spans="12:16">
      <c r="L103" s="45">
        <v>1.097</v>
      </c>
    </row>
    <row r="104" spans="12:16">
      <c r="L104" s="45">
        <v>1.1200000000000001</v>
      </c>
      <c r="P104" s="2">
        <v>12.666666666666666</v>
      </c>
    </row>
    <row r="105" spans="12:16">
      <c r="L105" s="45">
        <v>1.1910000000000001</v>
      </c>
    </row>
    <row r="106" spans="12:16">
      <c r="L106" s="45">
        <v>1.18</v>
      </c>
    </row>
    <row r="107" spans="12:16">
      <c r="L107" s="45">
        <v>1.246</v>
      </c>
      <c r="P107" s="2">
        <v>13.016666666666667</v>
      </c>
    </row>
    <row r="108" spans="12:16">
      <c r="L108" s="45">
        <v>0.97499999999999998</v>
      </c>
    </row>
    <row r="109" spans="12:16">
      <c r="L109" s="45">
        <v>1.135</v>
      </c>
    </row>
    <row r="110" spans="12:16">
      <c r="L110" s="45">
        <v>0.96099999999999997</v>
      </c>
      <c r="P110" s="2">
        <v>14.18</v>
      </c>
    </row>
    <row r="111" spans="12:16">
      <c r="L111" s="45">
        <v>0.90800000000000003</v>
      </c>
    </row>
    <row r="112" spans="12:16">
      <c r="L112" s="45">
        <v>0.95</v>
      </c>
    </row>
    <row r="113" spans="12:16">
      <c r="L113" s="45">
        <v>1.0860000000000001</v>
      </c>
      <c r="P113" s="2">
        <v>13.449999999999998</v>
      </c>
    </row>
    <row r="114" spans="12:16">
      <c r="L114" s="45">
        <v>1.0569999999999999</v>
      </c>
    </row>
    <row r="115" spans="12:16">
      <c r="L115" s="45">
        <v>0.99299999999999999</v>
      </c>
    </row>
    <row r="116" spans="12:16">
      <c r="L116" s="45">
        <v>1.359</v>
      </c>
      <c r="P116" s="2">
        <v>12.003333333333336</v>
      </c>
    </row>
    <row r="117" spans="12:16">
      <c r="L117" s="45">
        <v>1.304</v>
      </c>
    </row>
    <row r="118" spans="12:16">
      <c r="L118" s="45">
        <v>1.216</v>
      </c>
    </row>
    <row r="119" spans="12:16">
      <c r="L119" s="45">
        <v>1.5940000000000001</v>
      </c>
      <c r="P119" s="2">
        <v>11.106666666666667</v>
      </c>
    </row>
    <row r="120" spans="12:16">
      <c r="L120" s="45">
        <v>1.5369999999999999</v>
      </c>
    </row>
    <row r="121" spans="12:16">
      <c r="L121" s="45">
        <v>1.5409999999999999</v>
      </c>
    </row>
    <row r="122" spans="12:16">
      <c r="L122" s="45">
        <v>1.5409999999999999</v>
      </c>
      <c r="P122" s="2">
        <v>11.299999999999999</v>
      </c>
    </row>
    <row r="123" spans="12:16">
      <c r="L123" s="45">
        <v>1.5369999999999999</v>
      </c>
    </row>
    <row r="124" spans="12:16">
      <c r="L124" s="45">
        <v>1.462</v>
      </c>
    </row>
    <row r="125" spans="12:16">
      <c r="L125" s="45">
        <v>1.419</v>
      </c>
      <c r="P125" s="2">
        <v>12.343333333333334</v>
      </c>
    </row>
    <row r="126" spans="12:16">
      <c r="L126" s="45">
        <v>1.252</v>
      </c>
    </row>
    <row r="127" spans="12:16">
      <c r="L127" s="45">
        <v>1.2390000000000001</v>
      </c>
    </row>
    <row r="128" spans="12:16">
      <c r="L128" s="45">
        <v>1.331</v>
      </c>
      <c r="P128" s="2">
        <v>12.26</v>
      </c>
    </row>
    <row r="129" spans="12:16">
      <c r="L129" s="45">
        <v>1.3129999999999999</v>
      </c>
    </row>
    <row r="130" spans="12:16">
      <c r="L130" s="45">
        <v>1.3049999999999999</v>
      </c>
    </row>
    <row r="131" spans="12:16">
      <c r="L131" s="45">
        <v>1.6639999999999999</v>
      </c>
      <c r="P131" s="2">
        <v>11.410000000000002</v>
      </c>
    </row>
    <row r="132" spans="12:16">
      <c r="L132" s="45">
        <v>1.373</v>
      </c>
    </row>
    <row r="133" spans="12:16">
      <c r="L133" s="45">
        <v>1.4750000000000001</v>
      </c>
    </row>
    <row r="134" spans="12:16">
      <c r="L134" s="45">
        <v>0.86599999999999999</v>
      </c>
      <c r="P134" s="2">
        <v>14.54</v>
      </c>
    </row>
    <row r="135" spans="12:16">
      <c r="L135" s="45">
        <v>0.875</v>
      </c>
    </row>
    <row r="136" spans="12:16">
      <c r="L136" s="45">
        <v>0.93500000000000005</v>
      </c>
    </row>
    <row r="137" spans="12:16">
      <c r="L137" s="45">
        <v>1.1919999999999999</v>
      </c>
      <c r="P137" s="2">
        <v>12.673333333333334</v>
      </c>
    </row>
    <row r="138" spans="12:16">
      <c r="L138" s="45">
        <v>1.2</v>
      </c>
    </row>
    <row r="139" spans="12:16">
      <c r="L139" s="45">
        <v>1.1200000000000001</v>
      </c>
    </row>
    <row r="140" spans="12:16">
      <c r="L140" s="45">
        <v>1.3260000000000001</v>
      </c>
      <c r="P140" s="2">
        <v>11.923333333333332</v>
      </c>
    </row>
    <row r="141" spans="12:16">
      <c r="L141" s="45">
        <v>1.3180000000000001</v>
      </c>
    </row>
    <row r="142" spans="12:16">
      <c r="L142" s="45">
        <v>1.2769999999999999</v>
      </c>
    </row>
    <row r="143" spans="12:16">
      <c r="L143" s="45">
        <v>1.524</v>
      </c>
      <c r="P143" s="2">
        <v>11.706666666666669</v>
      </c>
    </row>
    <row r="144" spans="12:16">
      <c r="L144" s="45">
        <v>1.375</v>
      </c>
    </row>
    <row r="145" spans="12:16">
      <c r="L145" s="45">
        <v>1.385</v>
      </c>
    </row>
    <row r="146" spans="12:16">
      <c r="L146" s="45">
        <v>0.97299999999999998</v>
      </c>
      <c r="P146" s="2">
        <v>14.683333333333332</v>
      </c>
    </row>
    <row r="147" spans="12:16">
      <c r="L147" s="45">
        <v>0.94799999999999995</v>
      </c>
    </row>
    <row r="148" spans="12:16">
      <c r="L148" s="45">
        <v>0.88500000000000001</v>
      </c>
    </row>
    <row r="149" spans="12:16">
      <c r="L149" s="45">
        <v>1.1160000000000001</v>
      </c>
      <c r="P149" s="2">
        <v>13.293333333333335</v>
      </c>
    </row>
    <row r="150" spans="12:16">
      <c r="L150" s="45">
        <v>1.117</v>
      </c>
    </row>
    <row r="151" spans="12:16">
      <c r="L151" s="45">
        <v>1.085</v>
      </c>
    </row>
  </sheetData>
  <autoFilter ref="A3:CM84">
    <filterColumn colId="7">
      <filters>
        <filter val="3"/>
      </filters>
    </filterColumn>
  </autoFilter>
  <conditionalFormatting sqref="BR1:BS9 BR13:BS1048576">
    <cfRule type="cellIs" dxfId="10" priority="11" operator="greaterThanOrEqual">
      <formula>0.85</formula>
    </cfRule>
  </conditionalFormatting>
  <conditionalFormatting sqref="BR10:BS12">
    <cfRule type="cellIs" dxfId="9" priority="10" operator="greaterThanOrEqual">
      <formula>0.85</formula>
    </cfRule>
  </conditionalFormatting>
  <conditionalFormatting sqref="CC1:CC1048576">
    <cfRule type="containsText" dxfId="8" priority="9" operator="containsText" text="NC">
      <formula>NOT(ISERROR(SEARCH("NC",CC1)))</formula>
    </cfRule>
  </conditionalFormatting>
  <conditionalFormatting sqref="BQ1:BQ1048576">
    <cfRule type="cellIs" dxfId="7" priority="8" operator="between">
      <formula>0.199999</formula>
      <formula>0.451111</formula>
    </cfRule>
  </conditionalFormatting>
  <conditionalFormatting sqref="CB1 CB85:CB1048576">
    <cfRule type="containsText" dxfId="6" priority="7" operator="containsText" text="NC">
      <formula>NOT(ISERROR(SEARCH("NC",CB1)))</formula>
    </cfRule>
  </conditionalFormatting>
  <conditionalFormatting sqref="CB2:CB84">
    <cfRule type="containsText" dxfId="5" priority="6" operator="containsText" text="NC">
      <formula>NOT(ISERROR(SEARCH("NC",CB2)))</formula>
    </cfRule>
  </conditionalFormatting>
  <conditionalFormatting sqref="BI4:BI84">
    <cfRule type="containsText" dxfId="4" priority="5" operator="containsText" text="OK">
      <formula>NOT(ISERROR(SEARCH("OK",BI4)))</formula>
    </cfRule>
  </conditionalFormatting>
  <conditionalFormatting sqref="CO2">
    <cfRule type="cellIs" dxfId="3" priority="4" operator="between">
      <formula>0.199999</formula>
      <formula>0.451111</formula>
    </cfRule>
  </conditionalFormatting>
  <conditionalFormatting sqref="CP2">
    <cfRule type="cellIs" dxfId="2" priority="3" operator="greaterThanOrEqual">
      <formula>0.85</formula>
    </cfRule>
  </conditionalFormatting>
  <conditionalFormatting sqref="BO4:BO84">
    <cfRule type="cellIs" dxfId="1" priority="1" operator="lessThan">
      <formula>1.5</formula>
    </cfRule>
    <cfRule type="cellIs" dxfId="0" priority="2" operator="between">
      <formula>5</formula>
      <formula>20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TX2 (2)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2019-12-30T09:39:27Z</dcterms:created>
  <dcterms:modified xsi:type="dcterms:W3CDTF">2019-12-30T09:39:52Z</dcterms:modified>
</cp:coreProperties>
</file>